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 i="2" l="1"/>
  <c r="I13" i="2"/>
  <c r="AJ13" i="2"/>
  <c r="S85" i="9"/>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J202" i="8" s="1"/>
  <c r="T202" i="8"/>
  <c r="L202" i="8"/>
  <c r="D202" i="8"/>
  <c r="B202" i="8"/>
  <c r="L201" i="8"/>
  <c r="J201" i="8"/>
  <c r="D201" i="8"/>
  <c r="C201" i="8"/>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D177" i="8"/>
  <c r="C177" i="8"/>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D164" i="8"/>
  <c r="C164" i="8"/>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D147" i="8"/>
  <c r="C147" i="8"/>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D123" i="8"/>
  <c r="C123" i="8"/>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D107" i="8"/>
  <c r="C107" i="8"/>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D74" i="8"/>
  <c r="C74" i="8"/>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T53" i="8"/>
  <c r="L53" i="8"/>
  <c r="J53" i="8"/>
  <c r="D53" i="8"/>
  <c r="B53" i="8"/>
  <c r="L52" i="8"/>
  <c r="J52" i="8"/>
  <c r="D52" i="8"/>
  <c r="C52" i="8"/>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T15" i="8"/>
  <c r="L15" i="8"/>
  <c r="J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s="1"/>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Y87" i="7"/>
  <c r="AW87" i="7"/>
  <c r="AR87" i="7"/>
  <c r="AP87" i="7"/>
  <c r="AN87" i="7"/>
  <c r="AL87" i="7"/>
  <c r="AJ87" i="7"/>
  <c r="AH87" i="7"/>
  <c r="AC87" i="7"/>
  <c r="AA87" i="7"/>
  <c r="Y87" i="7"/>
  <c r="W87" i="7"/>
  <c r="U87" i="7"/>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AY63" i="7" s="1"/>
  <c r="BA63" i="7"/>
  <c r="AW63" i="7"/>
  <c r="AR63" i="7"/>
  <c r="AP63" i="7"/>
  <c r="AN63" i="7"/>
  <c r="AL63" i="7"/>
  <c r="AH63" i="7"/>
  <c r="AC63" i="7"/>
  <c r="AA63" i="7"/>
  <c r="Y63" i="7"/>
  <c r="U63" i="7" s="1"/>
  <c r="W63" i="7"/>
  <c r="S63" i="7"/>
  <c r="N63" i="7"/>
  <c r="L63" i="7"/>
  <c r="J63" i="7"/>
  <c r="H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Y39" i="7"/>
  <c r="AW39" i="7"/>
  <c r="AR39" i="7"/>
  <c r="AP39" i="7"/>
  <c r="AN39" i="7"/>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F111" i="6" s="1"/>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AY87" i="6" s="1"/>
  <c r="BA87" i="6"/>
  <c r="AW87" i="6"/>
  <c r="AR87" i="6"/>
  <c r="AP87" i="6"/>
  <c r="AN87" i="6"/>
  <c r="AL87" i="6"/>
  <c r="AJ87" i="6"/>
  <c r="AH87" i="6"/>
  <c r="AC87" i="6"/>
  <c r="AA87" i="6"/>
  <c r="Y87" i="6"/>
  <c r="W87" i="6"/>
  <c r="U87" i="6" s="1"/>
  <c r="S87" i="6"/>
  <c r="N87" i="6"/>
  <c r="L87" i="6"/>
  <c r="J87" i="6"/>
  <c r="H87" i="6"/>
  <c r="F87" i="6" s="1"/>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AY63" i="6" s="1"/>
  <c r="BA63" i="6"/>
  <c r="AW63" i="6"/>
  <c r="AR63" i="6"/>
  <c r="AP63" i="6"/>
  <c r="AN63" i="6"/>
  <c r="AL63" i="6"/>
  <c r="AH63" i="6"/>
  <c r="AC63" i="6"/>
  <c r="AA63" i="6"/>
  <c r="Y63" i="6"/>
  <c r="W63" i="6"/>
  <c r="S63" i="6"/>
  <c r="N63" i="6"/>
  <c r="L63" i="6"/>
  <c r="J63" i="6"/>
  <c r="H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AY39" i="6" s="1"/>
  <c r="BA39" i="6"/>
  <c r="AW39" i="6"/>
  <c r="AR39" i="6"/>
  <c r="AP39" i="6"/>
  <c r="AN39" i="6"/>
  <c r="AL39" i="6"/>
  <c r="AJ39" i="6" s="1"/>
  <c r="AH39" i="6"/>
  <c r="AC39" i="6"/>
  <c r="AA39" i="6"/>
  <c r="Y39" i="6"/>
  <c r="W39" i="6"/>
  <c r="U39" i="6" s="1"/>
  <c r="S39" i="6"/>
  <c r="N39" i="6"/>
  <c r="L39" i="6"/>
  <c r="J39" i="6"/>
  <c r="H39" i="6"/>
  <c r="F39" i="6" s="1"/>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H15" i="6"/>
  <c r="AC15" i="6"/>
  <c r="AA15" i="6"/>
  <c r="Y15" i="6"/>
  <c r="W15" i="6"/>
  <c r="U15" i="6" s="1"/>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V34" i="5" s="1"/>
  <c r="X46" i="5"/>
  <c r="W46" i="5"/>
  <c r="V46" i="5"/>
  <c r="U46" i="5"/>
  <c r="L46" i="5"/>
  <c r="X45" i="5"/>
  <c r="W45" i="5"/>
  <c r="L45" i="5"/>
  <c r="X44" i="5"/>
  <c r="W44" i="5"/>
  <c r="V44" i="5"/>
  <c r="X43" i="5"/>
  <c r="W43" i="5"/>
  <c r="V43" i="5"/>
  <c r="X42" i="5"/>
  <c r="W42" i="5"/>
  <c r="V42" i="5"/>
  <c r="X41" i="5"/>
  <c r="W41" i="5"/>
  <c r="V41" i="5"/>
  <c r="R38" i="5"/>
  <c r="O38" i="5"/>
  <c r="L38" i="5"/>
  <c r="I38" i="5"/>
  <c r="F38" i="5"/>
  <c r="C38" i="5"/>
  <c r="S38" i="5" s="1"/>
  <c r="AI38" i="5" s="1"/>
  <c r="A38" i="5"/>
  <c r="C37" i="5"/>
  <c r="S37" i="5" s="1"/>
  <c r="AH38" i="5" s="1"/>
  <c r="A37" i="5"/>
  <c r="AH36" i="5"/>
  <c r="W36" i="5"/>
  <c r="V36" i="5"/>
  <c r="R36" i="5"/>
  <c r="O36" i="5"/>
  <c r="S36" i="5" s="1"/>
  <c r="AG38" i="5" s="1"/>
  <c r="L36" i="5"/>
  <c r="I36" i="5"/>
  <c r="F36" i="5"/>
  <c r="C36" i="5"/>
  <c r="A36" i="5"/>
  <c r="AH35" i="5"/>
  <c r="AG35" i="5"/>
  <c r="AF35" i="5"/>
  <c r="W35" i="5"/>
  <c r="V35" i="5"/>
  <c r="R35" i="5"/>
  <c r="O35" i="5"/>
  <c r="L35" i="5"/>
  <c r="I35" i="5"/>
  <c r="F35" i="5"/>
  <c r="C35" i="5"/>
  <c r="A35" i="5"/>
  <c r="AK34" i="5"/>
  <c r="AH34" i="5"/>
  <c r="AG34" i="5"/>
  <c r="W34" i="5"/>
  <c r="R34" i="5"/>
  <c r="O34" i="5"/>
  <c r="L34" i="5"/>
  <c r="I34" i="5"/>
  <c r="F34" i="5"/>
  <c r="C34" i="5"/>
  <c r="S34" i="5" s="1"/>
  <c r="AE38" i="5" s="1"/>
  <c r="A34" i="5"/>
  <c r="AL33" i="5"/>
  <c r="AH33" i="5"/>
  <c r="AG33" i="5"/>
  <c r="AF33" i="5"/>
  <c r="W33" i="5"/>
  <c r="V33" i="5"/>
  <c r="R33" i="5"/>
  <c r="P33" i="5"/>
  <c r="O33" i="5"/>
  <c r="M33" i="5"/>
  <c r="L33" i="5"/>
  <c r="J33" i="5"/>
  <c r="I33" i="5"/>
  <c r="G33" i="5"/>
  <c r="F33" i="5"/>
  <c r="D33" i="5"/>
  <c r="C33" i="5"/>
  <c r="B33" i="5"/>
  <c r="A33" i="5"/>
  <c r="W32" i="5"/>
  <c r="V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B29" i="5"/>
  <c r="AA29" i="5"/>
  <c r="Z29" i="5"/>
  <c r="G29" i="5"/>
  <c r="G41" i="9" s="1"/>
  <c r="F29" i="5"/>
  <c r="F41" i="9" s="1"/>
  <c r="E29" i="5"/>
  <c r="E41" i="9" s="1"/>
  <c r="D29" i="5"/>
  <c r="D41" i="9" s="1"/>
  <c r="C29" i="5"/>
  <c r="C41" i="9" s="1"/>
  <c r="S28" i="5"/>
  <c r="H28" i="5"/>
  <c r="G28" i="5"/>
  <c r="F28" i="5"/>
  <c r="E28" i="5"/>
  <c r="D28" i="5"/>
  <c r="C28" i="5"/>
  <c r="B28" i="5"/>
  <c r="A28" i="5"/>
  <c r="A27" i="5"/>
  <c r="AC25" i="5"/>
  <c r="AB25" i="5"/>
  <c r="R25" i="5"/>
  <c r="O25" i="5"/>
  <c r="L25" i="5"/>
  <c r="I25" i="5"/>
  <c r="F25" i="5"/>
  <c r="S25" i="5" s="1"/>
  <c r="AI25" i="5" s="1"/>
  <c r="C25" i="5"/>
  <c r="A25" i="5"/>
  <c r="C24" i="5"/>
  <c r="S24" i="5" s="1"/>
  <c r="AH25" i="5" s="1"/>
  <c r="A24" i="5"/>
  <c r="W23" i="5"/>
  <c r="V23" i="5"/>
  <c r="R23" i="5"/>
  <c r="O23" i="5"/>
  <c r="L23" i="5"/>
  <c r="I23" i="5"/>
  <c r="F23" i="5"/>
  <c r="C23" i="5"/>
  <c r="S23" i="5" s="1"/>
  <c r="AG25" i="5" s="1"/>
  <c r="A23" i="5"/>
  <c r="AH22" i="5"/>
  <c r="AG22" i="5"/>
  <c r="AF22" i="5"/>
  <c r="W22" i="5"/>
  <c r="V22" i="5"/>
  <c r="R22" i="5"/>
  <c r="O22" i="5"/>
  <c r="L22" i="5"/>
  <c r="I22" i="5"/>
  <c r="S22" i="5" s="1"/>
  <c r="AF25" i="5" s="1"/>
  <c r="F22" i="5"/>
  <c r="C22" i="5"/>
  <c r="A22" i="5"/>
  <c r="AK21" i="5"/>
  <c r="AH21" i="5"/>
  <c r="AG21" i="5"/>
  <c r="AF21" i="5"/>
  <c r="AE21" i="5"/>
  <c r="W21" i="5"/>
  <c r="V21" i="5"/>
  <c r="R21" i="5"/>
  <c r="O21" i="5"/>
  <c r="L21" i="5"/>
  <c r="I21" i="5"/>
  <c r="F21" i="5"/>
  <c r="S21" i="5" s="1"/>
  <c r="AE25" i="5" s="1"/>
  <c r="C21" i="5"/>
  <c r="A21" i="5"/>
  <c r="AL20" i="5"/>
  <c r="AH20" i="5"/>
  <c r="AG20" i="5"/>
  <c r="AF20" i="5"/>
  <c r="AE20" i="5"/>
  <c r="W20" i="5"/>
  <c r="V20" i="5"/>
  <c r="R20" i="5"/>
  <c r="P20" i="5"/>
  <c r="O20" i="5"/>
  <c r="M20" i="5"/>
  <c r="L20" i="5"/>
  <c r="J20" i="5"/>
  <c r="I20" i="5"/>
  <c r="G20" i="5"/>
  <c r="F20" i="5"/>
  <c r="D20" i="5"/>
  <c r="C20" i="5"/>
  <c r="B20" i="5"/>
  <c r="A20" i="5"/>
  <c r="AE19" i="5"/>
  <c r="W19" i="5"/>
  <c r="V19" i="5"/>
  <c r="S19" i="5"/>
  <c r="Q19" i="5"/>
  <c r="O19" i="5"/>
  <c r="AA25" i="5" s="1"/>
  <c r="M19" i="5"/>
  <c r="Z25" i="5" s="1"/>
  <c r="K19" i="5"/>
  <c r="Y25" i="5" s="1"/>
  <c r="AT18" i="5"/>
  <c r="AS18" i="5"/>
  <c r="AR18" i="5"/>
  <c r="AP18" i="5"/>
  <c r="AN18" i="5"/>
  <c r="AM18" i="5"/>
  <c r="AH18" i="5"/>
  <c r="AG18" i="5"/>
  <c r="AA16" i="5" s="1"/>
  <c r="AF18" i="5"/>
  <c r="AE18" i="5"/>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G23" i="5" s="1"/>
  <c r="AB16" i="5"/>
  <c r="Z16" i="5"/>
  <c r="Y16" i="5"/>
  <c r="H16" i="5" s="1"/>
  <c r="H40" i="9" s="1"/>
  <c r="G16" i="5"/>
  <c r="G40" i="9" s="1"/>
  <c r="F16" i="5"/>
  <c r="F40" i="9" s="1"/>
  <c r="C16" i="5"/>
  <c r="C40" i="9" s="1"/>
  <c r="S15" i="5"/>
  <c r="H15" i="5"/>
  <c r="G15" i="5"/>
  <c r="F15" i="5"/>
  <c r="E15" i="5"/>
  <c r="D15" i="5"/>
  <c r="C15" i="5"/>
  <c r="B15" i="5"/>
  <c r="A15" i="5"/>
  <c r="A14" i="5"/>
  <c r="BD13" i="5"/>
  <c r="BB13" i="5"/>
  <c r="AZ13" i="5"/>
  <c r="AX13" i="5"/>
  <c r="AV13" i="5"/>
  <c r="BD12" i="5"/>
  <c r="BB12" i="5"/>
  <c r="AZ12" i="5"/>
  <c r="AX12" i="5"/>
  <c r="AV12" i="5"/>
  <c r="AA12" i="5"/>
  <c r="S12" i="5"/>
  <c r="AI12" i="5" s="1"/>
  <c r="R12" i="5"/>
  <c r="O12" i="5"/>
  <c r="L12" i="5"/>
  <c r="I12" i="5"/>
  <c r="F12" i="5"/>
  <c r="C12" i="5"/>
  <c r="A12" i="5"/>
  <c r="BD11" i="5"/>
  <c r="BB11" i="5"/>
  <c r="AZ11" i="5"/>
  <c r="AX11" i="5"/>
  <c r="AV11" i="5"/>
  <c r="C11" i="5"/>
  <c r="S11" i="5" s="1"/>
  <c r="AH12" i="5" s="1"/>
  <c r="A11" i="5"/>
  <c r="BD10" i="5"/>
  <c r="BB10" i="5"/>
  <c r="AZ10" i="5"/>
  <c r="AX10" i="5"/>
  <c r="AV10" i="5"/>
  <c r="AF10" i="5"/>
  <c r="W10" i="5"/>
  <c r="R10" i="5"/>
  <c r="O10" i="5"/>
  <c r="L10" i="5"/>
  <c r="I10" i="5"/>
  <c r="F10" i="5"/>
  <c r="C10" i="5"/>
  <c r="A10" i="5"/>
  <c r="BD9" i="5"/>
  <c r="BB9" i="5"/>
  <c r="AZ9" i="5"/>
  <c r="AX9" i="5"/>
  <c r="AV9" i="5"/>
  <c r="AH9" i="5"/>
  <c r="AG9" i="5"/>
  <c r="AF9" i="5"/>
  <c r="W9" i="5"/>
  <c r="R9" i="5"/>
  <c r="O9" i="5"/>
  <c r="L9" i="5"/>
  <c r="I9" i="5"/>
  <c r="F9" i="5"/>
  <c r="C9" i="5"/>
  <c r="A9" i="5"/>
  <c r="BD8" i="5"/>
  <c r="BB8" i="5"/>
  <c r="AZ8" i="5"/>
  <c r="AX8" i="5"/>
  <c r="AV8" i="5"/>
  <c r="AK8" i="5"/>
  <c r="AH8" i="5"/>
  <c r="AG8" i="5"/>
  <c r="AE8" i="5"/>
  <c r="W8" i="5"/>
  <c r="R8" i="5"/>
  <c r="O8" i="5"/>
  <c r="L8" i="5"/>
  <c r="I8" i="5"/>
  <c r="F8" i="5"/>
  <c r="C8" i="5"/>
  <c r="S8" i="5" s="1"/>
  <c r="AE12" i="5" s="1"/>
  <c r="A8" i="5"/>
  <c r="BD7" i="5"/>
  <c r="BB7" i="5"/>
  <c r="AZ7" i="5"/>
  <c r="AX7" i="5"/>
  <c r="AV7" i="5"/>
  <c r="AL7" i="5"/>
  <c r="AH7" i="5"/>
  <c r="AG7" i="5"/>
  <c r="AF7" i="5"/>
  <c r="W7" i="5"/>
  <c r="R7" i="5"/>
  <c r="P7" i="5"/>
  <c r="O7" i="5"/>
  <c r="M7" i="5"/>
  <c r="L7" i="5"/>
  <c r="J7" i="5"/>
  <c r="I7" i="5"/>
  <c r="G7" i="5"/>
  <c r="F7" i="5"/>
  <c r="D7" i="5"/>
  <c r="C7" i="5"/>
  <c r="B7" i="5"/>
  <c r="A7" i="5"/>
  <c r="BD6" i="5"/>
  <c r="BB6" i="5"/>
  <c r="AZ6" i="5"/>
  <c r="AX6" i="5"/>
  <c r="AV6" i="5"/>
  <c r="AE6" i="5"/>
  <c r="W6" i="5"/>
  <c r="S6" i="5"/>
  <c r="AC12" i="5" s="1"/>
  <c r="Q6" i="5"/>
  <c r="AB12" i="5" s="1"/>
  <c r="O6" i="5"/>
  <c r="M6" i="5"/>
  <c r="Z12" i="5" s="1"/>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E9" i="5" s="1"/>
  <c r="AB3" i="5"/>
  <c r="AA3" i="5"/>
  <c r="Z3" i="5"/>
  <c r="Y3" i="5"/>
  <c r="G3" i="5"/>
  <c r="G39" i="9" s="1"/>
  <c r="F3" i="5"/>
  <c r="F39" i="9" s="1"/>
  <c r="C3" i="5"/>
  <c r="C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C2" i="3" s="1"/>
  <c r="C3" i="3" s="1"/>
  <c r="K9" i="3"/>
  <c r="I9" i="3"/>
  <c r="B9" i="3"/>
  <c r="AI8" i="3"/>
  <c r="K8" i="3"/>
  <c r="I8" i="3"/>
  <c r="B8" i="3"/>
  <c r="AI7" i="3"/>
  <c r="K7" i="3"/>
  <c r="I7" i="3"/>
  <c r="B7" i="3"/>
  <c r="AI6" i="3"/>
  <c r="K6" i="3"/>
  <c r="I6" i="3"/>
  <c r="B6" i="3"/>
  <c r="AA5" i="3"/>
  <c r="Z5" i="3"/>
  <c r="Y5" i="3"/>
  <c r="X5" i="3"/>
  <c r="U5" i="3"/>
  <c r="R5" i="3"/>
  <c r="O5" i="3"/>
  <c r="L5" i="3"/>
  <c r="I5" i="3"/>
  <c r="E5" i="3"/>
  <c r="D5" i="3"/>
  <c r="AA3" i="3"/>
  <c r="AA2" i="3"/>
  <c r="Z2" i="3"/>
  <c r="Z3" i="3" s="1"/>
  <c r="Y2" i="3"/>
  <c r="Y3" i="3" s="1"/>
  <c r="X2" i="3"/>
  <c r="X3" i="3" s="1"/>
  <c r="W2" i="3"/>
  <c r="W3" i="3" s="1"/>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R55" i="2"/>
  <c r="CE55" i="2"/>
  <c r="CD55" i="2"/>
  <c r="CC55" i="2"/>
  <c r="CB55" i="2"/>
  <c r="CA55" i="2"/>
  <c r="BZ55" i="2"/>
  <c r="BU55" i="2"/>
  <c r="CW55" i="2" s="1"/>
  <c r="BP55" i="2"/>
  <c r="CS55" i="2" s="1"/>
  <c r="BO55" i="2"/>
  <c r="BW55" i="2" s="1"/>
  <c r="BN55" i="2"/>
  <c r="BV55" i="2" s="1"/>
  <c r="BM55" i="2"/>
  <c r="CP55" i="2" s="1"/>
  <c r="BL55" i="2"/>
  <c r="CO55" i="2" s="1"/>
  <c r="BK55" i="2"/>
  <c r="BS55" i="2" s="1"/>
  <c r="CE54" i="2"/>
  <c r="CD54" i="2"/>
  <c r="CC54" i="2"/>
  <c r="CB54" i="2"/>
  <c r="CA54" i="2"/>
  <c r="BZ54" i="2"/>
  <c r="BP54" i="2"/>
  <c r="CS54" i="2" s="1"/>
  <c r="BO54" i="2"/>
  <c r="BW54" i="2" s="1"/>
  <c r="CY54" i="2" s="1"/>
  <c r="BN54" i="2"/>
  <c r="CQ54" i="2" s="1"/>
  <c r="BM54" i="2"/>
  <c r="CP54" i="2" s="1"/>
  <c r="BL54" i="2"/>
  <c r="CO54" i="2" s="1"/>
  <c r="BK54" i="2"/>
  <c r="BS54" i="2" s="1"/>
  <c r="CG54" i="2" s="1"/>
  <c r="CE53" i="2"/>
  <c r="CD53" i="2"/>
  <c r="CC53" i="2"/>
  <c r="CB53" i="2"/>
  <c r="CA53" i="2"/>
  <c r="BZ53" i="2"/>
  <c r="BV53" i="2"/>
  <c r="CX53" i="2" s="1"/>
  <c r="BT53" i="2"/>
  <c r="CH53" i="2" s="1"/>
  <c r="BS53" i="2"/>
  <c r="CU53" i="2" s="1"/>
  <c r="BP53" i="2"/>
  <c r="BO53" i="2"/>
  <c r="CR53" i="2" s="1"/>
  <c r="BN53" i="2"/>
  <c r="CQ53" i="2" s="1"/>
  <c r="BM53" i="2"/>
  <c r="BU53" i="2" s="1"/>
  <c r="BL53" i="2"/>
  <c r="CO53" i="2" s="1"/>
  <c r="BK53" i="2"/>
  <c r="CS52" i="2"/>
  <c r="CP52" i="2"/>
  <c r="CE52" i="2"/>
  <c r="CD52" i="2"/>
  <c r="CC52" i="2"/>
  <c r="CB52" i="2"/>
  <c r="CA52" i="2"/>
  <c r="BZ52" i="2"/>
  <c r="BX52" i="2"/>
  <c r="CZ52" i="2" s="1"/>
  <c r="BS52" i="2"/>
  <c r="CU52" i="2" s="1"/>
  <c r="BP52" i="2"/>
  <c r="BO52" i="2"/>
  <c r="BW52" i="2" s="1"/>
  <c r="BN52" i="2"/>
  <c r="CQ52" i="2" s="1"/>
  <c r="BM52" i="2"/>
  <c r="BU52" i="2" s="1"/>
  <c r="BL52" i="2"/>
  <c r="CO52" i="2" s="1"/>
  <c r="BK52" i="2"/>
  <c r="CN52" i="2" s="1"/>
  <c r="B52" i="2"/>
  <c r="AX55" i="2" s="1"/>
  <c r="CE51" i="2"/>
  <c r="CD51" i="2"/>
  <c r="CC51" i="2"/>
  <c r="CB51" i="2"/>
  <c r="CA51" i="2"/>
  <c r="BZ51" i="2"/>
  <c r="BU51" i="2"/>
  <c r="CW51" i="2" s="1"/>
  <c r="BS51" i="2"/>
  <c r="CG51" i="2" s="1"/>
  <c r="BP51" i="2"/>
  <c r="BX51" i="2" s="1"/>
  <c r="BO51" i="2"/>
  <c r="BW51" i="2" s="1"/>
  <c r="BN51" i="2"/>
  <c r="CQ51" i="2" s="1"/>
  <c r="BM51" i="2"/>
  <c r="CP51" i="2" s="1"/>
  <c r="BL51" i="2"/>
  <c r="CO51" i="2" s="1"/>
  <c r="BK51" i="2"/>
  <c r="B51" i="2"/>
  <c r="AX54" i="2" s="1"/>
  <c r="CE50" i="2"/>
  <c r="CD50" i="2"/>
  <c r="CC50" i="2"/>
  <c r="CB50" i="2"/>
  <c r="CA50" i="2"/>
  <c r="BZ50" i="2"/>
  <c r="BW50" i="2"/>
  <c r="CK50" i="2" s="1"/>
  <c r="BS50" i="2"/>
  <c r="CU50" i="2" s="1"/>
  <c r="BP50" i="2"/>
  <c r="CS50" i="2" s="1"/>
  <c r="BO50" i="2"/>
  <c r="CR50" i="2" s="1"/>
  <c r="BN50" i="2"/>
  <c r="BV50" i="2" s="1"/>
  <c r="BM50" i="2"/>
  <c r="BU50" i="2" s="1"/>
  <c r="BL50" i="2"/>
  <c r="CO50" i="2" s="1"/>
  <c r="BK50" i="2"/>
  <c r="B50" i="2"/>
  <c r="AX53" i="2" s="1"/>
  <c r="CE49" i="2"/>
  <c r="CD49" i="2"/>
  <c r="CC49" i="2"/>
  <c r="CB49" i="2"/>
  <c r="CA49" i="2"/>
  <c r="BZ49" i="2"/>
  <c r="BV49" i="2"/>
  <c r="CX49" i="2" s="1"/>
  <c r="BP49" i="2"/>
  <c r="CS49" i="2" s="1"/>
  <c r="BO49" i="2"/>
  <c r="CR49" i="2" s="1"/>
  <c r="BN49" i="2"/>
  <c r="CQ49" i="2" s="1"/>
  <c r="BM49" i="2"/>
  <c r="CP49" i="2" s="1"/>
  <c r="BL49" i="2"/>
  <c r="BT49" i="2" s="1"/>
  <c r="BK49" i="2"/>
  <c r="B49" i="2"/>
  <c r="AX52" i="2" s="1"/>
  <c r="CE48" i="2"/>
  <c r="CD48" i="2"/>
  <c r="CC48" i="2"/>
  <c r="CB48" i="2"/>
  <c r="CA48" i="2"/>
  <c r="BZ48" i="2"/>
  <c r="BX48" i="2"/>
  <c r="CZ48" i="2" s="1"/>
  <c r="BT48" i="2"/>
  <c r="CV48" i="2" s="1"/>
  <c r="BP48" i="2"/>
  <c r="CS48" i="2" s="1"/>
  <c r="BO48" i="2"/>
  <c r="CR48" i="2" s="1"/>
  <c r="BN48" i="2"/>
  <c r="CQ48" i="2" s="1"/>
  <c r="BM48" i="2"/>
  <c r="CP48" i="2" s="1"/>
  <c r="BL48" i="2"/>
  <c r="CO48" i="2" s="1"/>
  <c r="BK48" i="2"/>
  <c r="BS48" i="2" s="1"/>
  <c r="CG48" i="2" s="1"/>
  <c r="B48" i="2"/>
  <c r="AX51" i="2" s="1"/>
  <c r="CE47" i="2"/>
  <c r="CD47" i="2"/>
  <c r="CC47" i="2"/>
  <c r="CB47" i="2"/>
  <c r="CA47" i="2"/>
  <c r="BZ47" i="2"/>
  <c r="BU47" i="2"/>
  <c r="CW47" i="2" s="1"/>
  <c r="BP47" i="2"/>
  <c r="BX47" i="2" s="1"/>
  <c r="BO47" i="2"/>
  <c r="BW47" i="2" s="1"/>
  <c r="BN47" i="2"/>
  <c r="CQ47" i="2" s="1"/>
  <c r="BM47" i="2"/>
  <c r="CP47" i="2" s="1"/>
  <c r="BL47" i="2"/>
  <c r="CO47" i="2" s="1"/>
  <c r="BK47" i="2"/>
  <c r="BS47" i="2" s="1"/>
  <c r="B47" i="2"/>
  <c r="AX50" i="2" s="1"/>
  <c r="CE46" i="2"/>
  <c r="CD46" i="2"/>
  <c r="CC46" i="2"/>
  <c r="CB46" i="2"/>
  <c r="CA46" i="2"/>
  <c r="BZ46" i="2"/>
  <c r="BW46" i="2"/>
  <c r="CK46" i="2" s="1"/>
  <c r="BT46" i="2"/>
  <c r="CV46" i="2" s="1"/>
  <c r="BP46" i="2"/>
  <c r="CS46" i="2" s="1"/>
  <c r="BO46" i="2"/>
  <c r="CR46" i="2" s="1"/>
  <c r="BN46" i="2"/>
  <c r="BV46" i="2" s="1"/>
  <c r="BM46" i="2"/>
  <c r="BU46" i="2" s="1"/>
  <c r="BL46" i="2"/>
  <c r="CO46" i="2" s="1"/>
  <c r="BK46" i="2"/>
  <c r="BS46" i="2" s="1"/>
  <c r="B46" i="2"/>
  <c r="AX49" i="2" s="1"/>
  <c r="CE45" i="2"/>
  <c r="CD45" i="2"/>
  <c r="CC45" i="2"/>
  <c r="CB45" i="2"/>
  <c r="CA45" i="2"/>
  <c r="BZ45" i="2"/>
  <c r="BV45" i="2"/>
  <c r="CX45" i="2" s="1"/>
  <c r="BU45" i="2"/>
  <c r="CI45" i="2" s="1"/>
  <c r="BP45" i="2"/>
  <c r="CS45" i="2" s="1"/>
  <c r="BO45" i="2"/>
  <c r="CR45" i="2" s="1"/>
  <c r="BN45" i="2"/>
  <c r="CQ45" i="2" s="1"/>
  <c r="BM45" i="2"/>
  <c r="CP45" i="2" s="1"/>
  <c r="BL45" i="2"/>
  <c r="BT45" i="2" s="1"/>
  <c r="BK45" i="2"/>
  <c r="B45" i="2"/>
  <c r="AX48" i="2" s="1"/>
  <c r="CE44" i="2"/>
  <c r="CD44" i="2"/>
  <c r="CC44" i="2"/>
  <c r="CB44" i="2"/>
  <c r="CA44" i="2"/>
  <c r="BZ44" i="2"/>
  <c r="BW44" i="2"/>
  <c r="CY44" i="2" s="1"/>
  <c r="BT44" i="2"/>
  <c r="CV44" i="2" s="1"/>
  <c r="BP44" i="2"/>
  <c r="CS44" i="2" s="1"/>
  <c r="BO44" i="2"/>
  <c r="CR44" i="2" s="1"/>
  <c r="BN44" i="2"/>
  <c r="CQ44" i="2" s="1"/>
  <c r="BM44" i="2"/>
  <c r="CP44" i="2" s="1"/>
  <c r="BL44" i="2"/>
  <c r="CO44" i="2" s="1"/>
  <c r="BK44" i="2"/>
  <c r="BS44" i="2" s="1"/>
  <c r="B44" i="2"/>
  <c r="AX47" i="2" s="1"/>
  <c r="CE43" i="2"/>
  <c r="CD43" i="2"/>
  <c r="CC43" i="2"/>
  <c r="CB43" i="2"/>
  <c r="CA43" i="2"/>
  <c r="BZ43" i="2"/>
  <c r="BV43" i="2"/>
  <c r="CX43" i="2" s="1"/>
  <c r="BU43" i="2"/>
  <c r="CW43" i="2" s="1"/>
  <c r="BP43" i="2"/>
  <c r="BX43" i="2" s="1"/>
  <c r="BO43" i="2"/>
  <c r="BW43" i="2" s="1"/>
  <c r="BN43" i="2"/>
  <c r="CQ43" i="2" s="1"/>
  <c r="BM43" i="2"/>
  <c r="CP43" i="2" s="1"/>
  <c r="BL43" i="2"/>
  <c r="CO43" i="2" s="1"/>
  <c r="BK43" i="2"/>
  <c r="BS43" i="2" s="1"/>
  <c r="B43" i="2"/>
  <c r="AX46" i="2" s="1"/>
  <c r="CE42" i="2"/>
  <c r="CD42" i="2"/>
  <c r="CC42" i="2"/>
  <c r="CB42" i="2"/>
  <c r="CA42" i="2"/>
  <c r="BZ42" i="2"/>
  <c r="BW42" i="2"/>
  <c r="CK42" i="2" s="1"/>
  <c r="BT42" i="2"/>
  <c r="CV42" i="2" s="1"/>
  <c r="BP42" i="2"/>
  <c r="CS42" i="2" s="1"/>
  <c r="BO42" i="2"/>
  <c r="CR42" i="2" s="1"/>
  <c r="BN42" i="2"/>
  <c r="BV42" i="2" s="1"/>
  <c r="BM42" i="2"/>
  <c r="BU42" i="2" s="1"/>
  <c r="BL42" i="2"/>
  <c r="CO42" i="2" s="1"/>
  <c r="BK42" i="2"/>
  <c r="BS42" i="2" s="1"/>
  <c r="B42" i="2"/>
  <c r="AX45" i="2" s="1"/>
  <c r="CE41" i="2"/>
  <c r="CD41" i="2"/>
  <c r="CC41" i="2"/>
  <c r="CB41" i="2"/>
  <c r="CA41" i="2"/>
  <c r="BZ41" i="2"/>
  <c r="BV41" i="2"/>
  <c r="CX41" i="2" s="1"/>
  <c r="BP41" i="2"/>
  <c r="CS41" i="2" s="1"/>
  <c r="BO41" i="2"/>
  <c r="CR41" i="2" s="1"/>
  <c r="BN41" i="2"/>
  <c r="CQ41" i="2" s="1"/>
  <c r="BM41" i="2"/>
  <c r="CP41" i="2" s="1"/>
  <c r="BL41" i="2"/>
  <c r="BT41" i="2" s="1"/>
  <c r="BK41" i="2"/>
  <c r="AX41" i="2"/>
  <c r="B41" i="2"/>
  <c r="AX44" i="2" s="1"/>
  <c r="CE40" i="2"/>
  <c r="CD40" i="2"/>
  <c r="CC40" i="2"/>
  <c r="CB40" i="2"/>
  <c r="CA40" i="2"/>
  <c r="BZ40" i="2"/>
  <c r="BX40" i="2"/>
  <c r="CZ40" i="2" s="1"/>
  <c r="BP40" i="2"/>
  <c r="CS40" i="2" s="1"/>
  <c r="BO40" i="2"/>
  <c r="CR40" i="2" s="1"/>
  <c r="BN40" i="2"/>
  <c r="CQ40" i="2" s="1"/>
  <c r="BM40" i="2"/>
  <c r="CP40" i="2" s="1"/>
  <c r="BL40" i="2"/>
  <c r="CO40" i="2" s="1"/>
  <c r="BK40" i="2"/>
  <c r="BS40" i="2" s="1"/>
  <c r="B40" i="2"/>
  <c r="AX43" i="2" s="1"/>
  <c r="B39" i="2"/>
  <c r="AX42" i="2" s="1"/>
  <c r="B38" i="2"/>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B3" i="1" s="1"/>
  <c r="A33" i="2"/>
  <c r="B2" i="1" s="1"/>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D27" i="2"/>
  <c r="AB27" i="2"/>
  <c r="AA27" i="2"/>
  <c r="R27" i="2"/>
  <c r="N27" i="2"/>
  <c r="C27" i="2"/>
  <c r="BS26" i="2"/>
  <c r="BM26" i="2"/>
  <c r="AM26" i="2"/>
  <c r="AK26" i="2"/>
  <c r="AN26" i="2" s="1"/>
  <c r="AB26" i="2"/>
  <c r="AA26" i="2"/>
  <c r="R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O2" i="2" s="1" a="1"/>
  <c r="BO2" i="2" s="1"/>
  <c r="BZ2" i="2"/>
  <c r="BY2" i="2"/>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1" i="1"/>
  <c r="CG44" i="2" l="1"/>
  <c r="CU42" i="2"/>
  <c r="F63" i="7"/>
  <c r="F63" i="6"/>
  <c r="AJ39" i="7"/>
  <c r="U63" i="6"/>
  <c r="A2" i="3"/>
  <c r="A3" i="3" s="1"/>
  <c r="B2" i="3"/>
  <c r="B3" i="3" s="1"/>
  <c r="AJ15" i="7"/>
  <c r="K2" i="3"/>
  <c r="K3" i="3" s="1"/>
  <c r="AJ63" i="7"/>
  <c r="AJ63" i="6"/>
  <c r="AJ15" i="6"/>
  <c r="AY15" i="6"/>
  <c r="U39" i="7"/>
  <c r="I2" i="3"/>
  <c r="I3" i="3" s="1"/>
  <c r="CI52" i="2"/>
  <c r="CW52" i="2"/>
  <c r="CU46" i="2"/>
  <c r="CG46" i="2"/>
  <c r="BX42" i="2"/>
  <c r="CZ42" i="2" s="1"/>
  <c r="BX44" i="2"/>
  <c r="CZ44" i="2" s="1"/>
  <c r="BX46" i="2"/>
  <c r="CZ46" i="2" s="1"/>
  <c r="BV47" i="2"/>
  <c r="CX47" i="2" s="1"/>
  <c r="BW48" i="2"/>
  <c r="BU49" i="2"/>
  <c r="CI49" i="2" s="1"/>
  <c r="BT50" i="2"/>
  <c r="CV50" i="2" s="1"/>
  <c r="CP53" i="2"/>
  <c r="BX55" i="2"/>
  <c r="CL55" i="2" s="1"/>
  <c r="CG50" i="2"/>
  <c r="BW53" i="2"/>
  <c r="CY53" i="2" s="1"/>
  <c r="BV54" i="2"/>
  <c r="CX54" i="2" s="1"/>
  <c r="BX50" i="2"/>
  <c r="CZ50" i="2" s="1"/>
  <c r="BT52" i="2"/>
  <c r="CV52" i="2" s="1"/>
  <c r="BX54" i="2"/>
  <c r="CZ54" i="2" s="1"/>
  <c r="BV51" i="2"/>
  <c r="CX51" i="2" s="1"/>
  <c r="BT40" i="2"/>
  <c r="CV40" i="2" s="1"/>
  <c r="BW40" i="2"/>
  <c r="CY40" i="2" s="1"/>
  <c r="BU41" i="2"/>
  <c r="CI41" i="2" s="1"/>
  <c r="CJ41" i="2"/>
  <c r="CR52" i="2"/>
  <c r="CI51" i="2"/>
  <c r="CI55" i="2"/>
  <c r="CI47" i="2"/>
  <c r="CU54" i="2"/>
  <c r="CH48" i="2"/>
  <c r="CJ49" i="2"/>
  <c r="CL50" i="2"/>
  <c r="CJ45" i="2"/>
  <c r="CH44" i="2"/>
  <c r="CK44" i="2"/>
  <c r="CI43" i="2"/>
  <c r="CG42" i="2"/>
  <c r="CL42" i="2"/>
  <c r="I19" i="5"/>
  <c r="AD25" i="5" s="1"/>
  <c r="W25" i="5" s="1"/>
  <c r="S16" i="5" s="1"/>
  <c r="J40" i="9" s="1"/>
  <c r="CH40" i="2"/>
  <c r="CK40" i="2"/>
  <c r="CY43" i="2"/>
  <c r="CK43" i="2"/>
  <c r="CV45" i="2"/>
  <c r="CH45" i="2"/>
  <c r="CX50" i="2"/>
  <c r="CJ50" i="2"/>
  <c r="CW53" i="2"/>
  <c r="CI53" i="2"/>
  <c r="BO1" i="2" a="1"/>
  <c r="BO1" i="2" s="1"/>
  <c r="AP18" i="7"/>
  <c r="AP18" i="6"/>
  <c r="BE18" i="7"/>
  <c r="BE18" i="6"/>
  <c r="L42" i="7"/>
  <c r="L42" i="6"/>
  <c r="AA42" i="7"/>
  <c r="AA42" i="6"/>
  <c r="AP42" i="6"/>
  <c r="AP42" i="7"/>
  <c r="BE42" i="6"/>
  <c r="BE42" i="7"/>
  <c r="L66" i="6"/>
  <c r="L66" i="7"/>
  <c r="BE66" i="7"/>
  <c r="BE66" i="6"/>
  <c r="R99" i="7"/>
  <c r="R99" i="6"/>
  <c r="AG99" i="7"/>
  <c r="CZ43" i="2"/>
  <c r="CL43" i="2"/>
  <c r="CW46" i="2"/>
  <c r="CI46" i="2"/>
  <c r="Q79" i="7"/>
  <c r="Q55" i="7"/>
  <c r="Q31" i="7"/>
  <c r="AF103" i="7"/>
  <c r="B79" i="7"/>
  <c r="B55" i="7"/>
  <c r="B31" i="7"/>
  <c r="Q7" i="7"/>
  <c r="B103" i="6"/>
  <c r="Q103" i="7"/>
  <c r="AU103" i="7"/>
  <c r="AF79" i="7"/>
  <c r="AF55" i="7"/>
  <c r="AF103" i="6"/>
  <c r="AU7" i="7"/>
  <c r="AU79" i="6"/>
  <c r="AU55" i="6"/>
  <c r="AF7" i="7"/>
  <c r="Q103" i="6"/>
  <c r="AF79" i="6"/>
  <c r="AF55" i="6"/>
  <c r="AF31" i="6"/>
  <c r="AU7" i="6"/>
  <c r="AU79" i="7"/>
  <c r="Q79" i="6"/>
  <c r="Q55" i="6"/>
  <c r="Q31" i="6"/>
  <c r="AF7" i="6"/>
  <c r="AU31" i="7"/>
  <c r="B79" i="6"/>
  <c r="B55" i="6"/>
  <c r="B31" i="6"/>
  <c r="B103" i="7"/>
  <c r="AF31" i="7"/>
  <c r="AU55" i="7"/>
  <c r="AU103" i="6"/>
  <c r="AU31" i="6"/>
  <c r="Q7" i="6"/>
  <c r="AL14" i="7"/>
  <c r="W86" i="7"/>
  <c r="W62" i="7"/>
  <c r="W38" i="7"/>
  <c r="H110" i="6"/>
  <c r="AL86" i="7"/>
  <c r="AL62" i="7"/>
  <c r="AL38" i="7"/>
  <c r="BA86" i="7"/>
  <c r="BA62" i="7"/>
  <c r="BA38" i="7"/>
  <c r="H86" i="7"/>
  <c r="H62" i="7"/>
  <c r="H110" i="7"/>
  <c r="H38" i="7"/>
  <c r="BA86" i="6"/>
  <c r="BA62" i="6"/>
  <c r="BA38" i="6"/>
  <c r="BA14" i="7"/>
  <c r="W14" i="7"/>
  <c r="H86" i="6"/>
  <c r="H62" i="6"/>
  <c r="H38" i="6"/>
  <c r="AL14" i="6"/>
  <c r="W86" i="6"/>
  <c r="W62" i="6"/>
  <c r="W38" i="6"/>
  <c r="BA14" i="6"/>
  <c r="AL86" i="6"/>
  <c r="AL62" i="6"/>
  <c r="AL38" i="6"/>
  <c r="W14" i="6"/>
  <c r="Y86" i="7"/>
  <c r="Y62" i="7"/>
  <c r="Y38" i="7"/>
  <c r="BC14" i="7"/>
  <c r="J110" i="7"/>
  <c r="Y14" i="7"/>
  <c r="BC86" i="6"/>
  <c r="J86" i="7"/>
  <c r="Y14" i="6"/>
  <c r="AN86" i="7"/>
  <c r="BC62" i="7"/>
  <c r="J110" i="6"/>
  <c r="J86" i="6"/>
  <c r="J62" i="6"/>
  <c r="AN14" i="6"/>
  <c r="J62" i="7"/>
  <c r="BC38" i="7"/>
  <c r="Y86" i="6"/>
  <c r="Y62" i="6"/>
  <c r="Y38" i="6"/>
  <c r="AN62" i="7"/>
  <c r="BC14" i="6"/>
  <c r="AN14" i="7"/>
  <c r="AN86" i="6"/>
  <c r="AN62" i="6"/>
  <c r="AN38" i="6"/>
  <c r="BC86" i="7"/>
  <c r="AN38" i="7"/>
  <c r="J38" i="7"/>
  <c r="BC38" i="6"/>
  <c r="J38" i="6"/>
  <c r="BC62" i="6"/>
  <c r="AA18" i="7"/>
  <c r="AA18" i="6"/>
  <c r="BE90" i="7"/>
  <c r="BE90" i="6"/>
  <c r="CV41" i="2"/>
  <c r="CH41" i="2"/>
  <c r="CX46" i="2"/>
  <c r="CJ46" i="2"/>
  <c r="CG47" i="2"/>
  <c r="CU47" i="2"/>
  <c r="Q81" i="7"/>
  <c r="Q57" i="7"/>
  <c r="Q33" i="7"/>
  <c r="B81" i="7"/>
  <c r="B57" i="7"/>
  <c r="B33" i="7"/>
  <c r="AF105" i="6"/>
  <c r="AU105" i="7"/>
  <c r="AU9" i="7"/>
  <c r="Q105" i="7"/>
  <c r="Q9" i="7"/>
  <c r="AF81" i="7"/>
  <c r="AF57" i="7"/>
  <c r="B105" i="7"/>
  <c r="B105" i="6"/>
  <c r="AU81" i="7"/>
  <c r="AU33" i="7"/>
  <c r="Q9" i="6"/>
  <c r="AF33" i="7"/>
  <c r="AF9" i="7"/>
  <c r="AU81" i="6"/>
  <c r="AU57" i="6"/>
  <c r="AF81" i="6"/>
  <c r="AF57" i="6"/>
  <c r="AF33" i="6"/>
  <c r="AU57" i="7"/>
  <c r="Q81" i="6"/>
  <c r="Q57" i="6"/>
  <c r="Q33" i="6"/>
  <c r="B81" i="6"/>
  <c r="B57" i="6"/>
  <c r="B33" i="6"/>
  <c r="AU105" i="6"/>
  <c r="AF105" i="7"/>
  <c r="Q105" i="6"/>
  <c r="AU9" i="6"/>
  <c r="AF9" i="6"/>
  <c r="AU33" i="6"/>
  <c r="Q83" i="7"/>
  <c r="Q59" i="7"/>
  <c r="Q35" i="7"/>
  <c r="AF11" i="7"/>
  <c r="B83" i="7"/>
  <c r="B59" i="7"/>
  <c r="B35" i="7"/>
  <c r="Q11" i="7"/>
  <c r="AF107" i="6"/>
  <c r="AU107" i="7"/>
  <c r="Q107" i="7"/>
  <c r="AF83" i="7"/>
  <c r="AF59" i="7"/>
  <c r="AU107" i="6"/>
  <c r="AU59" i="7"/>
  <c r="AU11" i="7"/>
  <c r="Q107" i="6"/>
  <c r="B107" i="6"/>
  <c r="AU83" i="6"/>
  <c r="AU59" i="6"/>
  <c r="AF83" i="6"/>
  <c r="AF59" i="6"/>
  <c r="AF35" i="6"/>
  <c r="AU11" i="6"/>
  <c r="AF107" i="7"/>
  <c r="Q83" i="6"/>
  <c r="Q59" i="6"/>
  <c r="Q35" i="6"/>
  <c r="AF11" i="6"/>
  <c r="B107" i="7"/>
  <c r="AU35" i="7"/>
  <c r="B83" i="6"/>
  <c r="B59" i="6"/>
  <c r="B35" i="6"/>
  <c r="AU83" i="7"/>
  <c r="AF35" i="7"/>
  <c r="AU35" i="6"/>
  <c r="Q11" i="6"/>
  <c r="AU113" i="7"/>
  <c r="B89" i="7"/>
  <c r="B65" i="7"/>
  <c r="B41" i="7"/>
  <c r="Q17" i="7"/>
  <c r="Q113" i="6"/>
  <c r="Q89" i="7"/>
  <c r="Q65" i="7"/>
  <c r="Q41" i="7"/>
  <c r="AF17" i="7"/>
  <c r="AF89" i="7"/>
  <c r="AF65" i="7"/>
  <c r="AF41" i="7"/>
  <c r="AU17" i="7"/>
  <c r="AU113" i="6"/>
  <c r="AU89" i="7"/>
  <c r="AU65" i="7"/>
  <c r="AU41" i="7"/>
  <c r="B113" i="7"/>
  <c r="B113" i="6"/>
  <c r="AF89" i="6"/>
  <c r="AF65" i="6"/>
  <c r="AF41" i="6"/>
  <c r="AU17" i="6"/>
  <c r="AF113" i="7"/>
  <c r="AF113" i="6"/>
  <c r="AU89" i="6"/>
  <c r="AU65" i="6"/>
  <c r="AU41" i="6"/>
  <c r="Q113" i="7"/>
  <c r="B89" i="6"/>
  <c r="B65" i="6"/>
  <c r="B41" i="6"/>
  <c r="Q17" i="6"/>
  <c r="Q89" i="6"/>
  <c r="Q65" i="6"/>
  <c r="Q41" i="6"/>
  <c r="AF17" i="6"/>
  <c r="BE14" i="7"/>
  <c r="AP86" i="7"/>
  <c r="AP62" i="7"/>
  <c r="AP38" i="7"/>
  <c r="BE86" i="7"/>
  <c r="BE62" i="7"/>
  <c r="BE38" i="7"/>
  <c r="L86" i="7"/>
  <c r="L62" i="7"/>
  <c r="L38" i="7"/>
  <c r="AA86" i="7"/>
  <c r="AA62" i="7"/>
  <c r="AA14" i="7"/>
  <c r="L110" i="6"/>
  <c r="L86" i="6"/>
  <c r="L62" i="6"/>
  <c r="L38" i="6"/>
  <c r="AA38" i="7"/>
  <c r="AA86" i="6"/>
  <c r="AA62" i="6"/>
  <c r="AA38" i="6"/>
  <c r="BE14" i="6"/>
  <c r="AP14" i="7"/>
  <c r="AP86" i="6"/>
  <c r="AP62" i="6"/>
  <c r="AP38" i="6"/>
  <c r="L110" i="7"/>
  <c r="BE86" i="6"/>
  <c r="BE62" i="6"/>
  <c r="BE38" i="6"/>
  <c r="AP14" i="6"/>
  <c r="AA14" i="6"/>
  <c r="CW42" i="2"/>
  <c r="CI42" i="2"/>
  <c r="D89" i="7"/>
  <c r="D65" i="7"/>
  <c r="D41" i="7"/>
  <c r="S17" i="7"/>
  <c r="D113" i="7"/>
  <c r="AH89" i="7"/>
  <c r="S41" i="7"/>
  <c r="D113" i="6"/>
  <c r="AH89" i="6"/>
  <c r="AH65" i="6"/>
  <c r="AH17" i="7"/>
  <c r="AW89" i="6"/>
  <c r="AW65" i="6"/>
  <c r="AW41" i="6"/>
  <c r="S89" i="7"/>
  <c r="AH65" i="7"/>
  <c r="AW89" i="7"/>
  <c r="AH41" i="7"/>
  <c r="D89" i="6"/>
  <c r="D65" i="6"/>
  <c r="D41" i="6"/>
  <c r="S17" i="6"/>
  <c r="S65" i="7"/>
  <c r="AW17" i="7"/>
  <c r="S89" i="6"/>
  <c r="S65" i="6"/>
  <c r="S41" i="6"/>
  <c r="AH17" i="6"/>
  <c r="AW65" i="7"/>
  <c r="AW41" i="7"/>
  <c r="AW17" i="6"/>
  <c r="AH41" i="6"/>
  <c r="AN89" i="7"/>
  <c r="AN65" i="7"/>
  <c r="AN41" i="7"/>
  <c r="BC17" i="7"/>
  <c r="BC89" i="7"/>
  <c r="BC65" i="7"/>
  <c r="BC41" i="7"/>
  <c r="J113" i="6"/>
  <c r="J89" i="7"/>
  <c r="J65" i="7"/>
  <c r="J41" i="7"/>
  <c r="Y17" i="7"/>
  <c r="Y89" i="7"/>
  <c r="Y65" i="7"/>
  <c r="AN17" i="7"/>
  <c r="J89" i="6"/>
  <c r="J65" i="6"/>
  <c r="J41" i="6"/>
  <c r="Y17" i="6"/>
  <c r="Y89" i="6"/>
  <c r="Y65" i="6"/>
  <c r="Y41" i="6"/>
  <c r="AN17" i="6"/>
  <c r="AN89" i="6"/>
  <c r="AN65" i="6"/>
  <c r="AN41" i="6"/>
  <c r="BC17" i="6"/>
  <c r="Y41" i="7"/>
  <c r="J113" i="7"/>
  <c r="BC89" i="6"/>
  <c r="BC65" i="6"/>
  <c r="BC41" i="6"/>
  <c r="AP66" i="6"/>
  <c r="AP66" i="7"/>
  <c r="CX42" i="2"/>
  <c r="CJ42" i="2"/>
  <c r="CG43" i="2"/>
  <c r="CU43" i="2"/>
  <c r="CY51" i="2"/>
  <c r="CK51" i="2"/>
  <c r="CZ51" i="2"/>
  <c r="CL51" i="2"/>
  <c r="CK52" i="2"/>
  <c r="CY52" i="2"/>
  <c r="W89" i="7"/>
  <c r="W65" i="7"/>
  <c r="W41" i="7"/>
  <c r="AL17" i="7"/>
  <c r="H113" i="7"/>
  <c r="H65" i="7"/>
  <c r="BA89" i="6"/>
  <c r="BA65" i="6"/>
  <c r="AL65" i="7"/>
  <c r="BA89" i="7"/>
  <c r="AL41" i="7"/>
  <c r="H41" i="7"/>
  <c r="H89" i="6"/>
  <c r="H65" i="6"/>
  <c r="BA17" i="7"/>
  <c r="W17" i="7"/>
  <c r="W89" i="6"/>
  <c r="W65" i="6"/>
  <c r="W41" i="6"/>
  <c r="AL17" i="6"/>
  <c r="H89" i="7"/>
  <c r="BA65" i="7"/>
  <c r="BA41" i="7"/>
  <c r="AL89" i="7"/>
  <c r="H113" i="6"/>
  <c r="AL89" i="6"/>
  <c r="AL65" i="6"/>
  <c r="AL41" i="6"/>
  <c r="BA17" i="6"/>
  <c r="BA41" i="6"/>
  <c r="H41" i="6"/>
  <c r="W17" i="6"/>
  <c r="L90" i="6"/>
  <c r="L90" i="7"/>
  <c r="CY47" i="2"/>
  <c r="CK47" i="2"/>
  <c r="CV49" i="2"/>
  <c r="CH49" i="2"/>
  <c r="Q77" i="7"/>
  <c r="Q53" i="7"/>
  <c r="Q29" i="7"/>
  <c r="AU101" i="7"/>
  <c r="B77" i="7"/>
  <c r="B53" i="7"/>
  <c r="B29" i="7"/>
  <c r="B101" i="6"/>
  <c r="Q101" i="7"/>
  <c r="AF5" i="7"/>
  <c r="AF77" i="7"/>
  <c r="AF101" i="7"/>
  <c r="AU101" i="6"/>
  <c r="B101" i="7"/>
  <c r="AU29" i="7"/>
  <c r="AF101" i="6"/>
  <c r="AF5" i="6"/>
  <c r="AF29" i="7"/>
  <c r="Q101" i="6"/>
  <c r="AU77" i="6"/>
  <c r="AU53" i="6"/>
  <c r="AU53" i="7"/>
  <c r="AU5" i="7"/>
  <c r="AF77" i="6"/>
  <c r="AF53" i="6"/>
  <c r="AF29" i="6"/>
  <c r="AF53" i="7"/>
  <c r="Q5" i="7"/>
  <c r="Q77" i="6"/>
  <c r="Q53" i="6"/>
  <c r="Q29" i="6"/>
  <c r="B77" i="6"/>
  <c r="B53" i="6"/>
  <c r="B29" i="6"/>
  <c r="AU77" i="7"/>
  <c r="AU5" i="6"/>
  <c r="Q5" i="6"/>
  <c r="AU29" i="6"/>
  <c r="AR86" i="7"/>
  <c r="AR62" i="7"/>
  <c r="AR38" i="7"/>
  <c r="N110" i="7"/>
  <c r="AC14" i="7"/>
  <c r="AR14" i="7"/>
  <c r="N86" i="7"/>
  <c r="AC62" i="7"/>
  <c r="N110" i="6"/>
  <c r="N86" i="6"/>
  <c r="BG62" i="7"/>
  <c r="BG14" i="7"/>
  <c r="AR14" i="6"/>
  <c r="AC38" i="7"/>
  <c r="AC86" i="6"/>
  <c r="AC62" i="6"/>
  <c r="N62" i="7"/>
  <c r="BG38" i="7"/>
  <c r="BG14" i="6"/>
  <c r="AR86" i="6"/>
  <c r="AR62" i="6"/>
  <c r="AR38" i="6"/>
  <c r="AC86" i="7"/>
  <c r="BG86" i="7"/>
  <c r="N38" i="7"/>
  <c r="BG86" i="6"/>
  <c r="BG62" i="6"/>
  <c r="BG38" i="6"/>
  <c r="AC14" i="6"/>
  <c r="N38" i="6"/>
  <c r="N62" i="6"/>
  <c r="AC38" i="6"/>
  <c r="AU118" i="6"/>
  <c r="Q94" i="6"/>
  <c r="AF94" i="7"/>
  <c r="AF70" i="7"/>
  <c r="AF46" i="7"/>
  <c r="Q118" i="6"/>
  <c r="AF118" i="7"/>
  <c r="B94" i="7"/>
  <c r="B70" i="7"/>
  <c r="B46" i="7"/>
  <c r="AF22" i="7"/>
  <c r="B118" i="7"/>
  <c r="AU94" i="6"/>
  <c r="Q70" i="6"/>
  <c r="AF94" i="6"/>
  <c r="B70" i="6"/>
  <c r="B46" i="6"/>
  <c r="AF22" i="6"/>
  <c r="AU94" i="7"/>
  <c r="B94" i="6"/>
  <c r="Q94" i="7"/>
  <c r="AU46" i="7"/>
  <c r="Q46" i="7"/>
  <c r="AU22" i="7"/>
  <c r="AF118" i="6"/>
  <c r="AU118" i="7"/>
  <c r="AU70" i="7"/>
  <c r="Q22" i="7"/>
  <c r="B118" i="6"/>
  <c r="Q118" i="7"/>
  <c r="Q70" i="7"/>
  <c r="AU70" i="6"/>
  <c r="AU46" i="6"/>
  <c r="AF70" i="6"/>
  <c r="AF46" i="6"/>
  <c r="Q46" i="6"/>
  <c r="AU22" i="6"/>
  <c r="Q22" i="6"/>
  <c r="AA66" i="7"/>
  <c r="AA66" i="6"/>
  <c r="CZ47" i="2"/>
  <c r="CL47" i="2"/>
  <c r="CW50" i="2"/>
  <c r="CI50" i="2"/>
  <c r="L7" i="7"/>
  <c r="L7" i="6"/>
  <c r="CU40" i="2"/>
  <c r="AG62" i="2"/>
  <c r="AF62" i="2"/>
  <c r="AE62" i="2"/>
  <c r="AD62" i="2"/>
  <c r="AC62" i="2"/>
  <c r="CN41" i="2"/>
  <c r="CP42" i="2"/>
  <c r="CY42" i="2"/>
  <c r="CR43" i="2"/>
  <c r="CU44" i="2"/>
  <c r="AC66" i="2"/>
  <c r="AG66" i="2"/>
  <c r="AF66" i="2"/>
  <c r="AE66" i="2"/>
  <c r="AD66" i="2"/>
  <c r="CN45" i="2"/>
  <c r="CW45" i="2"/>
  <c r="CP46" i="2"/>
  <c r="CY46" i="2"/>
  <c r="CR47" i="2"/>
  <c r="CU48" i="2"/>
  <c r="AE70" i="2"/>
  <c r="AG70" i="2"/>
  <c r="AF70" i="2"/>
  <c r="AD70" i="2"/>
  <c r="AC70" i="2"/>
  <c r="CN49" i="2"/>
  <c r="CW49" i="2"/>
  <c r="CP50" i="2"/>
  <c r="CY50" i="2"/>
  <c r="CR51" i="2"/>
  <c r="CL52" i="2"/>
  <c r="CR54" i="2"/>
  <c r="D9" i="6"/>
  <c r="D9" i="7"/>
  <c r="H5" i="6"/>
  <c r="H5" i="7"/>
  <c r="L17" i="7"/>
  <c r="L17" i="6"/>
  <c r="L9" i="7"/>
  <c r="L9" i="6"/>
  <c r="L22" i="6"/>
  <c r="L22" i="7"/>
  <c r="CL40" i="2"/>
  <c r="CO41" i="2"/>
  <c r="CH42" i="2"/>
  <c r="CQ42" i="2"/>
  <c r="CJ43" i="2"/>
  <c r="CS43" i="2"/>
  <c r="CL44" i="2"/>
  <c r="CO45" i="2"/>
  <c r="CH46" i="2"/>
  <c r="CQ46" i="2"/>
  <c r="CS47" i="2"/>
  <c r="CL48" i="2"/>
  <c r="CO49" i="2"/>
  <c r="CQ50" i="2"/>
  <c r="CS51" i="2"/>
  <c r="CX55" i="2"/>
  <c r="CJ55" i="2"/>
  <c r="H6" i="7"/>
  <c r="H6" i="6"/>
  <c r="AK27" i="2"/>
  <c r="AN27" i="2" s="1"/>
  <c r="AC61" i="2"/>
  <c r="AG61" i="2"/>
  <c r="AE61" i="2"/>
  <c r="AD61" i="2"/>
  <c r="BU40" i="2"/>
  <c r="CN40" i="2"/>
  <c r="BW41" i="2"/>
  <c r="AG65" i="2"/>
  <c r="AF65" i="2"/>
  <c r="AE65" i="2"/>
  <c r="AD65" i="2"/>
  <c r="AC65" i="2"/>
  <c r="BU44" i="2"/>
  <c r="CN44" i="2"/>
  <c r="BW45" i="2"/>
  <c r="AE69" i="2"/>
  <c r="AF69" i="2"/>
  <c r="AD69" i="2"/>
  <c r="AC69" i="2"/>
  <c r="AG69" i="2"/>
  <c r="BU48" i="2"/>
  <c r="CN48" i="2"/>
  <c r="BW49" i="2"/>
  <c r="CU51" i="2"/>
  <c r="AG73" i="2"/>
  <c r="AE73" i="2"/>
  <c r="AC73" i="2"/>
  <c r="AF73" i="2"/>
  <c r="AD73" i="2"/>
  <c r="AC74" i="2"/>
  <c r="AG74" i="2"/>
  <c r="AE74" i="2"/>
  <c r="AF74" i="2"/>
  <c r="AD74" i="2"/>
  <c r="CK55" i="2"/>
  <c r="CY55" i="2"/>
  <c r="AA90" i="7"/>
  <c r="AA90" i="6"/>
  <c r="AP90" i="7"/>
  <c r="AP90" i="6"/>
  <c r="AV99" i="7"/>
  <c r="AV99" i="6"/>
  <c r="L11" i="7"/>
  <c r="L11" i="6"/>
  <c r="D17" i="7"/>
  <c r="D17" i="6"/>
  <c r="BV40" i="2"/>
  <c r="BX41" i="2"/>
  <c r="BT43" i="2"/>
  <c r="BV44" i="2"/>
  <c r="BX45" i="2"/>
  <c r="BT47" i="2"/>
  <c r="BV48" i="2"/>
  <c r="BX49" i="2"/>
  <c r="BT51" i="2"/>
  <c r="BV52" i="2"/>
  <c r="CJ53" i="2"/>
  <c r="CG53" i="2"/>
  <c r="BT54" i="2"/>
  <c r="CG40" i="2"/>
  <c r="AD64" i="2"/>
  <c r="AC64" i="2"/>
  <c r="AG64" i="2"/>
  <c r="AF64" i="2"/>
  <c r="AE64" i="2"/>
  <c r="CN43" i="2"/>
  <c r="AD68" i="2"/>
  <c r="AG68" i="2"/>
  <c r="AF68" i="2"/>
  <c r="AE68" i="2"/>
  <c r="AC68" i="2"/>
  <c r="CN47" i="2"/>
  <c r="AG72" i="2"/>
  <c r="AD72" i="2"/>
  <c r="AE72" i="2"/>
  <c r="AC72" i="2"/>
  <c r="AF72" i="2"/>
  <c r="CN51" i="2"/>
  <c r="CG52" i="2"/>
  <c r="CV53" i="2"/>
  <c r="H9" i="6"/>
  <c r="H9" i="7"/>
  <c r="D11" i="7"/>
  <c r="D11" i="6"/>
  <c r="CH52" i="2"/>
  <c r="AF61" i="2"/>
  <c r="L5" i="6"/>
  <c r="L5" i="7"/>
  <c r="H7" i="7"/>
  <c r="H7" i="6"/>
  <c r="BS41" i="2"/>
  <c r="AF63" i="2"/>
  <c r="AE63" i="2"/>
  <c r="AD63" i="2"/>
  <c r="AC63" i="2"/>
  <c r="AG63" i="2"/>
  <c r="CN42" i="2"/>
  <c r="BS45" i="2"/>
  <c r="AC67" i="2"/>
  <c r="AG67" i="2"/>
  <c r="AF67" i="2"/>
  <c r="AE67" i="2"/>
  <c r="AD67" i="2"/>
  <c r="CN46" i="2"/>
  <c r="BS49" i="2"/>
  <c r="AF71" i="2"/>
  <c r="AC71" i="2"/>
  <c r="AG71" i="2"/>
  <c r="AE71" i="2"/>
  <c r="AD71" i="2"/>
  <c r="CN50" i="2"/>
  <c r="CK54" i="2"/>
  <c r="CU55" i="2"/>
  <c r="CG55" i="2"/>
  <c r="L114" i="7"/>
  <c r="L114" i="6"/>
  <c r="C3" i="7"/>
  <c r="C3" i="6"/>
  <c r="D5" i="7"/>
  <c r="D5" i="6"/>
  <c r="CS53" i="2"/>
  <c r="BX53" i="2"/>
  <c r="CN53" i="2"/>
  <c r="CL54" i="2"/>
  <c r="AG76" i="2"/>
  <c r="CQ55" i="2"/>
  <c r="AD75" i="2"/>
  <c r="AC75" i="2"/>
  <c r="AF75" i="2"/>
  <c r="BU54" i="2"/>
  <c r="CN54" i="2"/>
  <c r="AE75" i="2"/>
  <c r="BT55" i="2"/>
  <c r="AG75" i="2"/>
  <c r="AF76" i="2"/>
  <c r="AE76" i="2"/>
  <c r="AD76" i="2"/>
  <c r="AC76" i="2"/>
  <c r="CN55" i="2"/>
  <c r="H3" i="5"/>
  <c r="H39" i="9" s="1"/>
  <c r="S9" i="5"/>
  <c r="AF12" i="5" s="1"/>
  <c r="S10" i="5"/>
  <c r="AG12" i="5" s="1"/>
  <c r="AE10" i="5"/>
  <c r="AH23" i="5"/>
  <c r="D3" i="5"/>
  <c r="D39" i="9" s="1"/>
  <c r="AF8" i="5"/>
  <c r="AG10" i="5"/>
  <c r="D16" i="5"/>
  <c r="D40" i="9" s="1"/>
  <c r="S35" i="5"/>
  <c r="AF38" i="5" s="1"/>
  <c r="E3" i="5"/>
  <c r="E39" i="9" s="1"/>
  <c r="AH10" i="5"/>
  <c r="E16" i="5"/>
  <c r="E40" i="9" s="1"/>
  <c r="AE7" i="5"/>
  <c r="AE23" i="5"/>
  <c r="AF34" i="5"/>
  <c r="AE33" i="5"/>
  <c r="AE32" i="5"/>
  <c r="AG36" i="5"/>
  <c r="AE35" i="5"/>
  <c r="Y29" i="5" s="1"/>
  <c r="H29" i="5" s="1"/>
  <c r="H41" i="9" s="1"/>
  <c r="AF36" i="5"/>
  <c r="AE34" i="5"/>
  <c r="AF23" i="5"/>
  <c r="AE22" i="5"/>
  <c r="AE36" i="5"/>
  <c r="U15" i="7"/>
  <c r="AY15" i="7"/>
  <c r="F87" i="7"/>
  <c r="F39" i="7"/>
  <c r="CZ55" i="2" l="1"/>
  <c r="CJ51" i="2"/>
  <c r="CH50" i="2"/>
  <c r="CJ47" i="2"/>
  <c r="CW41" i="2"/>
  <c r="CL46" i="2"/>
  <c r="BI46" i="2" s="1"/>
  <c r="AG43" i="2" s="1"/>
  <c r="CJ54" i="2"/>
  <c r="AI43" i="2"/>
  <c r="AL8" i="2" s="1"/>
  <c r="BF8" i="2" s="1"/>
  <c r="AI47" i="2"/>
  <c r="AL12" i="2" s="1"/>
  <c r="AU12" i="2" s="1"/>
  <c r="CK53" i="2"/>
  <c r="CY48" i="2"/>
  <c r="CK48" i="2"/>
  <c r="AI39" i="2"/>
  <c r="AL4" i="2" s="1"/>
  <c r="BF4" i="2" s="1"/>
  <c r="AY60" i="2"/>
  <c r="BF12" i="2"/>
  <c r="CV55" i="2"/>
  <c r="CH55" i="2"/>
  <c r="BI55" i="2" s="1"/>
  <c r="AG52" i="2" s="1"/>
  <c r="CH54" i="2"/>
  <c r="CV54" i="2"/>
  <c r="CL45" i="2"/>
  <c r="CZ45" i="2"/>
  <c r="BI42" i="2"/>
  <c r="AG39" i="2" s="1"/>
  <c r="BA60" i="2"/>
  <c r="CJ44" i="2"/>
  <c r="CX44" i="2"/>
  <c r="AX60" i="2"/>
  <c r="CH43" i="2"/>
  <c r="BI43" i="2" s="1"/>
  <c r="AG40" i="2" s="1"/>
  <c r="CV43" i="2"/>
  <c r="AI40" i="2" s="1"/>
  <c r="AL5" i="2" s="1"/>
  <c r="CW54" i="2"/>
  <c r="CI54" i="2"/>
  <c r="CU41" i="2"/>
  <c r="CG41" i="2"/>
  <c r="CJ52" i="2"/>
  <c r="BI52" i="2" s="1"/>
  <c r="AG49" i="2" s="1"/>
  <c r="CX52" i="2"/>
  <c r="AI49" i="2" s="1"/>
  <c r="AL14" i="2" s="1"/>
  <c r="CL41" i="2"/>
  <c r="CZ41" i="2"/>
  <c r="CZ53" i="2"/>
  <c r="AI50" i="2" s="1"/>
  <c r="AL15" i="2" s="1"/>
  <c r="CL53" i="2"/>
  <c r="BI53" i="2" s="1"/>
  <c r="AG50" i="2" s="1"/>
  <c r="CU45" i="2"/>
  <c r="CG45" i="2"/>
  <c r="CH51" i="2"/>
  <c r="BI51" i="2" s="1"/>
  <c r="AG48" i="2" s="1"/>
  <c r="AN13" i="2" s="1"/>
  <c r="CV51" i="2"/>
  <c r="AI48" i="2" s="1"/>
  <c r="AL13" i="2" s="1"/>
  <c r="CJ40" i="2"/>
  <c r="CX40" i="2"/>
  <c r="BI50" i="2"/>
  <c r="AG47" i="2" s="1"/>
  <c r="AN12" i="2" s="1"/>
  <c r="W76" i="2"/>
  <c r="T75" i="2"/>
  <c r="N75" i="2" s="1"/>
  <c r="M16" i="2" s="1"/>
  <c r="S74" i="2"/>
  <c r="M74" i="2" s="1"/>
  <c r="L15" i="2" s="1"/>
  <c r="Z73" i="2"/>
  <c r="Q73" i="2"/>
  <c r="K73" i="2" s="1"/>
  <c r="J14" i="2" s="1"/>
  <c r="Y72" i="2"/>
  <c r="U76" i="2"/>
  <c r="O76" i="2" s="1"/>
  <c r="N17" i="2" s="1"/>
  <c r="S75" i="2"/>
  <c r="M75" i="2" s="1"/>
  <c r="L16" i="2" s="1"/>
  <c r="AA74" i="2"/>
  <c r="R74" i="2"/>
  <c r="L74" i="2" s="1"/>
  <c r="K15" i="2" s="1"/>
  <c r="Y73" i="2"/>
  <c r="X72" i="2"/>
  <c r="W71" i="2"/>
  <c r="U70" i="2"/>
  <c r="O70" i="2" s="1"/>
  <c r="N11" i="2" s="1"/>
  <c r="T76" i="2"/>
  <c r="N76" i="2" s="1"/>
  <c r="M17" i="2" s="1"/>
  <c r="AA75" i="2"/>
  <c r="R75" i="2"/>
  <c r="L75" i="2" s="1"/>
  <c r="K16" i="2" s="1"/>
  <c r="Z74" i="2"/>
  <c r="Q74" i="2"/>
  <c r="K74" i="2" s="1"/>
  <c r="J15" i="2" s="1"/>
  <c r="S76" i="2"/>
  <c r="M76" i="2" s="1"/>
  <c r="L17" i="2" s="1"/>
  <c r="Z75" i="2"/>
  <c r="Q75" i="2"/>
  <c r="K75" i="2" s="1"/>
  <c r="J16" i="2" s="1"/>
  <c r="AA76" i="2"/>
  <c r="R76" i="2"/>
  <c r="L76" i="2" s="1"/>
  <c r="K17" i="2" s="1"/>
  <c r="Y75" i="2"/>
  <c r="X74" i="2"/>
  <c r="U73" i="2"/>
  <c r="O73" i="2" s="1"/>
  <c r="N14" i="2" s="1"/>
  <c r="T72" i="2"/>
  <c r="N72" i="2" s="1"/>
  <c r="M13" i="2" s="1"/>
  <c r="S71" i="2"/>
  <c r="M71" i="2" s="1"/>
  <c r="L12" i="2" s="1"/>
  <c r="AA70" i="2"/>
  <c r="R70" i="2"/>
  <c r="L70" i="2" s="1"/>
  <c r="K11" i="2" s="1"/>
  <c r="AA69" i="2"/>
  <c r="R69" i="2"/>
  <c r="L69" i="2" s="1"/>
  <c r="K10" i="2" s="1"/>
  <c r="Y76" i="2"/>
  <c r="W75" i="2"/>
  <c r="BA74" i="2"/>
  <c r="U74" i="2"/>
  <c r="O74" i="2" s="1"/>
  <c r="N15" i="2" s="1"/>
  <c r="Z76" i="2"/>
  <c r="Y74" i="2"/>
  <c r="Q72" i="2"/>
  <c r="K72" i="2" s="1"/>
  <c r="J13" i="2" s="1"/>
  <c r="Y71" i="2"/>
  <c r="T70" i="2"/>
  <c r="N70" i="2" s="1"/>
  <c r="M11" i="2" s="1"/>
  <c r="T69" i="2"/>
  <c r="N69" i="2" s="1"/>
  <c r="M10" i="2" s="1"/>
  <c r="AA68" i="2"/>
  <c r="R68" i="2"/>
  <c r="L68" i="2" s="1"/>
  <c r="K9" i="2" s="1"/>
  <c r="S67" i="2"/>
  <c r="M67" i="2" s="1"/>
  <c r="L8" i="2" s="1"/>
  <c r="S66" i="2"/>
  <c r="M66" i="2" s="1"/>
  <c r="L7" i="2" s="1"/>
  <c r="AA65" i="2"/>
  <c r="R65" i="2"/>
  <c r="L65" i="2" s="1"/>
  <c r="K6" i="2" s="1"/>
  <c r="T64" i="2"/>
  <c r="N64" i="2" s="1"/>
  <c r="M5" i="2" s="1"/>
  <c r="W63" i="2"/>
  <c r="Y62" i="2"/>
  <c r="S61" i="2"/>
  <c r="M61" i="2" s="1"/>
  <c r="L2" i="2" s="1"/>
  <c r="CT58" i="2"/>
  <c r="CT57" i="2" s="1"/>
  <c r="CL58" i="2"/>
  <c r="CL57" i="2" s="1"/>
  <c r="X76" i="2"/>
  <c r="W74" i="2"/>
  <c r="AA73" i="2"/>
  <c r="X71" i="2"/>
  <c r="S70" i="2"/>
  <c r="M70" i="2" s="1"/>
  <c r="L11" i="2" s="1"/>
  <c r="S69" i="2"/>
  <c r="M69" i="2" s="1"/>
  <c r="L10" i="2" s="1"/>
  <c r="Z68" i="2"/>
  <c r="Q68" i="2"/>
  <c r="K68" i="2" s="1"/>
  <c r="J9" i="2" s="1"/>
  <c r="AA67" i="2"/>
  <c r="R67" i="2"/>
  <c r="L67" i="2" s="1"/>
  <c r="K8" i="2" s="1"/>
  <c r="AA66" i="2"/>
  <c r="R66" i="2"/>
  <c r="L66" i="2" s="1"/>
  <c r="K7" i="2" s="1"/>
  <c r="Z65" i="2"/>
  <c r="Q65" i="2"/>
  <c r="K65" i="2" s="1"/>
  <c r="J6" i="2" s="1"/>
  <c r="S64" i="2"/>
  <c r="M64" i="2" s="1"/>
  <c r="L5" i="2" s="1"/>
  <c r="U63" i="2"/>
  <c r="O63" i="2" s="1"/>
  <c r="N4" i="2" s="1"/>
  <c r="X62" i="2"/>
  <c r="AA61" i="2"/>
  <c r="R61" i="2"/>
  <c r="L61" i="2" s="1"/>
  <c r="K2" i="2" s="1"/>
  <c r="CS58" i="2"/>
  <c r="CS57" i="2" s="1"/>
  <c r="CK58" i="2"/>
  <c r="CK57" i="2" s="1"/>
  <c r="Q76" i="2"/>
  <c r="K76" i="2" s="1"/>
  <c r="J17" i="2" s="1"/>
  <c r="T74" i="2"/>
  <c r="N74" i="2" s="1"/>
  <c r="M15" i="2" s="1"/>
  <c r="X73" i="2"/>
  <c r="AA72" i="2"/>
  <c r="U71" i="2"/>
  <c r="O71" i="2" s="1"/>
  <c r="N12" i="2" s="1"/>
  <c r="Q70" i="2"/>
  <c r="K70" i="2" s="1"/>
  <c r="J11" i="2" s="1"/>
  <c r="Q69" i="2"/>
  <c r="K69" i="2" s="1"/>
  <c r="J10" i="2" s="1"/>
  <c r="Y68" i="2"/>
  <c r="Z67" i="2"/>
  <c r="Q67" i="2"/>
  <c r="K67" i="2" s="1"/>
  <c r="J8" i="2" s="1"/>
  <c r="Z66" i="2"/>
  <c r="Q66" i="2"/>
  <c r="K66" i="2" s="1"/>
  <c r="J7" i="2" s="1"/>
  <c r="Y65" i="2"/>
  <c r="AA64" i="2"/>
  <c r="R64" i="2"/>
  <c r="L64" i="2" s="1"/>
  <c r="K5" i="2" s="1"/>
  <c r="T63" i="2"/>
  <c r="N63" i="2" s="1"/>
  <c r="M4" i="2" s="1"/>
  <c r="W62" i="2"/>
  <c r="Z61" i="2"/>
  <c r="Q61" i="2"/>
  <c r="K61" i="2" s="1"/>
  <c r="J2" i="2" s="1"/>
  <c r="CR58" i="2"/>
  <c r="CR57" i="2" s="1"/>
  <c r="CJ58" i="2"/>
  <c r="CJ57" i="2" s="1"/>
  <c r="AY54" i="2"/>
  <c r="W73" i="2"/>
  <c r="Z72" i="2"/>
  <c r="T71" i="2"/>
  <c r="N71" i="2" s="1"/>
  <c r="M12" i="2" s="1"/>
  <c r="Z69" i="2"/>
  <c r="X68" i="2"/>
  <c r="Y67" i="2"/>
  <c r="Y66" i="2"/>
  <c r="X65" i="2"/>
  <c r="Z64" i="2"/>
  <c r="Q64" i="2"/>
  <c r="K64" i="2" s="1"/>
  <c r="J5" i="2" s="1"/>
  <c r="S63" i="2"/>
  <c r="M63" i="2" s="1"/>
  <c r="L4" i="2" s="1"/>
  <c r="U62" i="2"/>
  <c r="O62" i="2" s="1"/>
  <c r="N3" i="2" s="1"/>
  <c r="Y61" i="2"/>
  <c r="CQ58" i="2"/>
  <c r="CQ57" i="2" s="1"/>
  <c r="CI58" i="2"/>
  <c r="CI57" i="2" s="1"/>
  <c r="BC55" i="2"/>
  <c r="X75" i="2"/>
  <c r="T73" i="2"/>
  <c r="N73" i="2" s="1"/>
  <c r="M14" i="2" s="1"/>
  <c r="W72" i="2"/>
  <c r="R71" i="2"/>
  <c r="L71" i="2" s="1"/>
  <c r="K12" i="2" s="1"/>
  <c r="Z70" i="2"/>
  <c r="Y69" i="2"/>
  <c r="W68" i="2"/>
  <c r="X67" i="2"/>
  <c r="X66" i="2"/>
  <c r="W65" i="2"/>
  <c r="Y64" i="2"/>
  <c r="AA63" i="2"/>
  <c r="R63" i="2"/>
  <c r="L63" i="2" s="1"/>
  <c r="K4" i="2" s="1"/>
  <c r="T62" i="2"/>
  <c r="N62" i="2" s="1"/>
  <c r="M3" i="2" s="1"/>
  <c r="X61" i="2"/>
  <c r="CP58" i="2"/>
  <c r="CP57" i="2" s="1"/>
  <c r="CH58" i="2"/>
  <c r="CH57" i="2" s="1"/>
  <c r="BB55" i="2"/>
  <c r="AZ53" i="2"/>
  <c r="U75" i="2"/>
  <c r="O75" i="2" s="1"/>
  <c r="N16" i="2" s="1"/>
  <c r="S73" i="2"/>
  <c r="M73" i="2" s="1"/>
  <c r="L14" i="2" s="1"/>
  <c r="U72" i="2"/>
  <c r="O72" i="2" s="1"/>
  <c r="N13" i="2" s="1"/>
  <c r="Q71" i="2"/>
  <c r="K71" i="2" s="1"/>
  <c r="J12" i="2" s="1"/>
  <c r="Y70" i="2"/>
  <c r="X69" i="2"/>
  <c r="U68" i="2"/>
  <c r="O68" i="2" s="1"/>
  <c r="N9" i="2" s="1"/>
  <c r="W67" i="2"/>
  <c r="W66" i="2"/>
  <c r="U65" i="2"/>
  <c r="O65" i="2" s="1"/>
  <c r="N6" i="2" s="1"/>
  <c r="X64" i="2"/>
  <c r="Z63" i="2"/>
  <c r="Q63" i="2"/>
  <c r="K63" i="2" s="1"/>
  <c r="J4" i="2" s="1"/>
  <c r="S62" i="2"/>
  <c r="M62" i="2" s="1"/>
  <c r="L3" i="2" s="1"/>
  <c r="R73" i="2"/>
  <c r="L73" i="2" s="1"/>
  <c r="K14" i="2" s="1"/>
  <c r="S72" i="2"/>
  <c r="M72" i="2" s="1"/>
  <c r="L13" i="2" s="1"/>
  <c r="AA71" i="2"/>
  <c r="X70" i="2"/>
  <c r="W69" i="2"/>
  <c r="T68" i="2"/>
  <c r="N68" i="2" s="1"/>
  <c r="M9" i="2" s="1"/>
  <c r="U67" i="2"/>
  <c r="O67" i="2" s="1"/>
  <c r="N8" i="2" s="1"/>
  <c r="U66" i="2"/>
  <c r="O66" i="2" s="1"/>
  <c r="N7" i="2" s="1"/>
  <c r="T65" i="2"/>
  <c r="N65" i="2" s="1"/>
  <c r="M6" i="2" s="1"/>
  <c r="W64" i="2"/>
  <c r="Y63" i="2"/>
  <c r="AA62" i="2"/>
  <c r="R62" i="2"/>
  <c r="L62" i="2" s="1"/>
  <c r="K3" i="2" s="1"/>
  <c r="U61" i="2"/>
  <c r="O61" i="2" s="1"/>
  <c r="N2" i="2" s="1"/>
  <c r="CV58" i="2"/>
  <c r="CV57" i="2" s="1"/>
  <c r="CN58" i="2"/>
  <c r="CN57" i="2" s="1"/>
  <c r="R72" i="2"/>
  <c r="L72" i="2" s="1"/>
  <c r="K13" i="2" s="1"/>
  <c r="Z71" i="2"/>
  <c r="W70" i="2"/>
  <c r="U69" i="2"/>
  <c r="O69" i="2" s="1"/>
  <c r="N10" i="2" s="1"/>
  <c r="S68" i="2"/>
  <c r="M68" i="2" s="1"/>
  <c r="L9" i="2" s="1"/>
  <c r="T67" i="2"/>
  <c r="N67" i="2" s="1"/>
  <c r="M8" i="2" s="1"/>
  <c r="T66" i="2"/>
  <c r="N66" i="2" s="1"/>
  <c r="M7" i="2" s="1"/>
  <c r="S65" i="2"/>
  <c r="M65" i="2" s="1"/>
  <c r="L6" i="2" s="1"/>
  <c r="U64" i="2"/>
  <c r="O64" i="2" s="1"/>
  <c r="N5" i="2" s="1"/>
  <c r="X63" i="2"/>
  <c r="Z62" i="2"/>
  <c r="Q62" i="2"/>
  <c r="K62" i="2" s="1"/>
  <c r="J3" i="2" s="1"/>
  <c r="T61" i="2"/>
  <c r="N61" i="2" s="1"/>
  <c r="M2" i="2" s="1"/>
  <c r="CU58" i="2"/>
  <c r="CU57" i="2" s="1"/>
  <c r="CM58" i="2"/>
  <c r="CM57" i="2" s="1"/>
  <c r="AY55" i="2"/>
  <c r="BB54" i="2"/>
  <c r="BB53" i="2"/>
  <c r="BB52" i="2"/>
  <c r="AZ51" i="2"/>
  <c r="BB48" i="2"/>
  <c r="AZ47" i="2"/>
  <c r="BB44" i="2"/>
  <c r="AZ43" i="2"/>
  <c r="BB40" i="2"/>
  <c r="BA53" i="2"/>
  <c r="BA52" i="2"/>
  <c r="AY51" i="2"/>
  <c r="BC49" i="2"/>
  <c r="BA48" i="2"/>
  <c r="AY47" i="2"/>
  <c r="BC45" i="2"/>
  <c r="BA44" i="2"/>
  <c r="AY43" i="2"/>
  <c r="BC41" i="2"/>
  <c r="BA40" i="2"/>
  <c r="BG15" i="2"/>
  <c r="BA55" i="2"/>
  <c r="AY53" i="2"/>
  <c r="AZ52" i="2"/>
  <c r="BB49" i="2"/>
  <c r="AZ48" i="2"/>
  <c r="BB45" i="2"/>
  <c r="AZ44" i="2"/>
  <c r="BB41" i="2"/>
  <c r="AZ40" i="2"/>
  <c r="W61" i="2"/>
  <c r="AZ55" i="2"/>
  <c r="AY52" i="2"/>
  <c r="BC50" i="2"/>
  <c r="BA49" i="2"/>
  <c r="AY48" i="2"/>
  <c r="BC46" i="2"/>
  <c r="BA45" i="2"/>
  <c r="AY44" i="2"/>
  <c r="BC42" i="2"/>
  <c r="BA41" i="2"/>
  <c r="AY40" i="2"/>
  <c r="Y22" i="2"/>
  <c r="BG16" i="2"/>
  <c r="I15" i="2"/>
  <c r="AS15" i="2" s="1"/>
  <c r="I14" i="2"/>
  <c r="AS14" i="2" s="1"/>
  <c r="AS13" i="2"/>
  <c r="I12" i="2"/>
  <c r="AS12" i="2" s="1"/>
  <c r="I11" i="2"/>
  <c r="AS11" i="2" s="1"/>
  <c r="I10" i="2"/>
  <c r="AS10" i="2" s="1"/>
  <c r="BB50" i="2"/>
  <c r="AZ49" i="2"/>
  <c r="BB46" i="2"/>
  <c r="AZ45" i="2"/>
  <c r="BB42" i="2"/>
  <c r="AZ41" i="2"/>
  <c r="R22" i="2"/>
  <c r="AR17" i="2"/>
  <c r="BC54" i="2"/>
  <c r="BC51" i="2"/>
  <c r="BA50" i="2"/>
  <c r="AY49" i="2"/>
  <c r="BC47" i="2"/>
  <c r="BA46" i="2"/>
  <c r="AY45" i="2"/>
  <c r="BC43" i="2"/>
  <c r="BA42" i="2"/>
  <c r="AY41" i="2"/>
  <c r="W32" i="2"/>
  <c r="Y30" i="2"/>
  <c r="AB30" i="2" s="1"/>
  <c r="AK23" i="2"/>
  <c r="AN23" i="2" s="1"/>
  <c r="BG17" i="2"/>
  <c r="I16" i="2"/>
  <c r="AS16" i="2" s="1"/>
  <c r="CO58" i="2"/>
  <c r="CO57" i="2" s="1"/>
  <c r="BA54" i="2"/>
  <c r="BB51" i="2"/>
  <c r="AZ50" i="2"/>
  <c r="BB47" i="2"/>
  <c r="AZ46" i="2"/>
  <c r="BB43" i="2"/>
  <c r="AZ42" i="2"/>
  <c r="CG58" i="2"/>
  <c r="CG57" i="2" s="1"/>
  <c r="AZ54" i="2"/>
  <c r="BC53" i="2"/>
  <c r="BC52" i="2"/>
  <c r="BA51" i="2"/>
  <c r="AY50" i="2"/>
  <c r="BC48" i="2"/>
  <c r="BA47" i="2"/>
  <c r="AY46" i="2"/>
  <c r="BC44" i="2"/>
  <c r="BA43" i="2"/>
  <c r="AY42" i="2"/>
  <c r="BC40" i="2"/>
  <c r="AK22" i="2"/>
  <c r="AN22" i="2" s="1"/>
  <c r="BG13" i="2"/>
  <c r="AR11" i="2"/>
  <c r="AT11" i="2" s="1"/>
  <c r="AR14" i="2"/>
  <c r="AT14" i="2" s="1"/>
  <c r="BI11" i="2"/>
  <c r="BJ11" i="2" s="1"/>
  <c r="BI2" i="2"/>
  <c r="BJ2" i="2" s="1"/>
  <c r="AR2" i="2"/>
  <c r="BG11" i="2"/>
  <c r="AR9" i="2"/>
  <c r="AT9" i="2" s="1"/>
  <c r="BI8" i="2"/>
  <c r="BJ8" i="2" s="1"/>
  <c r="AR8" i="2"/>
  <c r="AT8" i="2" s="1"/>
  <c r="BI7" i="2"/>
  <c r="BJ7" i="2" s="1"/>
  <c r="AR7" i="2"/>
  <c r="AT7" i="2" s="1"/>
  <c r="BI6" i="2"/>
  <c r="BJ6" i="2" s="1"/>
  <c r="AR6" i="2"/>
  <c r="AT6" i="2" s="1"/>
  <c r="BI5" i="2"/>
  <c r="BJ5" i="2" s="1"/>
  <c r="AR5" i="2"/>
  <c r="AT5" i="2" s="1"/>
  <c r="BI4" i="2"/>
  <c r="BJ4" i="2" s="1"/>
  <c r="AR4" i="2"/>
  <c r="AT4" i="2" s="1"/>
  <c r="BI3" i="2"/>
  <c r="BJ3" i="2" s="1"/>
  <c r="AR3" i="2"/>
  <c r="AT3" i="2" s="1"/>
  <c r="BG2" i="2"/>
  <c r="BI14" i="2"/>
  <c r="BJ14" i="2" s="1"/>
  <c r="AR12" i="2"/>
  <c r="AT12" i="2" s="1"/>
  <c r="BI9" i="2"/>
  <c r="BJ9" i="2" s="1"/>
  <c r="BG8" i="2"/>
  <c r="BG7" i="2"/>
  <c r="BG6" i="2"/>
  <c r="BG5" i="2"/>
  <c r="BG4" i="2"/>
  <c r="AQ4" i="2"/>
  <c r="BG3" i="2"/>
  <c r="BW2" i="2"/>
  <c r="Y31" i="2" s="1"/>
  <c r="AB31" i="2" s="1"/>
  <c r="AR16" i="2"/>
  <c r="AT16" i="2" s="1"/>
  <c r="BG14" i="2"/>
  <c r="BI12" i="2"/>
  <c r="BJ12" i="2" s="1"/>
  <c r="AQ12" i="2"/>
  <c r="BG9" i="2"/>
  <c r="AN4" i="2"/>
  <c r="BV2" i="2"/>
  <c r="I2" i="2"/>
  <c r="AS2" i="2" s="1"/>
  <c r="BG12" i="2"/>
  <c r="AR10" i="2"/>
  <c r="AT10" i="2" s="1"/>
  <c r="I9" i="2"/>
  <c r="AS9" i="2" s="1"/>
  <c r="I8" i="2"/>
  <c r="AS8" i="2" s="1"/>
  <c r="I7" i="2"/>
  <c r="AS7" i="2" s="1"/>
  <c r="I6" i="2"/>
  <c r="AS6" i="2" s="1"/>
  <c r="I5" i="2"/>
  <c r="AS5" i="2" s="1"/>
  <c r="I4" i="2"/>
  <c r="AS4" i="2" s="1"/>
  <c r="I3" i="2"/>
  <c r="AS3" i="2" s="1"/>
  <c r="BU2" i="2"/>
  <c r="I17" i="2"/>
  <c r="AS17" i="2" s="1"/>
  <c r="AR15" i="2"/>
  <c r="AT15" i="2" s="1"/>
  <c r="AR13" i="2"/>
  <c r="AT13" i="2" s="1"/>
  <c r="BI10" i="2"/>
  <c r="BJ10" i="2" s="1"/>
  <c r="BI13" i="2"/>
  <c r="BJ13" i="2" s="1"/>
  <c r="AQ13" i="2"/>
  <c r="BG10" i="2"/>
  <c r="AI52" i="2"/>
  <c r="AL17" i="2" s="1"/>
  <c r="CU49" i="2"/>
  <c r="CG49" i="2"/>
  <c r="CL49" i="2"/>
  <c r="CZ49" i="2"/>
  <c r="CK49" i="2"/>
  <c r="CY49" i="2"/>
  <c r="CK45" i="2"/>
  <c r="CY45" i="2"/>
  <c r="CK41" i="2"/>
  <c r="CY41" i="2"/>
  <c r="CJ48" i="2"/>
  <c r="CX48" i="2"/>
  <c r="CH47" i="2"/>
  <c r="BI47" i="2" s="1"/>
  <c r="AG44" i="2" s="1"/>
  <c r="CV47" i="2"/>
  <c r="AI44" i="2" s="1"/>
  <c r="AL9" i="2" s="1"/>
  <c r="CI48" i="2"/>
  <c r="CW48" i="2"/>
  <c r="CI44" i="2"/>
  <c r="CW44" i="2"/>
  <c r="CI40" i="2"/>
  <c r="BI40" i="2" s="1"/>
  <c r="AG37" i="2" s="1"/>
  <c r="CW40" i="2"/>
  <c r="AI37" i="2" s="1"/>
  <c r="AL2" i="2" s="1"/>
  <c r="AQ8" i="2" l="1"/>
  <c r="AN8" i="2"/>
  <c r="AI51" i="2"/>
  <c r="AL16" i="2" s="1"/>
  <c r="AU8" i="2"/>
  <c r="AI46" i="2"/>
  <c r="AL11" i="2" s="1"/>
  <c r="BF11" i="2" s="1"/>
  <c r="AI45" i="2"/>
  <c r="AL10" i="2" s="1"/>
  <c r="BF10" i="2" s="1"/>
  <c r="AQ17" i="2"/>
  <c r="AN17" i="2"/>
  <c r="AU4" i="2"/>
  <c r="BI48" i="2"/>
  <c r="AG45" i="2" s="1"/>
  <c r="AQ10" i="2" s="1"/>
  <c r="AI41" i="2"/>
  <c r="AL6" i="2" s="1"/>
  <c r="BF6" i="2" s="1"/>
  <c r="BI44" i="2"/>
  <c r="AG41" i="2" s="1"/>
  <c r="AQ6" i="2" s="1"/>
  <c r="AZ60" i="2"/>
  <c r="AN5" i="2"/>
  <c r="B47" i="7" s="1"/>
  <c r="AQ5" i="2"/>
  <c r="AQ15" i="2"/>
  <c r="AN15" i="2"/>
  <c r="AN2" i="2"/>
  <c r="AQ2" i="2"/>
  <c r="AU15" i="2"/>
  <c r="BF15" i="2"/>
  <c r="BF9" i="2"/>
  <c r="AU9" i="2"/>
  <c r="AW9" i="2" s="1"/>
  <c r="BF5" i="2"/>
  <c r="AU5" i="2"/>
  <c r="AN9" i="2"/>
  <c r="AQ9" i="2"/>
  <c r="AQ14" i="2"/>
  <c r="AN14" i="2"/>
  <c r="Q12" i="7"/>
  <c r="Q12" i="6"/>
  <c r="B58" i="7"/>
  <c r="B58" i="6"/>
  <c r="AF8" i="7"/>
  <c r="AF8" i="6"/>
  <c r="B90" i="7"/>
  <c r="B90" i="6"/>
  <c r="AF12" i="7"/>
  <c r="AF12" i="6"/>
  <c r="DA136" i="2"/>
  <c r="DA132" i="2"/>
  <c r="DA128" i="2"/>
  <c r="DA139" i="2"/>
  <c r="DA135" i="2"/>
  <c r="DA143" i="2"/>
  <c r="DA138" i="2"/>
  <c r="DA134" i="2"/>
  <c r="DA142" i="2"/>
  <c r="CQ137" i="2"/>
  <c r="CQ133" i="2"/>
  <c r="CQ121" i="2"/>
  <c r="DA137" i="2"/>
  <c r="CQ134" i="2"/>
  <c r="CQ125" i="2"/>
  <c r="CQ113" i="2"/>
  <c r="CQ109" i="2"/>
  <c r="CQ105" i="2"/>
  <c r="CQ101" i="2"/>
  <c r="CQ93" i="2"/>
  <c r="CQ85" i="2"/>
  <c r="DA140" i="2"/>
  <c r="CQ122" i="2"/>
  <c r="CQ118" i="2"/>
  <c r="CQ114" i="2"/>
  <c r="CQ96" i="2"/>
  <c r="CQ139" i="2"/>
  <c r="CQ138" i="2"/>
  <c r="CQ131" i="2"/>
  <c r="CQ130" i="2"/>
  <c r="CQ129" i="2"/>
  <c r="CQ128" i="2"/>
  <c r="CQ123" i="2"/>
  <c r="CQ119" i="2"/>
  <c r="CQ115" i="2"/>
  <c r="DA141" i="2"/>
  <c r="CQ136" i="2"/>
  <c r="DA131" i="2"/>
  <c r="DA130" i="2"/>
  <c r="DA129" i="2"/>
  <c r="CQ124" i="2"/>
  <c r="CQ120" i="2"/>
  <c r="CQ116" i="2"/>
  <c r="CQ100" i="2"/>
  <c r="DA126" i="2"/>
  <c r="CQ88" i="2"/>
  <c r="CQ83" i="2"/>
  <c r="CQ80" i="2"/>
  <c r="CQ75" i="2"/>
  <c r="CQ132" i="2"/>
  <c r="CQ98" i="2"/>
  <c r="CQ76" i="2"/>
  <c r="CQ70" i="2"/>
  <c r="DA127" i="2"/>
  <c r="CQ126" i="2"/>
  <c r="CQ81" i="2"/>
  <c r="CQ110" i="2"/>
  <c r="CQ106" i="2"/>
  <c r="CQ102" i="2"/>
  <c r="CQ99" i="2"/>
  <c r="CQ90" i="2"/>
  <c r="CQ77" i="2"/>
  <c r="CQ127" i="2"/>
  <c r="CQ95" i="2"/>
  <c r="CQ92" i="2"/>
  <c r="CQ87" i="2"/>
  <c r="CQ84" i="2"/>
  <c r="CQ78" i="2"/>
  <c r="CQ135" i="2"/>
  <c r="CQ117" i="2"/>
  <c r="CQ111" i="2"/>
  <c r="CQ107" i="2"/>
  <c r="CQ103" i="2"/>
  <c r="CQ97" i="2"/>
  <c r="CQ94" i="2"/>
  <c r="CQ86" i="2"/>
  <c r="CQ79" i="2"/>
  <c r="CQ74" i="2"/>
  <c r="DA133" i="2"/>
  <c r="CQ112" i="2"/>
  <c r="CQ108" i="2"/>
  <c r="CQ104" i="2"/>
  <c r="CQ71" i="2"/>
  <c r="CQ62" i="2"/>
  <c r="CQ82" i="2"/>
  <c r="CQ61" i="2"/>
  <c r="CQ69" i="2"/>
  <c r="CQ68" i="2"/>
  <c r="CQ67" i="2"/>
  <c r="CQ64" i="2"/>
  <c r="CQ72" i="2"/>
  <c r="CQ66" i="2"/>
  <c r="CQ65" i="2"/>
  <c r="CQ89" i="2"/>
  <c r="CQ63" i="2"/>
  <c r="CQ91" i="2"/>
  <c r="CQ73" i="2"/>
  <c r="CQ60" i="2"/>
  <c r="CR139" i="2"/>
  <c r="CR135" i="2"/>
  <c r="CR131" i="2"/>
  <c r="CR127" i="2"/>
  <c r="CR138" i="2"/>
  <c r="CR137" i="2"/>
  <c r="CR133" i="2"/>
  <c r="CR134" i="2"/>
  <c r="CR125" i="2"/>
  <c r="CR122" i="2"/>
  <c r="CR118" i="2"/>
  <c r="CR114" i="2"/>
  <c r="CR96" i="2"/>
  <c r="CR88" i="2"/>
  <c r="CR126" i="2"/>
  <c r="CR110" i="2"/>
  <c r="CR106" i="2"/>
  <c r="CR102" i="2"/>
  <c r="CR99" i="2"/>
  <c r="CR130" i="2"/>
  <c r="CR129" i="2"/>
  <c r="CR128" i="2"/>
  <c r="CR111" i="2"/>
  <c r="CR107" i="2"/>
  <c r="CR103" i="2"/>
  <c r="CR97" i="2"/>
  <c r="CR136" i="2"/>
  <c r="CR132" i="2"/>
  <c r="CR112" i="2"/>
  <c r="CR108" i="2"/>
  <c r="CR104" i="2"/>
  <c r="CR123" i="2"/>
  <c r="CR120" i="2"/>
  <c r="CR98" i="2"/>
  <c r="CR76" i="2"/>
  <c r="CR113" i="2"/>
  <c r="CR109" i="2"/>
  <c r="CR105" i="2"/>
  <c r="CR101" i="2"/>
  <c r="CR93" i="2"/>
  <c r="CR85" i="2"/>
  <c r="CR81" i="2"/>
  <c r="CR71" i="2"/>
  <c r="CR115" i="2"/>
  <c r="CR90" i="2"/>
  <c r="CR77" i="2"/>
  <c r="CR124" i="2"/>
  <c r="CR121" i="2"/>
  <c r="CR116" i="2"/>
  <c r="CR95" i="2"/>
  <c r="CR92" i="2"/>
  <c r="CR87" i="2"/>
  <c r="CR84" i="2"/>
  <c r="CR78" i="2"/>
  <c r="CR117" i="2"/>
  <c r="CR89" i="2"/>
  <c r="CR82" i="2"/>
  <c r="CR73" i="2"/>
  <c r="CR100" i="2"/>
  <c r="CR94" i="2"/>
  <c r="CR119" i="2"/>
  <c r="CR91" i="2"/>
  <c r="CR74" i="2"/>
  <c r="CR61" i="2"/>
  <c r="CR83" i="2"/>
  <c r="CR69" i="2"/>
  <c r="CR68" i="2"/>
  <c r="CR67" i="2"/>
  <c r="CR64" i="2"/>
  <c r="CR72" i="2"/>
  <c r="CR66" i="2"/>
  <c r="CR65" i="2"/>
  <c r="CR60" i="2"/>
  <c r="CR80" i="2"/>
  <c r="CR79" i="2"/>
  <c r="CR75" i="2"/>
  <c r="CR70" i="2"/>
  <c r="CR63" i="2"/>
  <c r="CR86" i="2"/>
  <c r="CR62" i="2"/>
  <c r="AF30" i="7"/>
  <c r="AF30" i="6"/>
  <c r="B78" i="7"/>
  <c r="B78" i="6"/>
  <c r="B104" i="7"/>
  <c r="B104" i="6"/>
  <c r="AU82" i="6"/>
  <c r="AU82" i="7"/>
  <c r="AF6" i="7"/>
  <c r="AF6" i="6"/>
  <c r="Q66" i="7"/>
  <c r="Q66" i="6"/>
  <c r="Q42" i="7"/>
  <c r="Q42" i="6"/>
  <c r="Q82" i="7"/>
  <c r="Q82" i="6"/>
  <c r="AU8" i="7"/>
  <c r="AU8" i="6"/>
  <c r="Q6" i="6"/>
  <c r="Q6" i="7"/>
  <c r="AU18" i="7"/>
  <c r="AU18" i="6"/>
  <c r="B54" i="7"/>
  <c r="B54" i="6"/>
  <c r="CL138" i="2"/>
  <c r="CL134" i="2"/>
  <c r="CL130" i="2"/>
  <c r="CL126" i="2"/>
  <c r="CL125" i="2"/>
  <c r="CQ142" i="2"/>
  <c r="CL137" i="2"/>
  <c r="CQ140" i="2"/>
  <c r="CL136" i="2"/>
  <c r="CL132" i="2"/>
  <c r="CQ141" i="2"/>
  <c r="CL129" i="2"/>
  <c r="CL128" i="2"/>
  <c r="CL127" i="2"/>
  <c r="CL135" i="2"/>
  <c r="CL131" i="2"/>
  <c r="CL123" i="2"/>
  <c r="CL119" i="2"/>
  <c r="CL115" i="2"/>
  <c r="CL94" i="2"/>
  <c r="CL86" i="2"/>
  <c r="CL111" i="2"/>
  <c r="CL107" i="2"/>
  <c r="CL103" i="2"/>
  <c r="CL97" i="2"/>
  <c r="CL112" i="2"/>
  <c r="CL108" i="2"/>
  <c r="CL104" i="2"/>
  <c r="CL139" i="2"/>
  <c r="CL113" i="2"/>
  <c r="CL109" i="2"/>
  <c r="CL105" i="2"/>
  <c r="CL101" i="2"/>
  <c r="CL133" i="2"/>
  <c r="CL122" i="2"/>
  <c r="CL118" i="2"/>
  <c r="CL100" i="2"/>
  <c r="CL95" i="2"/>
  <c r="CL92" i="2"/>
  <c r="CL87" i="2"/>
  <c r="CL84" i="2"/>
  <c r="CL77" i="2"/>
  <c r="CL72" i="2"/>
  <c r="CL89" i="2"/>
  <c r="CL78" i="2"/>
  <c r="CL120" i="2"/>
  <c r="CL82" i="2"/>
  <c r="CL73" i="2"/>
  <c r="CL98" i="2"/>
  <c r="CL79" i="2"/>
  <c r="CL74" i="2"/>
  <c r="CL114" i="2"/>
  <c r="CL91" i="2"/>
  <c r="CL124" i="2"/>
  <c r="CL121" i="2"/>
  <c r="CQ143" i="2"/>
  <c r="CL116" i="2"/>
  <c r="CL110" i="2"/>
  <c r="CL106" i="2"/>
  <c r="CL102" i="2"/>
  <c r="CL99" i="2"/>
  <c r="CL93" i="2"/>
  <c r="CL85" i="2"/>
  <c r="CL76" i="2"/>
  <c r="CL117" i="2"/>
  <c r="CL96" i="2"/>
  <c r="CL90" i="2"/>
  <c r="CL88" i="2"/>
  <c r="CL68" i="2"/>
  <c r="CL70" i="2"/>
  <c r="CL67" i="2"/>
  <c r="CL64" i="2"/>
  <c r="CL66" i="2"/>
  <c r="CL65" i="2"/>
  <c r="CL60" i="2"/>
  <c r="CL83" i="2"/>
  <c r="CL63" i="2"/>
  <c r="CL71" i="2"/>
  <c r="CL62" i="2"/>
  <c r="CL81" i="2"/>
  <c r="CL80" i="2"/>
  <c r="CL75" i="2"/>
  <c r="CL69" i="2"/>
  <c r="CL61" i="2"/>
  <c r="AF34" i="7"/>
  <c r="AF34" i="6"/>
  <c r="AF56" i="7"/>
  <c r="AF56" i="6"/>
  <c r="B108" i="7"/>
  <c r="B108" i="6"/>
  <c r="B114" i="6"/>
  <c r="B114" i="7"/>
  <c r="BI45" i="2"/>
  <c r="AG42" i="2" s="1"/>
  <c r="BF14" i="2"/>
  <c r="AU14" i="2"/>
  <c r="BM60" i="2"/>
  <c r="BM63" i="2"/>
  <c r="Y29" i="2"/>
  <c r="AB29" i="2" s="1"/>
  <c r="AU17" i="2"/>
  <c r="BF17" i="2"/>
  <c r="AU23" i="7"/>
  <c r="AU23" i="6"/>
  <c r="BA72" i="2"/>
  <c r="AT17" i="2" s="1"/>
  <c r="AT2" i="2"/>
  <c r="AB22" i="2"/>
  <c r="AK31" i="2"/>
  <c r="AN31" i="2" s="1"/>
  <c r="AU90" i="6"/>
  <c r="AU90" i="7"/>
  <c r="AU56" i="7"/>
  <c r="AU56" i="6"/>
  <c r="AF18" i="7"/>
  <c r="AF18" i="6"/>
  <c r="AU30" i="6"/>
  <c r="AU30" i="7"/>
  <c r="AF84" i="7"/>
  <c r="AF84" i="6"/>
  <c r="B34" i="7"/>
  <c r="B34" i="6"/>
  <c r="CT138" i="2"/>
  <c r="CT134" i="2"/>
  <c r="CT130" i="2"/>
  <c r="CT126" i="2"/>
  <c r="CT125" i="2"/>
  <c r="CT137" i="2"/>
  <c r="CT136" i="2"/>
  <c r="CT132" i="2"/>
  <c r="CT122" i="2"/>
  <c r="CT139" i="2"/>
  <c r="CT129" i="2"/>
  <c r="CT128" i="2"/>
  <c r="CT127" i="2"/>
  <c r="CT94" i="2"/>
  <c r="CT86" i="2"/>
  <c r="CT133" i="2"/>
  <c r="CT131" i="2"/>
  <c r="CT123" i="2"/>
  <c r="CT119" i="2"/>
  <c r="CT115" i="2"/>
  <c r="CT111" i="2"/>
  <c r="CT107" i="2"/>
  <c r="CT103" i="2"/>
  <c r="CT97" i="2"/>
  <c r="CT124" i="2"/>
  <c r="CT120" i="2"/>
  <c r="CT116" i="2"/>
  <c r="CT112" i="2"/>
  <c r="CT108" i="2"/>
  <c r="CT104" i="2"/>
  <c r="CT135" i="2"/>
  <c r="CT121" i="2"/>
  <c r="CT117" i="2"/>
  <c r="CT113" i="2"/>
  <c r="CT109" i="2"/>
  <c r="CT105" i="2"/>
  <c r="CT101" i="2"/>
  <c r="CT90" i="2"/>
  <c r="CT77" i="2"/>
  <c r="CT72" i="2"/>
  <c r="CT114" i="2"/>
  <c r="CT95" i="2"/>
  <c r="CT92" i="2"/>
  <c r="CT87" i="2"/>
  <c r="CT84" i="2"/>
  <c r="CT78" i="2"/>
  <c r="CT110" i="2"/>
  <c r="CT106" i="2"/>
  <c r="CT102" i="2"/>
  <c r="CT99" i="2"/>
  <c r="CT96" i="2"/>
  <c r="CT89" i="2"/>
  <c r="CT82" i="2"/>
  <c r="CT73" i="2"/>
  <c r="CT79" i="2"/>
  <c r="CT74" i="2"/>
  <c r="CT100" i="2"/>
  <c r="CT118" i="2"/>
  <c r="CT91" i="2"/>
  <c r="CT88" i="2"/>
  <c r="CT76" i="2"/>
  <c r="CT98" i="2"/>
  <c r="CT93" i="2"/>
  <c r="CT69" i="2"/>
  <c r="CT85" i="2"/>
  <c r="CT83" i="2"/>
  <c r="CT68" i="2"/>
  <c r="CT67" i="2"/>
  <c r="CT64" i="2"/>
  <c r="CT66" i="2"/>
  <c r="CT65" i="2"/>
  <c r="CT60" i="2"/>
  <c r="CT70" i="2"/>
  <c r="CT63" i="2"/>
  <c r="CT81" i="2"/>
  <c r="CT80" i="2"/>
  <c r="CT75" i="2"/>
  <c r="CT62" i="2"/>
  <c r="CT71" i="2"/>
  <c r="CT61" i="2"/>
  <c r="AU34" i="6"/>
  <c r="AU34" i="7"/>
  <c r="AU78" i="7"/>
  <c r="AU78" i="6"/>
  <c r="AF66" i="7"/>
  <c r="AF66" i="6"/>
  <c r="AI42" i="2"/>
  <c r="AL7" i="2" s="1"/>
  <c r="AU10" i="7"/>
  <c r="AU10" i="6"/>
  <c r="AU60" i="6"/>
  <c r="AU60" i="7"/>
  <c r="B102" i="7"/>
  <c r="B102" i="6"/>
  <c r="Q30" i="7"/>
  <c r="Q30" i="6"/>
  <c r="Q58" i="7"/>
  <c r="Q58" i="6"/>
  <c r="Q10" i="6"/>
  <c r="Q10" i="7"/>
  <c r="B56" i="7"/>
  <c r="B56" i="6"/>
  <c r="AF90" i="7"/>
  <c r="AF90" i="6"/>
  <c r="AU58" i="7"/>
  <c r="AU58" i="6"/>
  <c r="Q78" i="6"/>
  <c r="Q78" i="7"/>
  <c r="BF13" i="2"/>
  <c r="AU13" i="2"/>
  <c r="AV13" i="2" s="1"/>
  <c r="BI41" i="2"/>
  <c r="AG38" i="2" s="1"/>
  <c r="Q84" i="6"/>
  <c r="Q84" i="7"/>
  <c r="B30" i="7"/>
  <c r="B30" i="6"/>
  <c r="AU12" i="7"/>
  <c r="AU12" i="6"/>
  <c r="CK124" i="2"/>
  <c r="CK123" i="2"/>
  <c r="CK122" i="2"/>
  <c r="CK121" i="2"/>
  <c r="CK120" i="2"/>
  <c r="CK119" i="2"/>
  <c r="CK118" i="2"/>
  <c r="CK117" i="2"/>
  <c r="CK116" i="2"/>
  <c r="CK115" i="2"/>
  <c r="CK114" i="2"/>
  <c r="CO143" i="2"/>
  <c r="CO141" i="2"/>
  <c r="CO140" i="2"/>
  <c r="CK136" i="2"/>
  <c r="CK132" i="2"/>
  <c r="CK137" i="2"/>
  <c r="CK133" i="2"/>
  <c r="CK126" i="2"/>
  <c r="CK130" i="2"/>
  <c r="CK129" i="2"/>
  <c r="CK128" i="2"/>
  <c r="CK127" i="2"/>
  <c r="CK110" i="2"/>
  <c r="CK106" i="2"/>
  <c r="CK102" i="2"/>
  <c r="CK99" i="2"/>
  <c r="CK91" i="2"/>
  <c r="CK135" i="2"/>
  <c r="CK131" i="2"/>
  <c r="CO142" i="2"/>
  <c r="CK134" i="2"/>
  <c r="CK100" i="2"/>
  <c r="CK139" i="2"/>
  <c r="CK125" i="2"/>
  <c r="CK98" i="2"/>
  <c r="CK111" i="2"/>
  <c r="CK107" i="2"/>
  <c r="CK103" i="2"/>
  <c r="CK97" i="2"/>
  <c r="CK96" i="2"/>
  <c r="CK90" i="2"/>
  <c r="CK81" i="2"/>
  <c r="CK95" i="2"/>
  <c r="CK92" i="2"/>
  <c r="CK87" i="2"/>
  <c r="CK84" i="2"/>
  <c r="CK77" i="2"/>
  <c r="CK72" i="2"/>
  <c r="CK138" i="2"/>
  <c r="CK112" i="2"/>
  <c r="CK108" i="2"/>
  <c r="CK104" i="2"/>
  <c r="CK89" i="2"/>
  <c r="CK78" i="2"/>
  <c r="CK94" i="2"/>
  <c r="CK86" i="2"/>
  <c r="CK82" i="2"/>
  <c r="CK113" i="2"/>
  <c r="CK109" i="2"/>
  <c r="CK105" i="2"/>
  <c r="CK101" i="2"/>
  <c r="CK79" i="2"/>
  <c r="CK74" i="2"/>
  <c r="CK88" i="2"/>
  <c r="CK83" i="2"/>
  <c r="CK80" i="2"/>
  <c r="CK75" i="2"/>
  <c r="CK93" i="2"/>
  <c r="CK61" i="2"/>
  <c r="CK73" i="2"/>
  <c r="CK68" i="2"/>
  <c r="CK70" i="2"/>
  <c r="CK67" i="2"/>
  <c r="CK64" i="2"/>
  <c r="CK85" i="2"/>
  <c r="CK66" i="2"/>
  <c r="CK65" i="2"/>
  <c r="CK60" i="2"/>
  <c r="CK76" i="2"/>
  <c r="CK63" i="2"/>
  <c r="CK71" i="2"/>
  <c r="CK62" i="2"/>
  <c r="CK69" i="2"/>
  <c r="AF58" i="7"/>
  <c r="AF58" i="6"/>
  <c r="B84" i="7"/>
  <c r="B84" i="6"/>
  <c r="B106" i="6"/>
  <c r="B106" i="7"/>
  <c r="AI38" i="2"/>
  <c r="AL3" i="2" s="1"/>
  <c r="AU11" i="2"/>
  <c r="AW11" i="2" s="1"/>
  <c r="AW15" i="2"/>
  <c r="AV15" i="2"/>
  <c r="O15" i="2" s="1"/>
  <c r="B95" i="7"/>
  <c r="B95" i="6"/>
  <c r="CG138" i="2"/>
  <c r="CG134" i="2"/>
  <c r="CG139" i="2"/>
  <c r="CG121" i="2"/>
  <c r="CG117" i="2"/>
  <c r="CG112" i="2"/>
  <c r="CG108" i="2"/>
  <c r="CG104" i="2"/>
  <c r="CG95" i="2"/>
  <c r="CG87" i="2"/>
  <c r="CG137" i="2"/>
  <c r="CG133" i="2"/>
  <c r="CG125" i="2"/>
  <c r="CG98" i="2"/>
  <c r="CG136" i="2"/>
  <c r="CG135" i="2"/>
  <c r="CG128" i="2"/>
  <c r="CG127" i="2"/>
  <c r="CG126" i="2"/>
  <c r="CG132" i="2"/>
  <c r="CG140" i="2"/>
  <c r="CG116" i="2"/>
  <c r="CG110" i="2"/>
  <c r="CG106" i="2"/>
  <c r="CG102" i="2"/>
  <c r="CG99" i="2"/>
  <c r="CG91" i="2"/>
  <c r="CG79" i="2"/>
  <c r="CG74" i="2"/>
  <c r="CG130" i="2"/>
  <c r="CG122" i="2"/>
  <c r="CG88" i="2"/>
  <c r="CG118" i="2"/>
  <c r="CG111" i="2"/>
  <c r="CG107" i="2"/>
  <c r="CG103" i="2"/>
  <c r="CG96" i="2"/>
  <c r="CG93" i="2"/>
  <c r="CG85" i="2"/>
  <c r="CG83" i="2"/>
  <c r="CG80" i="2"/>
  <c r="CG75" i="2"/>
  <c r="CG119" i="2"/>
  <c r="CG100" i="2"/>
  <c r="CG97" i="2"/>
  <c r="CG90" i="2"/>
  <c r="CG76" i="2"/>
  <c r="CG123" i="2"/>
  <c r="CG120" i="2"/>
  <c r="CG81" i="2"/>
  <c r="CG71" i="2"/>
  <c r="CG131" i="2"/>
  <c r="CG129" i="2"/>
  <c r="CG92" i="2"/>
  <c r="CG114" i="2"/>
  <c r="CG113" i="2"/>
  <c r="CG109" i="2"/>
  <c r="CG105" i="2"/>
  <c r="CG101" i="2"/>
  <c r="CG89" i="2"/>
  <c r="CG78" i="2"/>
  <c r="CG124" i="2"/>
  <c r="CG115" i="2"/>
  <c r="CG94" i="2"/>
  <c r="CG63" i="2"/>
  <c r="CG86" i="2"/>
  <c r="CG69" i="2"/>
  <c r="CG62" i="2"/>
  <c r="CG84" i="2"/>
  <c r="CG77" i="2"/>
  <c r="CG73" i="2"/>
  <c r="CG72" i="2"/>
  <c r="CG61" i="2"/>
  <c r="CG82" i="2"/>
  <c r="CG70" i="2"/>
  <c r="CG68" i="2"/>
  <c r="CG67" i="2"/>
  <c r="CG64" i="2"/>
  <c r="CG66" i="2"/>
  <c r="CG65" i="2"/>
  <c r="CG60" i="2"/>
  <c r="AW8" i="2"/>
  <c r="AV8" i="2"/>
  <c r="O8" i="2" s="1"/>
  <c r="BF2" i="2"/>
  <c r="AU2" i="2"/>
  <c r="B45" i="9"/>
  <c r="C48" i="5"/>
  <c r="V9" i="5" s="1"/>
  <c r="L44" i="5"/>
  <c r="V31" i="5" s="1"/>
  <c r="I43" i="5"/>
  <c r="O47" i="5"/>
  <c r="I45" i="5"/>
  <c r="I44" i="5"/>
  <c r="C43" i="5"/>
  <c r="V4" i="5" s="1"/>
  <c r="I47" i="5"/>
  <c r="F46" i="5"/>
  <c r="C45" i="5"/>
  <c r="V6" i="5" s="1"/>
  <c r="C44" i="5"/>
  <c r="I48" i="5"/>
  <c r="C47" i="5"/>
  <c r="V8" i="5" s="1"/>
  <c r="C46" i="5"/>
  <c r="V7" i="5" s="1"/>
  <c r="O45" i="5"/>
  <c r="V5" i="5"/>
  <c r="F45" i="5"/>
  <c r="L43" i="5"/>
  <c r="V30" i="5" s="1"/>
  <c r="I46" i="5"/>
  <c r="O44" i="5"/>
  <c r="C49" i="5"/>
  <c r="V10" i="5" s="1"/>
  <c r="F44" i="5"/>
  <c r="BA80" i="2"/>
  <c r="BA76" i="2"/>
  <c r="BI70" i="2"/>
  <c r="BA81" i="2"/>
  <c r="BA77" i="2"/>
  <c r="BA78" i="2"/>
  <c r="BA79" i="2"/>
  <c r="BI69" i="2"/>
  <c r="BI63" i="2"/>
  <c r="BP62" i="2"/>
  <c r="BE63" i="2"/>
  <c r="BM62" i="2"/>
  <c r="BI62" i="2"/>
  <c r="BP60" i="2"/>
  <c r="BE62" i="2"/>
  <c r="BI68" i="2"/>
  <c r="BI67" i="2"/>
  <c r="BP64" i="2"/>
  <c r="BM61" i="2"/>
  <c r="BE68" i="2"/>
  <c r="BI66" i="2"/>
  <c r="BI65" i="2"/>
  <c r="BM64" i="2"/>
  <c r="BE67" i="2"/>
  <c r="BE66" i="2"/>
  <c r="BI64" i="2"/>
  <c r="BP63" i="2"/>
  <c r="BE61" i="2"/>
  <c r="BE64" i="2"/>
  <c r="BI61" i="2"/>
  <c r="B82" i="7"/>
  <c r="B82" i="6"/>
  <c r="AU71" i="6"/>
  <c r="AU71" i="7"/>
  <c r="AW12" i="2"/>
  <c r="AV12" i="2"/>
  <c r="O12" i="2" s="1"/>
  <c r="B42" i="7"/>
  <c r="B42" i="6"/>
  <c r="B80" i="7"/>
  <c r="B80" i="6"/>
  <c r="Q36" i="7"/>
  <c r="Q36" i="6"/>
  <c r="Q80" i="6"/>
  <c r="Q80" i="7"/>
  <c r="B66" i="7"/>
  <c r="B66" i="6"/>
  <c r="AW4" i="2"/>
  <c r="AV4" i="2"/>
  <c r="O4" i="2" s="1"/>
  <c r="AU47" i="7"/>
  <c r="AU47" i="6"/>
  <c r="Q34" i="7"/>
  <c r="Q34" i="6"/>
  <c r="CU142" i="2"/>
  <c r="CN137" i="2"/>
  <c r="CN133" i="2"/>
  <c r="CN129" i="2"/>
  <c r="CU140" i="2"/>
  <c r="CN136" i="2"/>
  <c r="CN139" i="2"/>
  <c r="CN135" i="2"/>
  <c r="CN132" i="2"/>
  <c r="CN124" i="2"/>
  <c r="CN120" i="2"/>
  <c r="CN116" i="2"/>
  <c r="CN100" i="2"/>
  <c r="CN92" i="2"/>
  <c r="CN84" i="2"/>
  <c r="CN134" i="2"/>
  <c r="CN112" i="2"/>
  <c r="CN108" i="2"/>
  <c r="CN104" i="2"/>
  <c r="CN125" i="2"/>
  <c r="CN113" i="2"/>
  <c r="CN109" i="2"/>
  <c r="CN105" i="2"/>
  <c r="CN101" i="2"/>
  <c r="CN138" i="2"/>
  <c r="CU143" i="2"/>
  <c r="CN128" i="2"/>
  <c r="CN127" i="2"/>
  <c r="CN126" i="2"/>
  <c r="CN110" i="2"/>
  <c r="CN106" i="2"/>
  <c r="CN102" i="2"/>
  <c r="CN99" i="2"/>
  <c r="CN130" i="2"/>
  <c r="CN119" i="2"/>
  <c r="CN89" i="2"/>
  <c r="CN82" i="2"/>
  <c r="CN73" i="2"/>
  <c r="CN94" i="2"/>
  <c r="CN86" i="2"/>
  <c r="CN79" i="2"/>
  <c r="CN74" i="2"/>
  <c r="CN123" i="2"/>
  <c r="CN98" i="2"/>
  <c r="CN91" i="2"/>
  <c r="CN114" i="2"/>
  <c r="CN88" i="2"/>
  <c r="CN83" i="2"/>
  <c r="CN80" i="2"/>
  <c r="CN75" i="2"/>
  <c r="CN131" i="2"/>
  <c r="CN121" i="2"/>
  <c r="CN115" i="2"/>
  <c r="CN93" i="2"/>
  <c r="CN85" i="2"/>
  <c r="CN76" i="2"/>
  <c r="CN70" i="2"/>
  <c r="CN117" i="2"/>
  <c r="CN96" i="2"/>
  <c r="CN95" i="2"/>
  <c r="CN87" i="2"/>
  <c r="CN77" i="2"/>
  <c r="CU141" i="2"/>
  <c r="CN122" i="2"/>
  <c r="CN118" i="2"/>
  <c r="CN111" i="2"/>
  <c r="CN107" i="2"/>
  <c r="CN103" i="2"/>
  <c r="CN97" i="2"/>
  <c r="CN78" i="2"/>
  <c r="CN66" i="2"/>
  <c r="CN65" i="2"/>
  <c r="CN60" i="2"/>
  <c r="CN63" i="2"/>
  <c r="CN71" i="2"/>
  <c r="CN62" i="2"/>
  <c r="CN81" i="2"/>
  <c r="CN69" i="2"/>
  <c r="CN61" i="2"/>
  <c r="CN90" i="2"/>
  <c r="CN72" i="2"/>
  <c r="CN68" i="2"/>
  <c r="CN67" i="2"/>
  <c r="CN64" i="2"/>
  <c r="AF42" i="7"/>
  <c r="AF42" i="6"/>
  <c r="AF10" i="7"/>
  <c r="AF10" i="6"/>
  <c r="CI140" i="2"/>
  <c r="CH136" i="2"/>
  <c r="CH132" i="2"/>
  <c r="CH128" i="2"/>
  <c r="CH139" i="2"/>
  <c r="CH135" i="2"/>
  <c r="CH138" i="2"/>
  <c r="CH134" i="2"/>
  <c r="CH121" i="2"/>
  <c r="CH137" i="2"/>
  <c r="CH133" i="2"/>
  <c r="CH125" i="2"/>
  <c r="CH98" i="2"/>
  <c r="CH90" i="2"/>
  <c r="CH122" i="2"/>
  <c r="CH118" i="2"/>
  <c r="CH114" i="2"/>
  <c r="CH113" i="2"/>
  <c r="CH109" i="2"/>
  <c r="CH105" i="2"/>
  <c r="CH101" i="2"/>
  <c r="CH131" i="2"/>
  <c r="CH130" i="2"/>
  <c r="CH129" i="2"/>
  <c r="CH123" i="2"/>
  <c r="CH119" i="2"/>
  <c r="CH115" i="2"/>
  <c r="CH110" i="2"/>
  <c r="CH106" i="2"/>
  <c r="CH102" i="2"/>
  <c r="CH99" i="2"/>
  <c r="CH124" i="2"/>
  <c r="CH120" i="2"/>
  <c r="CH116" i="2"/>
  <c r="CH111" i="2"/>
  <c r="CH107" i="2"/>
  <c r="CH103" i="2"/>
  <c r="CH97" i="2"/>
  <c r="CH88" i="2"/>
  <c r="CH117" i="2"/>
  <c r="CH96" i="2"/>
  <c r="CH93" i="2"/>
  <c r="CH85" i="2"/>
  <c r="CH83" i="2"/>
  <c r="CH80" i="2"/>
  <c r="CH75" i="2"/>
  <c r="CH69" i="2"/>
  <c r="CH100" i="2"/>
  <c r="CH76" i="2"/>
  <c r="CH81" i="2"/>
  <c r="CH112" i="2"/>
  <c r="CH108" i="2"/>
  <c r="CH104" i="2"/>
  <c r="CH95" i="2"/>
  <c r="CH92" i="2"/>
  <c r="CH87" i="2"/>
  <c r="CH84" i="2"/>
  <c r="CH77" i="2"/>
  <c r="CH72" i="2"/>
  <c r="CH126" i="2"/>
  <c r="CH94" i="2"/>
  <c r="CH86" i="2"/>
  <c r="CH82" i="2"/>
  <c r="CH73" i="2"/>
  <c r="CH127" i="2"/>
  <c r="CH91" i="2"/>
  <c r="CH89" i="2"/>
  <c r="CH79" i="2"/>
  <c r="CH78" i="2"/>
  <c r="CH62" i="2"/>
  <c r="CH74" i="2"/>
  <c r="CH61" i="2"/>
  <c r="CH70" i="2"/>
  <c r="CH68" i="2"/>
  <c r="CH67" i="2"/>
  <c r="CH64" i="2"/>
  <c r="CH66" i="2"/>
  <c r="CH65" i="2"/>
  <c r="CH60" i="2"/>
  <c r="CH71" i="2"/>
  <c r="CH63" i="2"/>
  <c r="B32" i="7"/>
  <c r="B32" i="6"/>
  <c r="Q54" i="7"/>
  <c r="Q54" i="6"/>
  <c r="CS124" i="2"/>
  <c r="CS123" i="2"/>
  <c r="CS122" i="2"/>
  <c r="CS121" i="2"/>
  <c r="CS120" i="2"/>
  <c r="CS119" i="2"/>
  <c r="CS118" i="2"/>
  <c r="CS117" i="2"/>
  <c r="CS116" i="2"/>
  <c r="CS115" i="2"/>
  <c r="CS114" i="2"/>
  <c r="CS136" i="2"/>
  <c r="CS132" i="2"/>
  <c r="CS126" i="2"/>
  <c r="CS110" i="2"/>
  <c r="CS106" i="2"/>
  <c r="CS102" i="2"/>
  <c r="CS99" i="2"/>
  <c r="CS91" i="2"/>
  <c r="CS139" i="2"/>
  <c r="CS130" i="2"/>
  <c r="CS129" i="2"/>
  <c r="CS128" i="2"/>
  <c r="CS127" i="2"/>
  <c r="CS138" i="2"/>
  <c r="CS133" i="2"/>
  <c r="CS131" i="2"/>
  <c r="CS137" i="2"/>
  <c r="CS100" i="2"/>
  <c r="CS135" i="2"/>
  <c r="CS98" i="2"/>
  <c r="CS113" i="2"/>
  <c r="CS109" i="2"/>
  <c r="CS105" i="2"/>
  <c r="CS101" i="2"/>
  <c r="CS93" i="2"/>
  <c r="CS85" i="2"/>
  <c r="CS81" i="2"/>
  <c r="CS90" i="2"/>
  <c r="CS77" i="2"/>
  <c r="CS72" i="2"/>
  <c r="CS95" i="2"/>
  <c r="CS92" i="2"/>
  <c r="CS87" i="2"/>
  <c r="CS84" i="2"/>
  <c r="CS78" i="2"/>
  <c r="CS96" i="2"/>
  <c r="CS89" i="2"/>
  <c r="CS82" i="2"/>
  <c r="CS111" i="2"/>
  <c r="CS107" i="2"/>
  <c r="CS103" i="2"/>
  <c r="CS97" i="2"/>
  <c r="CS94" i="2"/>
  <c r="CS86" i="2"/>
  <c r="CS79" i="2"/>
  <c r="CS74" i="2"/>
  <c r="CS134" i="2"/>
  <c r="CS112" i="2"/>
  <c r="CS108" i="2"/>
  <c r="CS104" i="2"/>
  <c r="CS83" i="2"/>
  <c r="CS80" i="2"/>
  <c r="CS75" i="2"/>
  <c r="CS125" i="2"/>
  <c r="CS61" i="2"/>
  <c r="CS69" i="2"/>
  <c r="CS76" i="2"/>
  <c r="CS68" i="2"/>
  <c r="CS67" i="2"/>
  <c r="CS64" i="2"/>
  <c r="CS66" i="2"/>
  <c r="CS65" i="2"/>
  <c r="CS60" i="2"/>
  <c r="CS70" i="2"/>
  <c r="CS63" i="2"/>
  <c r="CS73" i="2"/>
  <c r="CS62" i="2"/>
  <c r="CS88" i="2"/>
  <c r="CS71" i="2"/>
  <c r="AF32" i="7"/>
  <c r="AF32" i="6"/>
  <c r="Q60" i="7"/>
  <c r="Q60" i="6"/>
  <c r="Q90" i="7"/>
  <c r="Q90" i="6"/>
  <c r="AF78" i="7"/>
  <c r="AF78" i="6"/>
  <c r="AF82" i="7"/>
  <c r="AF82" i="6"/>
  <c r="BF16" i="2"/>
  <c r="AU16" i="2"/>
  <c r="AW16" i="2" s="1"/>
  <c r="CW141" i="2"/>
  <c r="CW137" i="2"/>
  <c r="CW133" i="2"/>
  <c r="CW129" i="2"/>
  <c r="CW136" i="2"/>
  <c r="CW139" i="2"/>
  <c r="CW135" i="2"/>
  <c r="CO138" i="2"/>
  <c r="CO134" i="2"/>
  <c r="CO135" i="2"/>
  <c r="CO132" i="2"/>
  <c r="CW131" i="2"/>
  <c r="CW130" i="2"/>
  <c r="CO124" i="2"/>
  <c r="CO120" i="2"/>
  <c r="CW138" i="2"/>
  <c r="CO112" i="2"/>
  <c r="CO108" i="2"/>
  <c r="CO104" i="2"/>
  <c r="CO95" i="2"/>
  <c r="CO87" i="2"/>
  <c r="CW142" i="2"/>
  <c r="CO121" i="2"/>
  <c r="CO117" i="2"/>
  <c r="CO98" i="2"/>
  <c r="CW140" i="2"/>
  <c r="CO139" i="2"/>
  <c r="CW132" i="2"/>
  <c r="CO122" i="2"/>
  <c r="CO118" i="2"/>
  <c r="CO114" i="2"/>
  <c r="CW143" i="2"/>
  <c r="CW134" i="2"/>
  <c r="CO133" i="2"/>
  <c r="CO137" i="2"/>
  <c r="CO131" i="2"/>
  <c r="CO130" i="2"/>
  <c r="CO129" i="2"/>
  <c r="CO123" i="2"/>
  <c r="CO119" i="2"/>
  <c r="CO115" i="2"/>
  <c r="CO125" i="2"/>
  <c r="CO94" i="2"/>
  <c r="CO86" i="2"/>
  <c r="CO79" i="2"/>
  <c r="CO74" i="2"/>
  <c r="CW126" i="2"/>
  <c r="CO91" i="2"/>
  <c r="CO113" i="2"/>
  <c r="CO109" i="2"/>
  <c r="CO105" i="2"/>
  <c r="CO101" i="2"/>
  <c r="CO88" i="2"/>
  <c r="CO83" i="2"/>
  <c r="CO80" i="2"/>
  <c r="CO75" i="2"/>
  <c r="CW127" i="2"/>
  <c r="CO126" i="2"/>
  <c r="CO93" i="2"/>
  <c r="CO85" i="2"/>
  <c r="CO76" i="2"/>
  <c r="CO136" i="2"/>
  <c r="CO110" i="2"/>
  <c r="CO106" i="2"/>
  <c r="CO102" i="2"/>
  <c r="CO99" i="2"/>
  <c r="CO90" i="2"/>
  <c r="CO81" i="2"/>
  <c r="CO71" i="2"/>
  <c r="CO127" i="2"/>
  <c r="CO116" i="2"/>
  <c r="CO96" i="2"/>
  <c r="CW128" i="2"/>
  <c r="CO111" i="2"/>
  <c r="CO107" i="2"/>
  <c r="CO103" i="2"/>
  <c r="CO97" i="2"/>
  <c r="CO92" i="2"/>
  <c r="CO84" i="2"/>
  <c r="CO78" i="2"/>
  <c r="CO128" i="2"/>
  <c r="CO100" i="2"/>
  <c r="CO73" i="2"/>
  <c r="CO63" i="2"/>
  <c r="CO77" i="2"/>
  <c r="CO62" i="2"/>
  <c r="CO82" i="2"/>
  <c r="CO69" i="2"/>
  <c r="CO61" i="2"/>
  <c r="CO72" i="2"/>
  <c r="CO68" i="2"/>
  <c r="CO67" i="2"/>
  <c r="CO64" i="2"/>
  <c r="CO89" i="2"/>
  <c r="CO70" i="2"/>
  <c r="CO66" i="2"/>
  <c r="CO65" i="2"/>
  <c r="CO60" i="2"/>
  <c r="B119" i="7"/>
  <c r="B119" i="6"/>
  <c r="D7" i="7"/>
  <c r="D7" i="6"/>
  <c r="BI49" i="2"/>
  <c r="AG46" i="2" s="1"/>
  <c r="AW5" i="2"/>
  <c r="AV5" i="2"/>
  <c r="O5" i="2" s="1"/>
  <c r="AW14" i="2"/>
  <c r="AV14" i="2"/>
  <c r="CS143" i="2"/>
  <c r="CS141" i="2"/>
  <c r="CM139" i="2"/>
  <c r="CM135" i="2"/>
  <c r="CM136" i="2"/>
  <c r="CM131" i="2"/>
  <c r="CM130" i="2"/>
  <c r="CM123" i="2"/>
  <c r="CM111" i="2"/>
  <c r="CM107" i="2"/>
  <c r="CM103" i="2"/>
  <c r="CM97" i="2"/>
  <c r="CM89" i="2"/>
  <c r="CM132" i="2"/>
  <c r="CM124" i="2"/>
  <c r="CM120" i="2"/>
  <c r="CM116" i="2"/>
  <c r="CM100" i="2"/>
  <c r="CS142" i="2"/>
  <c r="CM134" i="2"/>
  <c r="CS140" i="2"/>
  <c r="CM121" i="2"/>
  <c r="CM117" i="2"/>
  <c r="CM98" i="2"/>
  <c r="CM138" i="2"/>
  <c r="CM133" i="2"/>
  <c r="CM122" i="2"/>
  <c r="CM118" i="2"/>
  <c r="CM114" i="2"/>
  <c r="CM96" i="2"/>
  <c r="CM128" i="2"/>
  <c r="CM78" i="2"/>
  <c r="CM125" i="2"/>
  <c r="CM119" i="2"/>
  <c r="CM112" i="2"/>
  <c r="CM108" i="2"/>
  <c r="CM104" i="2"/>
  <c r="CM82" i="2"/>
  <c r="CM73" i="2"/>
  <c r="CM94" i="2"/>
  <c r="CM86" i="2"/>
  <c r="CM79" i="2"/>
  <c r="CM74" i="2"/>
  <c r="CM137" i="2"/>
  <c r="CM113" i="2"/>
  <c r="CM109" i="2"/>
  <c r="CM105" i="2"/>
  <c r="CM101" i="2"/>
  <c r="CM91" i="2"/>
  <c r="CM129" i="2"/>
  <c r="CM126" i="2"/>
  <c r="CM88" i="2"/>
  <c r="CM83" i="2"/>
  <c r="CM80" i="2"/>
  <c r="CM75" i="2"/>
  <c r="CM69" i="2"/>
  <c r="CM68" i="2"/>
  <c r="CM115" i="2"/>
  <c r="CM110" i="2"/>
  <c r="CM106" i="2"/>
  <c r="CM102" i="2"/>
  <c r="CM99" i="2"/>
  <c r="CM93" i="2"/>
  <c r="CM127" i="2"/>
  <c r="CM90" i="2"/>
  <c r="CM81" i="2"/>
  <c r="CM95" i="2"/>
  <c r="CM92" i="2"/>
  <c r="CM72" i="2"/>
  <c r="CM70" i="2"/>
  <c r="CM67" i="2"/>
  <c r="CM64" i="2"/>
  <c r="CM87" i="2"/>
  <c r="CM66" i="2"/>
  <c r="CM65" i="2"/>
  <c r="CM60" i="2"/>
  <c r="CM85" i="2"/>
  <c r="CM84" i="2"/>
  <c r="CM77" i="2"/>
  <c r="CM63" i="2"/>
  <c r="CM76" i="2"/>
  <c r="CM71" i="2"/>
  <c r="CM62" i="2"/>
  <c r="CM61" i="2"/>
  <c r="AF36" i="7"/>
  <c r="AF36" i="6"/>
  <c r="CV123" i="2"/>
  <c r="CV100" i="2"/>
  <c r="CV92" i="2"/>
  <c r="CV84" i="2"/>
  <c r="CV124" i="2"/>
  <c r="CV120" i="2"/>
  <c r="CV116" i="2"/>
  <c r="CV112" i="2"/>
  <c r="CV108" i="2"/>
  <c r="CV104" i="2"/>
  <c r="CV95" i="2"/>
  <c r="CV121" i="2"/>
  <c r="CV117" i="2"/>
  <c r="CV113" i="2"/>
  <c r="CV109" i="2"/>
  <c r="CV105" i="2"/>
  <c r="CV101" i="2"/>
  <c r="CV122" i="2"/>
  <c r="CV118" i="2"/>
  <c r="CV114" i="2"/>
  <c r="CV110" i="2"/>
  <c r="CV106" i="2"/>
  <c r="CV102" i="2"/>
  <c r="CV99" i="2"/>
  <c r="CV82" i="2"/>
  <c r="CV73" i="2"/>
  <c r="CV115" i="2"/>
  <c r="CV96" i="2"/>
  <c r="CV89" i="2"/>
  <c r="CV79" i="2"/>
  <c r="CV74" i="2"/>
  <c r="CV94" i="2"/>
  <c r="CV86" i="2"/>
  <c r="CV111" i="2"/>
  <c r="CV107" i="2"/>
  <c r="CV103" i="2"/>
  <c r="CV97" i="2"/>
  <c r="CV91" i="2"/>
  <c r="CV83" i="2"/>
  <c r="CV80" i="2"/>
  <c r="CV75" i="2"/>
  <c r="CV88" i="2"/>
  <c r="CV76" i="2"/>
  <c r="CV70" i="2"/>
  <c r="CV119" i="2"/>
  <c r="CV93" i="2"/>
  <c r="CV125" i="2"/>
  <c r="CV98" i="2"/>
  <c r="CV90" i="2"/>
  <c r="CV77" i="2"/>
  <c r="CV85" i="2"/>
  <c r="CV68" i="2"/>
  <c r="CV66" i="2"/>
  <c r="CV65" i="2"/>
  <c r="CV60" i="2"/>
  <c r="CV63" i="2"/>
  <c r="CV72" i="2"/>
  <c r="CV81" i="2"/>
  <c r="CV62" i="2"/>
  <c r="CV71" i="2"/>
  <c r="CV61" i="2"/>
  <c r="CV78" i="2"/>
  <c r="CV87" i="2"/>
  <c r="CV69" i="2"/>
  <c r="CV67" i="2"/>
  <c r="CV64" i="2"/>
  <c r="AU42" i="7"/>
  <c r="AU42" i="6"/>
  <c r="AU6" i="7"/>
  <c r="AU6" i="6"/>
  <c r="CY140" i="2"/>
  <c r="CP136" i="2"/>
  <c r="CP132" i="2"/>
  <c r="CP128" i="2"/>
  <c r="CP139" i="2"/>
  <c r="CP135" i="2"/>
  <c r="CP138" i="2"/>
  <c r="CP134" i="2"/>
  <c r="CY143" i="2"/>
  <c r="CY138" i="2"/>
  <c r="CY134" i="2"/>
  <c r="CY139" i="2"/>
  <c r="CY133" i="2"/>
  <c r="CY142" i="2"/>
  <c r="CP121" i="2"/>
  <c r="CP117" i="2"/>
  <c r="CP98" i="2"/>
  <c r="CP90" i="2"/>
  <c r="CY137" i="2"/>
  <c r="CP125" i="2"/>
  <c r="CP113" i="2"/>
  <c r="CP109" i="2"/>
  <c r="CP105" i="2"/>
  <c r="CP101" i="2"/>
  <c r="CY136" i="2"/>
  <c r="CY132" i="2"/>
  <c r="CY135" i="2"/>
  <c r="CP133" i="2"/>
  <c r="CP127" i="2"/>
  <c r="CP126" i="2"/>
  <c r="CP110" i="2"/>
  <c r="CP106" i="2"/>
  <c r="CP102" i="2"/>
  <c r="CP99" i="2"/>
  <c r="CP137" i="2"/>
  <c r="CY141" i="2"/>
  <c r="CY128" i="2"/>
  <c r="CY127" i="2"/>
  <c r="CY126" i="2"/>
  <c r="CP111" i="2"/>
  <c r="CP107" i="2"/>
  <c r="CP103" i="2"/>
  <c r="CP97" i="2"/>
  <c r="CP112" i="2"/>
  <c r="CP108" i="2"/>
  <c r="CP104" i="2"/>
  <c r="CP91" i="2"/>
  <c r="CP123" i="2"/>
  <c r="CP120" i="2"/>
  <c r="CP88" i="2"/>
  <c r="CP83" i="2"/>
  <c r="CP80" i="2"/>
  <c r="CP75" i="2"/>
  <c r="CP69" i="2"/>
  <c r="CY131" i="2"/>
  <c r="CY129" i="2"/>
  <c r="CP114" i="2"/>
  <c r="CP93" i="2"/>
  <c r="CP85" i="2"/>
  <c r="CP76" i="2"/>
  <c r="CP131" i="2"/>
  <c r="CP129" i="2"/>
  <c r="CP115" i="2"/>
  <c r="CP81" i="2"/>
  <c r="CP124" i="2"/>
  <c r="CP116" i="2"/>
  <c r="CP96" i="2"/>
  <c r="CP77" i="2"/>
  <c r="CP72" i="2"/>
  <c r="CP95" i="2"/>
  <c r="CP92" i="2"/>
  <c r="CY130" i="2"/>
  <c r="CP122" i="2"/>
  <c r="CP118" i="2"/>
  <c r="CP100" i="2"/>
  <c r="CP89" i="2"/>
  <c r="CP82" i="2"/>
  <c r="CP73" i="2"/>
  <c r="CP130" i="2"/>
  <c r="CP119" i="2"/>
  <c r="CP94" i="2"/>
  <c r="CP87" i="2"/>
  <c r="CP86" i="2"/>
  <c r="CP84" i="2"/>
  <c r="CP74" i="2"/>
  <c r="CP71" i="2"/>
  <c r="CP62" i="2"/>
  <c r="CP61" i="2"/>
  <c r="CP68" i="2"/>
  <c r="CP67" i="2"/>
  <c r="CP64" i="2"/>
  <c r="CP79" i="2"/>
  <c r="CP70" i="2"/>
  <c r="CP66" i="2"/>
  <c r="CP65" i="2"/>
  <c r="CP60" i="2"/>
  <c r="CP78" i="2"/>
  <c r="CP63" i="2"/>
  <c r="AF54" i="7"/>
  <c r="AF54" i="6"/>
  <c r="Q8" i="7"/>
  <c r="Q8" i="6"/>
  <c r="B36" i="7"/>
  <c r="B36" i="6"/>
  <c r="AF60" i="7"/>
  <c r="AF60" i="6"/>
  <c r="AF80" i="7"/>
  <c r="AF80" i="6"/>
  <c r="AU84" i="7"/>
  <c r="AU84" i="6"/>
  <c r="BI54" i="2"/>
  <c r="AG51" i="2" s="1"/>
  <c r="CU139" i="2"/>
  <c r="CU135" i="2"/>
  <c r="CU129" i="2"/>
  <c r="CU128" i="2"/>
  <c r="CU127" i="2"/>
  <c r="CU126" i="2"/>
  <c r="CU133" i="2"/>
  <c r="CU131" i="2"/>
  <c r="CU130" i="2"/>
  <c r="CU123" i="2"/>
  <c r="CU119" i="2"/>
  <c r="CU115" i="2"/>
  <c r="CU111" i="2"/>
  <c r="CU107" i="2"/>
  <c r="CU103" i="2"/>
  <c r="CU97" i="2"/>
  <c r="CU89" i="2"/>
  <c r="CU138" i="2"/>
  <c r="CU100" i="2"/>
  <c r="CU137" i="2"/>
  <c r="CU136" i="2"/>
  <c r="CU98" i="2"/>
  <c r="CU132" i="2"/>
  <c r="CU134" i="2"/>
  <c r="CU125" i="2"/>
  <c r="CU96" i="2"/>
  <c r="CU114" i="2"/>
  <c r="CU95" i="2"/>
  <c r="CU92" i="2"/>
  <c r="CU87" i="2"/>
  <c r="CU84" i="2"/>
  <c r="CU78" i="2"/>
  <c r="CU110" i="2"/>
  <c r="CU106" i="2"/>
  <c r="CU102" i="2"/>
  <c r="CU99" i="2"/>
  <c r="CU82" i="2"/>
  <c r="CU73" i="2"/>
  <c r="CU124" i="2"/>
  <c r="CU121" i="2"/>
  <c r="CU116" i="2"/>
  <c r="CU79" i="2"/>
  <c r="CU74" i="2"/>
  <c r="CU117" i="2"/>
  <c r="CU94" i="2"/>
  <c r="CU86" i="2"/>
  <c r="CU118" i="2"/>
  <c r="CU91" i="2"/>
  <c r="CU83" i="2"/>
  <c r="CU80" i="2"/>
  <c r="CU75" i="2"/>
  <c r="CU69" i="2"/>
  <c r="CU68" i="2"/>
  <c r="CU122" i="2"/>
  <c r="CU112" i="2"/>
  <c r="CU108" i="2"/>
  <c r="CU104" i="2"/>
  <c r="CU93" i="2"/>
  <c r="CU85" i="2"/>
  <c r="CU81" i="2"/>
  <c r="CU120" i="2"/>
  <c r="CU113" i="2"/>
  <c r="CU109" i="2"/>
  <c r="CU105" i="2"/>
  <c r="CU101" i="2"/>
  <c r="CU77" i="2"/>
  <c r="CU67" i="2"/>
  <c r="CU64" i="2"/>
  <c r="CU76" i="2"/>
  <c r="CU66" i="2"/>
  <c r="CU65" i="2"/>
  <c r="CU60" i="2"/>
  <c r="CU70" i="2"/>
  <c r="CU63" i="2"/>
  <c r="CU72" i="2"/>
  <c r="CU62" i="2"/>
  <c r="CU71" i="2"/>
  <c r="CU90" i="2"/>
  <c r="CU88" i="2"/>
  <c r="CU61" i="2"/>
  <c r="AU36" i="7"/>
  <c r="AU36" i="6"/>
  <c r="Q18" i="7"/>
  <c r="Q18" i="6"/>
  <c r="B60" i="7"/>
  <c r="B60" i="6"/>
  <c r="AU54" i="7"/>
  <c r="AU54" i="6"/>
  <c r="CK145" i="2"/>
  <c r="CK143" i="2"/>
  <c r="CK142" i="2"/>
  <c r="CI137" i="2"/>
  <c r="CI133" i="2"/>
  <c r="CI138" i="2"/>
  <c r="CI125" i="2"/>
  <c r="CK141" i="2"/>
  <c r="CI122" i="2"/>
  <c r="CI118" i="2"/>
  <c r="CI114" i="2"/>
  <c r="CI113" i="2"/>
  <c r="CI109" i="2"/>
  <c r="CI105" i="2"/>
  <c r="CI101" i="2"/>
  <c r="CI93" i="2"/>
  <c r="CI85" i="2"/>
  <c r="CI136" i="2"/>
  <c r="CI127" i="2"/>
  <c r="CI126" i="2"/>
  <c r="CI96" i="2"/>
  <c r="CI135" i="2"/>
  <c r="CI131" i="2"/>
  <c r="CI130" i="2"/>
  <c r="CI129" i="2"/>
  <c r="CK144" i="2"/>
  <c r="CI132" i="2"/>
  <c r="CK140" i="2"/>
  <c r="CI134" i="2"/>
  <c r="CI100" i="2"/>
  <c r="CI117" i="2"/>
  <c r="CI83" i="2"/>
  <c r="CI80" i="2"/>
  <c r="CI75" i="2"/>
  <c r="CI139" i="2"/>
  <c r="CI128" i="2"/>
  <c r="CI111" i="2"/>
  <c r="CI107" i="2"/>
  <c r="CI103" i="2"/>
  <c r="CI76" i="2"/>
  <c r="CI70" i="2"/>
  <c r="CI119" i="2"/>
  <c r="CI97" i="2"/>
  <c r="CI90" i="2"/>
  <c r="CI81" i="2"/>
  <c r="CI123" i="2"/>
  <c r="CI120" i="2"/>
  <c r="CI112" i="2"/>
  <c r="CI108" i="2"/>
  <c r="CI104" i="2"/>
  <c r="CI95" i="2"/>
  <c r="CI92" i="2"/>
  <c r="CI87" i="2"/>
  <c r="CI84" i="2"/>
  <c r="CI77" i="2"/>
  <c r="CI89" i="2"/>
  <c r="CI78" i="2"/>
  <c r="CI98" i="2"/>
  <c r="CI94" i="2"/>
  <c r="CI124" i="2"/>
  <c r="CI121" i="2"/>
  <c r="CI115" i="2"/>
  <c r="CI91" i="2"/>
  <c r="CI79" i="2"/>
  <c r="CI74" i="2"/>
  <c r="CI116" i="2"/>
  <c r="CI110" i="2"/>
  <c r="CI106" i="2"/>
  <c r="CI102" i="2"/>
  <c r="CI99" i="2"/>
  <c r="CI62" i="2"/>
  <c r="CI88" i="2"/>
  <c r="CI86" i="2"/>
  <c r="CI69" i="2"/>
  <c r="CI73" i="2"/>
  <c r="CI72" i="2"/>
  <c r="CI61" i="2"/>
  <c r="CI68" i="2"/>
  <c r="CI82" i="2"/>
  <c r="CI67" i="2"/>
  <c r="CI64" i="2"/>
  <c r="CI66" i="2"/>
  <c r="CI65" i="2"/>
  <c r="CI71" i="2"/>
  <c r="CI63" i="2"/>
  <c r="CI60" i="2"/>
  <c r="CJ139" i="2"/>
  <c r="CJ135" i="2"/>
  <c r="CJ131" i="2"/>
  <c r="CJ127" i="2"/>
  <c r="CJ138" i="2"/>
  <c r="CM142" i="2"/>
  <c r="CJ137" i="2"/>
  <c r="CJ133" i="2"/>
  <c r="CM141" i="2"/>
  <c r="CM143" i="2"/>
  <c r="CJ122" i="2"/>
  <c r="CJ136" i="2"/>
  <c r="CJ126" i="2"/>
  <c r="CJ96" i="2"/>
  <c r="CJ88" i="2"/>
  <c r="CJ130" i="2"/>
  <c r="CJ129" i="2"/>
  <c r="CJ128" i="2"/>
  <c r="CJ123" i="2"/>
  <c r="CJ119" i="2"/>
  <c r="CJ115" i="2"/>
  <c r="CJ110" i="2"/>
  <c r="CJ106" i="2"/>
  <c r="CJ102" i="2"/>
  <c r="CJ99" i="2"/>
  <c r="CJ132" i="2"/>
  <c r="CJ124" i="2"/>
  <c r="CJ120" i="2"/>
  <c r="CJ116" i="2"/>
  <c r="CJ111" i="2"/>
  <c r="CJ107" i="2"/>
  <c r="CJ103" i="2"/>
  <c r="CM140" i="2"/>
  <c r="CJ134" i="2"/>
  <c r="CJ121" i="2"/>
  <c r="CJ117" i="2"/>
  <c r="CJ112" i="2"/>
  <c r="CJ108" i="2"/>
  <c r="CJ104" i="2"/>
  <c r="CJ93" i="2"/>
  <c r="CJ85" i="2"/>
  <c r="CJ76" i="2"/>
  <c r="CJ118" i="2"/>
  <c r="CJ100" i="2"/>
  <c r="CJ97" i="2"/>
  <c r="CJ90" i="2"/>
  <c r="CJ81" i="2"/>
  <c r="CJ71" i="2"/>
  <c r="CJ125" i="2"/>
  <c r="CJ95" i="2"/>
  <c r="CJ92" i="2"/>
  <c r="CJ87" i="2"/>
  <c r="CJ84" i="2"/>
  <c r="CJ77" i="2"/>
  <c r="CJ89" i="2"/>
  <c r="CJ78" i="2"/>
  <c r="CJ98" i="2"/>
  <c r="CJ94" i="2"/>
  <c r="CJ86" i="2"/>
  <c r="CJ82" i="2"/>
  <c r="CJ73" i="2"/>
  <c r="CJ114" i="2"/>
  <c r="CJ113" i="2"/>
  <c r="CJ109" i="2"/>
  <c r="CJ105" i="2"/>
  <c r="CJ101" i="2"/>
  <c r="CJ91" i="2"/>
  <c r="CJ69" i="2"/>
  <c r="CJ72" i="2"/>
  <c r="CJ61" i="2"/>
  <c r="CJ74" i="2"/>
  <c r="CJ68" i="2"/>
  <c r="CJ70" i="2"/>
  <c r="CJ67" i="2"/>
  <c r="CJ64" i="2"/>
  <c r="CJ83" i="2"/>
  <c r="CJ66" i="2"/>
  <c r="CJ65" i="2"/>
  <c r="CJ60" i="2"/>
  <c r="CJ63" i="2"/>
  <c r="CJ80" i="2"/>
  <c r="CJ79" i="2"/>
  <c r="CJ75" i="2"/>
  <c r="CJ62" i="2"/>
  <c r="AU66" i="6"/>
  <c r="AU66" i="7"/>
  <c r="AU32" i="7"/>
  <c r="AU32" i="6"/>
  <c r="Q32" i="7"/>
  <c r="Q32" i="6"/>
  <c r="Q56" i="7"/>
  <c r="Q56" i="6"/>
  <c r="AU80" i="7"/>
  <c r="AU80" i="6"/>
  <c r="AW13" i="2" l="1"/>
  <c r="AV11" i="2"/>
  <c r="O11" i="2" s="1"/>
  <c r="AH69" i="7" s="1"/>
  <c r="AU6" i="2"/>
  <c r="I32" i="5"/>
  <c r="AD38" i="5" s="1"/>
  <c r="W38" i="5" s="1"/>
  <c r="S29" i="5" s="1"/>
  <c r="J41" i="9" s="1"/>
  <c r="AV17" i="2"/>
  <c r="O17" i="2" s="1"/>
  <c r="D117" i="7" s="1"/>
  <c r="AW17" i="2"/>
  <c r="O13" i="2"/>
  <c r="D93" i="7" s="1"/>
  <c r="AU10" i="2"/>
  <c r="AV9" i="2"/>
  <c r="O9" i="2" s="1"/>
  <c r="D69" i="6" s="1"/>
  <c r="O14" i="2"/>
  <c r="S93" i="7" s="1"/>
  <c r="AN10" i="2"/>
  <c r="Q71" i="6" s="1"/>
  <c r="AV2" i="2"/>
  <c r="O2" i="2" s="1"/>
  <c r="S21" i="7" s="1"/>
  <c r="AN6" i="2"/>
  <c r="AW2" i="2"/>
  <c r="AI78" i="2"/>
  <c r="B47" i="6"/>
  <c r="AV16" i="2"/>
  <c r="O16" i="2" s="1"/>
  <c r="AH93" i="7"/>
  <c r="AH93" i="6"/>
  <c r="Q23" i="7"/>
  <c r="Q23" i="6"/>
  <c r="AW21" i="7"/>
  <c r="AW21" i="6"/>
  <c r="J30" i="2"/>
  <c r="AW45" i="6"/>
  <c r="AW45" i="7"/>
  <c r="AQ7" i="2"/>
  <c r="AN7" i="2"/>
  <c r="D45" i="7"/>
  <c r="D45" i="6"/>
  <c r="Q95" i="7"/>
  <c r="Q95" i="6"/>
  <c r="AF95" i="7"/>
  <c r="AF95" i="6"/>
  <c r="AN16" i="2"/>
  <c r="AQ16" i="2"/>
  <c r="BF3" i="2"/>
  <c r="AU3" i="2"/>
  <c r="BF7" i="2"/>
  <c r="AU7" i="2"/>
  <c r="AN11" i="2"/>
  <c r="AQ11" i="2"/>
  <c r="AW69" i="6"/>
  <c r="AW69" i="7"/>
  <c r="AF45" i="9"/>
  <c r="AF44" i="9" s="1"/>
  <c r="X45" i="9"/>
  <c r="X44" i="9" s="1"/>
  <c r="P45" i="9"/>
  <c r="P44" i="9" s="1"/>
  <c r="H45" i="9"/>
  <c r="H44" i="9" s="1"/>
  <c r="AE45" i="9"/>
  <c r="AE44" i="9" s="1"/>
  <c r="W45" i="9"/>
  <c r="W44" i="9" s="1"/>
  <c r="O45" i="9"/>
  <c r="O44" i="9" s="1"/>
  <c r="G45" i="9"/>
  <c r="G44" i="9" s="1"/>
  <c r="AD45" i="9"/>
  <c r="AD44" i="9" s="1"/>
  <c r="V45" i="9"/>
  <c r="V44" i="9" s="1"/>
  <c r="N45" i="9"/>
  <c r="N44" i="9" s="1"/>
  <c r="F45" i="9"/>
  <c r="F44" i="9" s="1"/>
  <c r="AC45" i="9"/>
  <c r="AC44" i="9" s="1"/>
  <c r="U45" i="9"/>
  <c r="U44" i="9" s="1"/>
  <c r="M45" i="9"/>
  <c r="M44" i="9" s="1"/>
  <c r="E45" i="9"/>
  <c r="E44" i="9" s="1"/>
  <c r="AB45" i="9"/>
  <c r="AB44" i="9" s="1"/>
  <c r="T45" i="9"/>
  <c r="T44" i="9" s="1"/>
  <c r="L45" i="9"/>
  <c r="L44" i="9" s="1"/>
  <c r="D45" i="9"/>
  <c r="D44" i="9" s="1"/>
  <c r="AA45" i="9"/>
  <c r="AA44" i="9" s="1"/>
  <c r="S45" i="9"/>
  <c r="S44" i="9" s="1"/>
  <c r="K45" i="9"/>
  <c r="K44" i="9" s="1"/>
  <c r="C45" i="9"/>
  <c r="C44" i="9" s="1"/>
  <c r="AH45" i="9"/>
  <c r="AH44" i="9" s="1"/>
  <c r="Z45" i="9"/>
  <c r="Z44" i="9" s="1"/>
  <c r="R45" i="9"/>
  <c r="R44" i="9" s="1"/>
  <c r="J45" i="9"/>
  <c r="J44" i="9" s="1"/>
  <c r="AG45" i="9"/>
  <c r="AG44" i="9" s="1"/>
  <c r="Y45" i="9"/>
  <c r="Y44" i="9" s="1"/>
  <c r="Q45" i="9"/>
  <c r="Q44" i="9" s="1"/>
  <c r="I45" i="9"/>
  <c r="I44" i="9" s="1"/>
  <c r="AQ3" i="2"/>
  <c r="AN3" i="2"/>
  <c r="I6" i="5"/>
  <c r="AD12" i="5" s="1"/>
  <c r="W12" i="5" s="1"/>
  <c r="S3" i="5" s="1"/>
  <c r="J39" i="9" s="1"/>
  <c r="B71" i="7"/>
  <c r="B71" i="6"/>
  <c r="Q71" i="7" l="1"/>
  <c r="AW6" i="2"/>
  <c r="AV6" i="2"/>
  <c r="O6" i="2" s="1"/>
  <c r="S45" i="7" s="1"/>
  <c r="D117" i="6"/>
  <c r="AW10" i="2"/>
  <c r="AV10" i="2"/>
  <c r="AH69" i="6"/>
  <c r="D93" i="6"/>
  <c r="S93" i="6"/>
  <c r="D69" i="7"/>
  <c r="S21" i="6"/>
  <c r="J28" i="2"/>
  <c r="Q47" i="7"/>
  <c r="Q47" i="6"/>
  <c r="AF47" i="7"/>
  <c r="AF47" i="6"/>
  <c r="AF71" i="7"/>
  <c r="AF71" i="6"/>
  <c r="AU95" i="7"/>
  <c r="AU95" i="6"/>
  <c r="B64" i="9"/>
  <c r="AV7" i="2"/>
  <c r="AW7" i="2"/>
  <c r="AW3" i="2"/>
  <c r="AV3" i="2"/>
  <c r="O3" i="2" s="1"/>
  <c r="AW93" i="6"/>
  <c r="AW93" i="7"/>
  <c r="AF23" i="7"/>
  <c r="AF23" i="6"/>
  <c r="O7" i="2" l="1"/>
  <c r="AH45" i="6" s="1"/>
  <c r="O10" i="2"/>
  <c r="S69" i="6" s="1"/>
  <c r="S45" i="6"/>
  <c r="B78" i="9"/>
  <c r="C78" i="9" s="1"/>
  <c r="B77" i="9"/>
  <c r="C77" i="9" s="1"/>
  <c r="B76" i="9"/>
  <c r="C76" i="9" s="1"/>
  <c r="B65" i="9"/>
  <c r="C65" i="9" s="1"/>
  <c r="B73" i="9"/>
  <c r="C73" i="9" s="1"/>
  <c r="B69" i="9"/>
  <c r="C69" i="9" s="1"/>
  <c r="B80" i="9"/>
  <c r="C80" i="9" s="1"/>
  <c r="B72" i="9"/>
  <c r="C72" i="9" s="1"/>
  <c r="B68" i="9"/>
  <c r="C68" i="9" s="1"/>
  <c r="B75" i="9"/>
  <c r="C75" i="9" s="1"/>
  <c r="B71" i="9"/>
  <c r="C71" i="9" s="1"/>
  <c r="B67" i="9"/>
  <c r="C67" i="9" s="1"/>
  <c r="B81" i="9"/>
  <c r="C81" i="9" s="1"/>
  <c r="B79" i="9"/>
  <c r="C79" i="9" s="1"/>
  <c r="B66" i="9"/>
  <c r="C66" i="9" s="1"/>
  <c r="B84" i="9"/>
  <c r="C84" i="9" s="1"/>
  <c r="B83" i="9"/>
  <c r="C83" i="9" s="1"/>
  <c r="B82" i="9"/>
  <c r="C82" i="9" s="1"/>
  <c r="B74" i="9"/>
  <c r="C74" i="9" s="1"/>
  <c r="B70" i="9"/>
  <c r="C70" i="9" s="1"/>
  <c r="AH21" i="7"/>
  <c r="AH21" i="6"/>
  <c r="AH45" i="7" l="1"/>
  <c r="S69" i="7"/>
  <c r="L19" i="2"/>
  <c r="AF106" i="7" s="1"/>
  <c r="J18" i="2"/>
  <c r="Q102" i="6" s="1"/>
  <c r="N19" i="2"/>
  <c r="AF114" i="7" s="1"/>
  <c r="I20" i="2"/>
  <c r="N20" i="2"/>
  <c r="AN18" i="2"/>
  <c r="K20" i="2"/>
  <c r="J20" i="2"/>
  <c r="M20" i="2"/>
  <c r="L18" i="2"/>
  <c r="AN20" i="2"/>
  <c r="K19" i="2"/>
  <c r="K18" i="2"/>
  <c r="M18" i="2"/>
  <c r="M19" i="2"/>
  <c r="N18" i="2"/>
  <c r="AN19" i="2"/>
  <c r="I18" i="2"/>
  <c r="J19" i="2"/>
  <c r="I19" i="2"/>
  <c r="L20" i="2"/>
  <c r="AF114" i="6" l="1"/>
  <c r="Q102" i="7"/>
  <c r="AF106" i="6"/>
  <c r="AU106" i="7"/>
  <c r="AU106" i="6"/>
  <c r="AF102" i="6"/>
  <c r="AF102" i="7"/>
  <c r="Q104" i="6"/>
  <c r="Q104" i="7"/>
  <c r="Q108" i="7"/>
  <c r="Q108" i="6"/>
  <c r="BB60" i="2"/>
  <c r="AS18" i="2"/>
  <c r="O18" i="2"/>
  <c r="Z18" i="2"/>
  <c r="AU102" i="7"/>
  <c r="AU102" i="6"/>
  <c r="Z19" i="2"/>
  <c r="O19" i="2"/>
  <c r="AS19" i="2"/>
  <c r="AF119" i="7"/>
  <c r="AF119" i="6"/>
  <c r="AQ19" i="2"/>
  <c r="AU104" i="7"/>
  <c r="AU104" i="6"/>
  <c r="AU108" i="7"/>
  <c r="AU108" i="6"/>
  <c r="AF104" i="7"/>
  <c r="AF104" i="6"/>
  <c r="Q119" i="6"/>
  <c r="Q119" i="7"/>
  <c r="AQ18" i="2"/>
  <c r="J27" i="2"/>
  <c r="AF108" i="7"/>
  <c r="AF108" i="6"/>
  <c r="AU119" i="7"/>
  <c r="AU119" i="6"/>
  <c r="AQ20" i="2"/>
  <c r="AU114" i="7"/>
  <c r="AU114" i="6"/>
  <c r="Q114" i="7"/>
  <c r="Q114" i="6"/>
  <c r="Q106" i="7"/>
  <c r="Q106" i="6"/>
  <c r="Z20" i="2"/>
  <c r="O20" i="2"/>
  <c r="AS20" i="2"/>
  <c r="AH114" i="6" l="1"/>
  <c r="AH114" i="7"/>
  <c r="AH104" i="7"/>
  <c r="AH104" i="6"/>
  <c r="AW114" i="7"/>
  <c r="AW114" i="6"/>
  <c r="J29" i="2"/>
  <c r="J31" i="2" s="1"/>
  <c r="B60" i="2" s="1"/>
  <c r="F33" i="2" s="1"/>
  <c r="J32" i="2"/>
  <c r="S104" i="7"/>
  <c r="S104" i="6"/>
  <c r="S114" i="6"/>
  <c r="S114" i="7"/>
  <c r="AW104" i="7"/>
  <c r="AW104" i="6"/>
  <c r="D6" i="7" l="1"/>
  <c r="D6" i="6"/>
</calcChain>
</file>

<file path=xl/sharedStrings.xml><?xml version="1.0" encoding="utf-8"?>
<sst xmlns="http://schemas.openxmlformats.org/spreadsheetml/2006/main" count="3996" uniqueCount="1364">
  <si>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</si>
  <si>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</si>
  <si>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</si>
  <si>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</si>
  <si>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</si>
  <si>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</si>
  <si>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</si>
  <si>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</si>
  <si>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</si>
  <si>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</si>
  <si>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</si>
  <si>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</si>
  <si>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</si>
  <si>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</si>
  <si>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</si>
  <si>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</si>
  <si>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</si>
  <si>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</si>
  <si>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</si>
  <si>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</si>
  <si>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</si>
  <si>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</si>
  <si>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</si>
  <si>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</si>
  <si>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</si>
  <si>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</si>
  <si>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</si>
  <si>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</si>
  <si>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</si>
  <si>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</si>
  <si>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</si>
  <si>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</si>
  <si>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</si>
  <si>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</si>
  <si>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</si>
  <si>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</si>
  <si>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</si>
  <si>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</si>
  <si>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</si>
  <si>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</si>
  <si>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</si>
  <si>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</si>
  <si>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</si>
  <si>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</si>
  <si>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</si>
  <si>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</si>
  <si>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</si>
  <si>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</si>
  <si>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</si>
  <si>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</si>
  <si>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</si>
  <si>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</si>
  <si>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</si>
  <si>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</si>
  <si>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</si>
  <si>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</si>
  <si>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</si>
  <si>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</si>
  <si>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</si>
  <si>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</si>
  <si>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</si>
  <si>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</si>
  <si>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</si>
  <si>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</si>
  <si>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</si>
  <si>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</si>
  <si>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</si>
  <si>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</si>
  <si>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</si>
  <si>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</si>
  <si>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</si>
  <si>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</si>
  <si>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</si>
  <si>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</si>
  <si>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</si>
  <si>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</si>
  <si>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</si>
  <si>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</si>
  <si>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</si>
  <si>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</si>
  <si>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</si>
  <si>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</si>
  <si>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</si>
  <si>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</si>
  <si>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</si>
  <si>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</si>
  <si>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</si>
  <si>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</si>
  <si>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</si>
  <si>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</si>
  <si>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</si>
  <si>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</si>
  <si>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</si>
  <si>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</si>
  <si>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</si>
  <si>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</si>
  <si>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</si>
  <si>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</si>
  <si>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</si>
  <si>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</si>
  <si>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</si>
  <si>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</si>
  <si>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</si>
  <si>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</si>
  <si>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</si>
  <si>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</si>
  <si>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</si>
  <si>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</si>
  <si>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</si>
  <si>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</si>
  <si>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</si>
  <si>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</si>
  <si>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</si>
  <si>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</si>
  <si>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</si>
  <si>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</si>
  <si>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</si>
  <si>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</si>
  <si>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</si>
  <si>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</si>
  <si>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</si>
  <si>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</si>
  <si>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</si>
  <si>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</si>
  <si>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</si>
  <si>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</si>
  <si>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</si>
  <si>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</si>
  <si>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</si>
  <si>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</si>
  <si>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</si>
  <si>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</si>
  <si>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</si>
  <si>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</si>
  <si>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</si>
  <si>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</si>
  <si>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</si>
  <si>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</si>
  <si>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</si>
  <si>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</si>
  <si>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</si>
  <si>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</si>
  <si>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</si>
  <si>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</si>
  <si>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</si>
  <si>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</si>
  <si>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</si>
  <si>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</si>
  <si>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</si>
  <si>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</si>
  <si>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</si>
  <si>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</si>
  <si>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</si>
  <si>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</si>
  <si>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</si>
  <si>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</si>
  <si>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</si>
  <si>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</si>
  <si>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</si>
  <si>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</si>
  <si>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</si>
  <si>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</si>
  <si>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</si>
  <si>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</si>
  <si>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</si>
  <si>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</si>
  <si>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</si>
  <si>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</si>
  <si>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</si>
  <si>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</si>
  <si>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</si>
  <si>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</si>
  <si>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</si>
  <si>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</si>
  <si>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</si>
  <si>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</si>
  <si>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</si>
  <si>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</si>
  <si>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</si>
  <si>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</si>
  <si>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</si>
  <si>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</si>
  <si>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</si>
  <si>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</si>
  <si>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</si>
  <si>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</si>
  <si>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</si>
  <si>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</si>
  <si>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</si>
  <si>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</si>
  <si>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</si>
  <si>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</si>
  <si>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</si>
  <si>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</si>
  <si>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</si>
  <si>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</si>
  <si>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</si>
  <si>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</si>
  <si>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</si>
  <si>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</si>
  <si>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</si>
  <si>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</si>
  <si>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</si>
  <si>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</si>
  <si>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</si>
  <si>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</si>
  <si>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</si>
  <si>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</si>
  <si>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</si>
  <si>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</si>
  <si>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</si>
  <si>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</si>
  <si>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</si>
  <si>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</si>
  <si>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</si>
  <si>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</si>
  <si>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</si>
  <si>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</si>
  <si>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</si>
  <si>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</si>
  <si>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</si>
  <si>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</si>
  <si>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</si>
  <si>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</si>
  <si>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</si>
  <si>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</si>
  <si>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</si>
  <si>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</si>
  <si>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</si>
  <si>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</si>
  <si>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</si>
  <si>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</si>
  <si>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</si>
  <si>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</si>
  <si>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</si>
  <si>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</si>
  <si>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</si>
  <si>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</si>
  <si>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</si>
  <si>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</si>
  <si>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</si>
  <si>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</si>
  <si>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</si>
  <si>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</si>
  <si>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</si>
  <si>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</si>
  <si>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</si>
  <si>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</si>
  <si>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</si>
  <si>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</si>
  <si>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</si>
  <si>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</si>
  <si>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</si>
  <si>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</si>
  <si>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</si>
  <si>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</si>
  <si>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</si>
  <si>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</si>
  <si>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</si>
  <si>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</si>
  <si>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</si>
  <si>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</si>
  <si>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</si>
  <si>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</si>
  <si>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</si>
  <si>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</si>
  <si>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</si>
  <si>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</si>
  <si>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</si>
  <si>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</si>
  <si>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</si>
  <si>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</si>
  <si>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</si>
  <si>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</si>
  <si>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</si>
  <si>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</si>
  <si>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</si>
  <si>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</si>
  <si>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</si>
  <si>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</si>
  <si>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</si>
  <si>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</si>
  <si>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</si>
  <si>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</si>
  <si>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</si>
  <si>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</si>
  <si>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</si>
  <si>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</si>
  <si>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</si>
  <si>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</si>
  <si>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</si>
  <si>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</si>
  <si>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</si>
  <si>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</si>
  <si>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</si>
  <si>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</si>
  <si>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</si>
  <si>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</si>
  <si>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</si>
  <si>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</si>
  <si>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</si>
  <si>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</si>
  <si>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</si>
  <si>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</si>
  <si>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</si>
  <si>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</si>
  <si>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</si>
  <si>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</si>
  <si>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</si>
  <si>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</si>
  <si>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</si>
  <si>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</si>
  <si>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</si>
  <si>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</si>
  <si>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</si>
  <si>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</si>
  <si>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</si>
  <si>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</si>
  <si>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</si>
  <si>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</si>
  <si>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</si>
  <si>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</si>
  <si>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</si>
  <si>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</si>
  <si>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</si>
  <si>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</si>
  <si>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</si>
  <si>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</si>
  <si>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</si>
  <si>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</si>
  <si>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</si>
  <si>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</si>
  <si>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</si>
  <si>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</si>
  <si>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</si>
  <si>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</si>
  <si>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</si>
  <si>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</si>
  <si>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</si>
  <si>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</si>
  <si>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</si>
  <si>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</si>
  <si>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</si>
  <si>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</si>
  <si>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</si>
  <si>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</si>
  <si>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</si>
  <si>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</si>
  <si>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</si>
  <si>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</si>
  <si>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</si>
  <si>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</si>
  <si>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</si>
  <si>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</si>
  <si>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</si>
  <si>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</si>
  <si>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</si>
  <si>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</si>
  <si>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</si>
  <si>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</si>
  <si>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</si>
  <si>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</si>
  <si>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</si>
  <si>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</si>
  <si>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</si>
  <si>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</si>
  <si>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</si>
  <si>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</si>
  <si>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</si>
  <si>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</si>
  <si>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</si>
  <si>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</si>
  <si>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</si>
  <si>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</si>
  <si>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</si>
  <si>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</si>
  <si>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</si>
  <si>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</si>
  <si>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</si>
  <si>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</si>
  <si>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</si>
  <si>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</si>
  <si>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</si>
  <si>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</si>
  <si>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</si>
  <si>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</si>
  <si>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</si>
  <si>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</si>
  <si>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</si>
  <si>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</si>
  <si>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</si>
  <si>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</si>
  <si>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</si>
  <si>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</si>
  <si>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</si>
  <si>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</si>
  <si>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</si>
  <si>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</si>
  <si>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</si>
  <si>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</si>
  <si>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</si>
  <si>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</si>
  <si>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</si>
  <si>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</si>
  <si>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</si>
  <si>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</si>
  <si>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</si>
  <si>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</si>
  <si>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</si>
  <si>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</si>
  <si>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</si>
  <si>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</si>
  <si>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</si>
  <si>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</si>
  <si>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</si>
  <si>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</si>
  <si>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</si>
  <si>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</si>
  <si>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</si>
  <si>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</si>
  <si>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</si>
  <si>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</si>
  <si>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</si>
  <si>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</si>
  <si>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</si>
  <si>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</si>
  <si>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</si>
  <si>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</si>
  <si>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</si>
  <si>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</si>
  <si>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</si>
  <si>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</si>
  <si>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</si>
  <si>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</si>
  <si>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</si>
  <si>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</si>
  <si>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</si>
  <si>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</si>
  <si>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</si>
  <si>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</si>
  <si>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</si>
  <si>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</si>
  <si>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</si>
  <si>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</si>
  <si>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</si>
  <si>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</si>
  <si>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</si>
  <si>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</si>
  <si>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</si>
  <si>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</si>
  <si>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</si>
  <si>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</si>
  <si>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</si>
  <si>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</si>
  <si>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</si>
  <si>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</si>
  <si>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</si>
  <si>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</si>
  <si>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</si>
  <si>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</si>
  <si>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</si>
  <si>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</si>
  <si>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</si>
  <si>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</si>
  <si>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</si>
  <si>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</si>
  <si>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</si>
  <si>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</si>
  <si>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</si>
  <si>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</si>
  <si>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</si>
  <si>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</si>
  <si>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</si>
  <si>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</si>
  <si>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</si>
  <si>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</si>
  <si>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</si>
  <si>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</si>
  <si>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</si>
  <si>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</si>
  <si>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</si>
  <si>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</si>
  <si>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</si>
  <si>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</si>
  <si>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</si>
  <si>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</si>
  <si>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</si>
  <si>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</si>
  <si>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</si>
  <si>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</si>
  <si>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</si>
  <si>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</si>
  <si>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</si>
  <si>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</si>
  <si>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</si>
  <si>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</si>
  <si>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</si>
  <si>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</si>
  <si>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</si>
  <si>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</si>
  <si>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</si>
  <si>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</si>
  <si>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</si>
  <si>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</si>
  <si>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</si>
  <si>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</si>
  <si>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</si>
  <si>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</si>
  <si>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</si>
  <si>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</si>
  <si>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</si>
  <si>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</si>
  <si>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</si>
  <si>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</si>
  <si>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</si>
  <si>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</si>
  <si>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</si>
  <si>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</si>
  <si>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</si>
  <si>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</si>
  <si>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</si>
  <si>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</si>
  <si>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</si>
  <si>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</si>
  <si>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</si>
  <si>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</si>
  <si>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</si>
  <si>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</si>
  <si>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</si>
  <si>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</si>
  <si>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</si>
  <si>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</si>
  <si>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</si>
  <si>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</si>
  <si>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</si>
  <si>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</si>
  <si>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</si>
  <si>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</si>
  <si>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</si>
  <si>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</si>
  <si>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</si>
  <si>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</si>
  <si>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</si>
  <si>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</si>
  <si>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</si>
  <si>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</si>
  <si>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</si>
  <si>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</si>
  <si>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</si>
  <si>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</si>
  <si>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</si>
  <si>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</si>
  <si>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</si>
  <si>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</si>
  <si>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</si>
  <si>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</si>
  <si>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</si>
  <si>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</si>
  <si>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</si>
  <si>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</si>
  <si>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</si>
  <si>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</si>
  <si>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</si>
  <si>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</si>
  <si>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</si>
  <si>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</si>
  <si>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</si>
  <si>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</si>
  <si>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</si>
  <si>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</si>
  <si>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</si>
  <si>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</si>
  <si>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</si>
  <si>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</si>
  <si>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</si>
  <si>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</si>
  <si>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</si>
  <si>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</si>
  <si>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</si>
  <si>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</si>
  <si>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</si>
  <si>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</si>
  <si>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</si>
  <si>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</si>
  <si>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</si>
  <si>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</si>
  <si>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</si>
  <si>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</si>
  <si>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</si>
  <si>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</si>
  <si>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</si>
  <si>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</si>
  <si>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</si>
  <si>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</si>
  <si>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</si>
  <si>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</si>
  <si>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</si>
  <si>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</si>
  <si>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</si>
  <si>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</si>
  <si>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</si>
  <si>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</si>
  <si>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</si>
  <si>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</si>
  <si>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</si>
  <si>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</si>
  <si>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</si>
  <si>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</si>
  <si>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</si>
  <si>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</si>
  <si>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</si>
  <si>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</si>
  <si>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</si>
  <si>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</si>
  <si>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</si>
  <si>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</si>
  <si>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</si>
  <si>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</si>
  <si>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</si>
  <si>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</si>
  <si>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</si>
  <si>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</si>
  <si>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</si>
  <si>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</si>
  <si>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</si>
  <si>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</si>
  <si>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</si>
  <si>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</si>
  <si>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</si>
  <si>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</si>
  <si>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</si>
  <si>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</si>
  <si>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</si>
  <si>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</si>
  <si>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</si>
  <si>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</si>
  <si>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</si>
  <si>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</si>
  <si>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</si>
  <si>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</si>
  <si>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</si>
  <si>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</si>
  <si>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</si>
  <si>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</si>
  <si>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</si>
  <si>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</si>
  <si>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</si>
  <si>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</si>
  <si>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</si>
  <si>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</si>
  <si>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</si>
  <si>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</si>
  <si>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</si>
  <si>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</si>
  <si>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</si>
  <si>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</si>
  <si>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</si>
  <si>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</si>
  <si>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</si>
  <si>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</si>
  <si>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</si>
  <si>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</si>
  <si>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</si>
  <si>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</si>
  <si>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</si>
  <si>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</si>
  <si>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</si>
  <si>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</si>
  <si>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</si>
  <si>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</si>
  <si>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</si>
  <si>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</si>
  <si>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</si>
  <si>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</si>
  <si>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</si>
  <si>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</si>
  <si>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</si>
  <si>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</si>
  <si>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</si>
  <si>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</si>
  <si>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</si>
  <si>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</si>
  <si>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</si>
  <si>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</si>
  <si>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</si>
  <si>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</si>
  <si>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</si>
  <si>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</si>
  <si>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</si>
  <si>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</si>
  <si>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</si>
  <si>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</si>
  <si>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</si>
  <si>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</si>
  <si>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</si>
  <si>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</si>
  <si>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</si>
  <si>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</si>
  <si>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</si>
  <si>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</si>
  <si>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</si>
  <si>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</si>
  <si>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</si>
  <si>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</si>
  <si>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</si>
  <si>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</si>
  <si>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</si>
  <si>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</si>
  <si>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</si>
  <si>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</si>
  <si>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</si>
  <si>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</si>
  <si>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</si>
  <si>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</si>
  <si>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</si>
  <si>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</si>
  <si>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</si>
  <si>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</si>
  <si>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</si>
  <si>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</si>
  <si>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</si>
  <si>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</si>
  <si>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</si>
  <si>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</si>
  <si>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</si>
  <si>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</si>
  <si>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</si>
  <si>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</si>
  <si>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</si>
  <si>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</si>
  <si>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</si>
  <si>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</si>
  <si>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</si>
  <si>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</si>
  <si>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</si>
  <si>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</si>
  <si>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</si>
  <si>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</si>
  <si>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</si>
  <si>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</si>
  <si>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</si>
  <si>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</si>
  <si>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</si>
  <si>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</si>
  <si>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</si>
  <si>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</si>
  <si>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</si>
  <si>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</si>
  <si>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</si>
  <si>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</si>
  <si>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</si>
  <si>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</si>
  <si>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</si>
  <si>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</si>
  <si>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</si>
  <si>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</si>
  <si>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</si>
  <si>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</si>
  <si>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</si>
  <si>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</si>
  <si>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</si>
  <si>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</si>
  <si>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</si>
  <si>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</si>
  <si>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</si>
  <si>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</si>
  <si>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</si>
  <si>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</si>
  <si>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</si>
  <si>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</si>
  <si>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</si>
  <si>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</si>
  <si>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</si>
  <si>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</si>
  <si>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</si>
  <si>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</si>
  <si>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</si>
  <si>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</si>
  <si>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</si>
  <si>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</si>
  <si>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</si>
  <si>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</si>
  <si>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</si>
  <si>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</si>
  <si>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</si>
  <si>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</si>
  <si>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</si>
  <si>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</si>
  <si>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</si>
  <si>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</si>
  <si>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</si>
  <si>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</si>
  <si>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</si>
  <si>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</si>
  <si>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</si>
  <si>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</si>
  <si>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</si>
  <si>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</si>
  <si>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</si>
  <si>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</si>
  <si>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</si>
  <si>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</si>
  <si>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</si>
  <si>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</si>
  <si>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</si>
  <si>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</si>
  <si>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</si>
  <si>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</si>
  <si>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</si>
  <si>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</si>
  <si>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</si>
  <si>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</si>
  <si>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</si>
  <si>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</si>
  <si>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</si>
  <si>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</si>
  <si>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</si>
  <si>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</si>
  <si>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</si>
  <si>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</si>
  <si>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</si>
  <si>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</si>
  <si>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</si>
  <si>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</si>
  <si>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</si>
  <si>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</si>
  <si>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</si>
  <si>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</si>
  <si>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</si>
  <si>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</si>
  <si>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</si>
  <si>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</si>
  <si>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</si>
  <si>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</si>
  <si>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</si>
  <si>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</si>
  <si>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</si>
  <si>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</si>
  <si>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</si>
  <si>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</si>
  <si>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</si>
  <si>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</si>
  <si>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</si>
  <si>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</si>
  <si>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</si>
  <si>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</si>
  <si>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</si>
  <si>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</si>
  <si>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</si>
  <si>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</si>
  <si>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</si>
  <si>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</si>
  <si>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</si>
  <si>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</si>
  <si>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</si>
  <si>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</si>
  <si>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</si>
  <si>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</si>
  <si>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</si>
  <si>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</si>
  <si>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</si>
  <si>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</si>
  <si>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</si>
  <si>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</si>
  <si>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</si>
  <si>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</si>
  <si>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</si>
  <si>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</si>
  <si>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</si>
  <si>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</si>
  <si>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</si>
  <si>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</si>
  <si>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</si>
  <si>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</si>
  <si>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</si>
  <si>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</si>
  <si>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</si>
  <si>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</si>
  <si>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</si>
  <si>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</si>
  <si>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</si>
  <si>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</si>
  <si>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</si>
  <si>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</si>
  <si>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</si>
  <si>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</si>
  <si>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</si>
  <si>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</si>
  <si>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</si>
  <si>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</si>
  <si>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</si>
  <si>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</si>
  <si>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</si>
  <si>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</si>
  <si>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</si>
  <si>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</si>
  <si>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</si>
  <si>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</si>
  <si>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</si>
  <si>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</si>
  <si>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</si>
  <si>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</si>
  <si>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</si>
  <si>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</si>
  <si>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</si>
  <si>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</si>
  <si>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</si>
  <si>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</si>
  <si>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</si>
  <si>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</si>
  <si>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</si>
  <si>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</si>
  <si>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</si>
  <si>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</si>
  <si>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</si>
  <si>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</si>
  <si>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</si>
  <si>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</si>
  <si>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</si>
  <si>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</si>
  <si>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</si>
  <si>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</si>
  <si>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</si>
  <si>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</si>
  <si>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</si>
  <si>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</si>
  <si>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</si>
  <si>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</si>
  <si>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</si>
  <si>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</si>
  <si>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</si>
  <si>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</si>
  <si>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</si>
  <si>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</si>
  <si>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</si>
  <si>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</si>
  <si>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</si>
  <si>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</si>
  <si>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</si>
  <si>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</si>
  <si>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</si>
  <si>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</si>
  <si>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</si>
  <si>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</si>
  <si>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</si>
  <si>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</si>
  <si>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</si>
  <si>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</si>
  <si>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</si>
  <si>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</si>
  <si>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</si>
  <si>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</si>
  <si>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</si>
  <si>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</si>
  <si>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</si>
  <si>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</si>
  <si>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</si>
  <si>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</si>
  <si>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</si>
  <si>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</si>
  <si>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</si>
  <si>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</si>
  <si>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</si>
  <si>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</si>
  <si>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</si>
  <si>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</si>
  <si>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</si>
  <si>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</si>
  <si>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</si>
  <si>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</si>
  <si>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</si>
  <si>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</si>
  <si>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</si>
  <si>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</si>
  <si>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</si>
  <si>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</si>
  <si>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</si>
  <si>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</si>
  <si>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</si>
  <si>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</si>
  <si>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</si>
  <si>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</si>
  <si>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</si>
  <si>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</si>
  <si>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</si>
  <si>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</si>
  <si>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</si>
  <si>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</si>
  <si>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</si>
  <si>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</si>
  <si>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</si>
  <si>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</si>
  <si>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</si>
  <si>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</si>
  <si>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</si>
  <si>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</si>
  <si>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</si>
  <si>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</si>
  <si>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</si>
  <si>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</si>
  <si>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</si>
  <si>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</si>
  <si>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</si>
  <si>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</si>
  <si>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</si>
  <si>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</si>
  <si>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</si>
  <si>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</si>
  <si>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</si>
  <si>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</si>
  <si>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</si>
  <si>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</si>
  <si>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</si>
  <si>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</si>
  <si>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</si>
  <si>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</si>
  <si>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</si>
  <si>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</si>
  <si>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</si>
  <si>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</si>
  <si>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</si>
  <si>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</si>
  <si>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</si>
  <si>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</si>
  <si>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</si>
  <si>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</si>
  <si>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</si>
  <si>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</si>
  <si>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</si>
  <si>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</si>
  <si>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</si>
  <si>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</si>
  <si>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</si>
  <si>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</si>
  <si>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</si>
  <si>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</si>
  <si>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</si>
  <si>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</si>
  <si>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</si>
  <si>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</si>
  <si>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</si>
  <si>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</si>
  <si>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</si>
  <si>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</si>
  <si>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</si>
  <si>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</si>
  <si>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</si>
  <si>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</si>
  <si>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</si>
  <si>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</si>
  <si>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</si>
  <si>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</si>
  <si>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</si>
  <si>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</si>
  <si>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</si>
  <si>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</si>
  <si>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</si>
  <si>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</si>
  <si>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</si>
  <si>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</si>
  <si>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</si>
  <si>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</si>
  <si>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</si>
  <si>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</si>
  <si>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</si>
  <si>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</si>
  <si>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</si>
  <si>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</si>
  <si>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</si>
  <si>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</si>
  <si>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</si>
  <si>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</si>
  <si>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</si>
  <si>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</si>
  <si>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</si>
  <si>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</si>
  <si>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</si>
  <si>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</si>
  <si>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</si>
  <si>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</si>
  <si>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</si>
  <si>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</si>
  <si>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</si>
  <si>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</si>
  <si>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</si>
  <si>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</si>
  <si>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</si>
  <si>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</si>
  <si>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</si>
  <si>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</si>
  <si>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</si>
  <si>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</si>
  <si>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</si>
  <si>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</si>
  <si>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</si>
  <si>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</si>
  <si>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</si>
  <si>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</si>
  <si>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</si>
  <si>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</si>
  <si>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</si>
  <si>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</si>
  <si>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</si>
  <si>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</si>
  <si>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</si>
  <si>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</si>
  <si>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</si>
  <si>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</si>
  <si>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</si>
  <si>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</si>
  <si>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</si>
  <si>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</si>
  <si>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</si>
  <si>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</si>
  <si>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</si>
  <si>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</si>
  <si>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</si>
  <si>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</si>
  <si>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</si>
  <si>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</si>
  <si>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</si>
  <si>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</si>
  <si>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</si>
  <si>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</si>
  <si>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</si>
  <si>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</si>
  <si>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</si>
  <si>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</si>
  <si>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</si>
  <si>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</si>
  <si>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</si>
  <si>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</si>
  <si>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</si>
  <si>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</si>
  <si>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</si>
  <si>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</si>
  <si>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</si>
  <si>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</si>
  <si>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</si>
  <si>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</si>
  <si>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</si>
  <si>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</si>
  <si>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</si>
  <si>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</si>
  <si>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</si>
  <si>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</si>
  <si>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</si>
  <si>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</si>
  <si>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</si>
  <si>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</si>
  <si>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</si>
  <si>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</si>
  <si>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</si>
  <si>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</si>
  <si>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</si>
  <si>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</si>
  <si>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</si>
  <si>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</si>
  <si>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</si>
  <si>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</si>
  <si>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</si>
  <si>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</si>
  <si>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</si>
  <si>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</si>
  <si>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</si>
  <si>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</si>
  <si>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</si>
  <si>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</si>
  <si>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</si>
  <si>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</si>
  <si>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</si>
  <si>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</si>
  <si>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</si>
  <si>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</si>
  <si>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</si>
  <si>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</si>
  <si>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</si>
  <si>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</si>
  <si>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</si>
  <si>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</si>
  <si>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</si>
  <si>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</si>
  <si>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</si>
  <si>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</si>
  <si>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</si>
  <si>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</si>
  <si>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</si>
  <si>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</si>
  <si>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</si>
  <si>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</si>
  <si>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</si>
  <si>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</si>
  <si>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</si>
  <si>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</si>
  <si>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</si>
  <si>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</si>
  <si>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</si>
  <si>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</si>
  <si>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</si>
  <si>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</si>
  <si>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</si>
  <si>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</si>
  <si>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</si>
  <si>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</si>
  <si>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</si>
  <si>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</si>
  <si>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</si>
  <si>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</si>
  <si>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</si>
  <si>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</si>
  <si>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</si>
  <si>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</si>
  <si>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</si>
  <si>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</si>
  <si>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</si>
  <si>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</si>
  <si>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</si>
  <si>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</si>
  <si>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</si>
  <si>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</si>
  <si>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</si>
  <si>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</si>
  <si>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</si>
  <si>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</si>
  <si>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</si>
  <si>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</si>
  <si>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</si>
  <si>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</si>
  <si>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</si>
  <si>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</si>
  <si>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</si>
  <si>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</si>
  <si>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</si>
  <si>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</si>
  <si>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</si>
  <si>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</si>
  <si>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</si>
  <si>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</si>
  <si>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</si>
  <si>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</si>
  <si>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</si>
  <si>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</si>
  <si>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</si>
  <si>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</si>
  <si>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</si>
  <si>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</si>
  <si>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</si>
  <si>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</si>
  <si>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</si>
  <si>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</si>
  <si>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</si>
  <si>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</si>
  <si>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</si>
  <si>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</si>
  <si>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</si>
  <si>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</si>
  <si>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</si>
  <si>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</si>
  <si>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</si>
  <si>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</si>
  <si>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</si>
  <si>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</si>
  <si>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</si>
  <si>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</si>
  <si>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</si>
  <si>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</si>
  <si>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</si>
  <si>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</si>
  <si>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</si>
  <si>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</si>
  <si>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</si>
  <si>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</si>
  <si>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</si>
  <si>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</si>
  <si>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</si>
  <si>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</si>
  <si>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</si>
  <si>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</si>
  <si>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</si>
  <si>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</si>
  <si>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</si>
  <si>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</si>
  <si>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</si>
  <si>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</si>
  <si>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</si>
  <si>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</si>
  <si>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</si>
  <si>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</si>
  <si>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</si>
  <si>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</si>
  <si>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</si>
  <si>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</si>
  <si>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</si>
  <si>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</si>
  <si>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</si>
  <si>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</si>
  <si>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</si>
  <si>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</si>
  <si>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</si>
  <si>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</si>
  <si>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</si>
  <si>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</si>
  <si>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</si>
  <si>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</si>
  <si>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</si>
  <si>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</si>
  <si>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</si>
  <si>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</si>
  <si>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</si>
  <si>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</si>
  <si>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</si>
  <si>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</si>
  <si>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</si>
  <si>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</si>
  <si>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</si>
  <si>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</si>
  <si>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</si>
  <si>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</si>
  <si>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</si>
  <si>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</si>
  <si>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</si>
  <si>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</si>
  <si>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</si>
  <si>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</si>
  <si>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</si>
  <si>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</si>
  <si>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</si>
  <si>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</si>
  <si>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</si>
  <si>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</si>
  <si>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</si>
  <si>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</si>
  <si>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</si>
  <si>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</si>
  <si>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</si>
  <si>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Speedy</t>
  </si>
  <si>
    <t>Burst</t>
  </si>
  <si>
    <t>Click</t>
  </si>
  <si>
    <t>Sniper</t>
  </si>
  <si>
    <t>Luix</t>
  </si>
  <si>
    <t>Blitz</t>
  </si>
  <si>
    <t>Athos</t>
  </si>
  <si>
    <t>Aramis</t>
  </si>
  <si>
    <t>D'Artagnan</t>
  </si>
  <si>
    <t>Gork</t>
  </si>
  <si>
    <t>Mork</t>
  </si>
  <si>
    <t>ZPAKKA TUTT' I COZ</t>
  </si>
  <si>
    <t>Kakkole Armate - Francesco R.</t>
  </si>
  <si>
    <t>Porthos</t>
  </si>
  <si>
    <t>La Boutique dei Maestri Macellai - Enrichez</t>
  </si>
  <si>
    <t>Weather: Blizzard</t>
  </si>
  <si>
    <t>Tackle</t>
  </si>
  <si>
    <t>Scelto</t>
  </si>
  <si>
    <t>Strokk</t>
  </si>
  <si>
    <t>Divoratori di Stadi - Red</t>
  </si>
  <si>
    <t>Midnight Stalkers - Paride</t>
  </si>
  <si>
    <t>Teddy</t>
  </si>
  <si>
    <t>Livid Leftovers - Teowulf</t>
  </si>
  <si>
    <t>Bully</t>
  </si>
  <si>
    <t>Wrestle</t>
  </si>
  <si>
    <t>Casuale</t>
  </si>
  <si>
    <t>Dauntless</t>
  </si>
  <si>
    <t>Brawler</t>
  </si>
  <si>
    <t>Crisis Averted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</si>
</sst>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7">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
      <sz val="10"/>
      <color theme="1"/>
      <name val="Tahoma"/>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0">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56" fillId="0" borderId="17" xfId="0" applyFont="1" applyBorder="1" applyAlignment="1">
      <alignment horizontal="center" vertical="center" shrinkToFit="1"/>
    </xf>
    <xf numFmtId="0" fontId="10" fillId="0" borderId="17" xfId="0" applyFont="1" applyFill="1" applyBorder="1" applyAlignment="1">
      <alignment horizontal="center" vertical="center" shrinkToFi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0" borderId="2" xfId="0" applyFont="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2" fillId="5" borderId="26" xfId="0" applyFont="1" applyFill="1" applyBorder="1" applyAlignment="1">
      <alignment horizontal="center" vertical="center" wrapText="1"/>
    </xf>
    <xf numFmtId="0" fontId="2" fillId="0" borderId="80" xfId="0" applyFont="1" applyBorder="1"/>
    <xf numFmtId="0" fontId="30" fillId="2" borderId="26" xfId="0" applyFont="1" applyFill="1" applyBorder="1" applyAlignment="1">
      <alignment horizontal="left" vertical="center" wrapText="1"/>
    </xf>
    <xf numFmtId="0" fontId="30" fillId="0" borderId="0" xfId="0" applyFont="1" applyAlignment="1">
      <alignment horizontal="center" vertical="center" wrapText="1"/>
    </xf>
    <xf numFmtId="0" fontId="36"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30" fillId="2" borderId="87" xfId="0" applyFont="1" applyFill="1" applyBorder="1" applyAlignment="1">
      <alignment horizontal="left" vertical="center" shrinkToFit="1"/>
    </xf>
    <xf numFmtId="0" fontId="29"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29" fillId="3" borderId="53" xfId="0" applyFont="1" applyFill="1" applyBorder="1" applyAlignment="1">
      <alignment horizontal="center" vertical="center"/>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1" fillId="3" borderId="49" xfId="0" applyFont="1" applyFill="1" applyBorder="1" applyAlignment="1">
      <alignment horizontal="center" vertical="center"/>
    </xf>
    <xf numFmtId="0" fontId="33" fillId="3" borderId="49"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41" fillId="2" borderId="7" xfId="0" applyFont="1" applyFill="1" applyBorder="1" applyAlignment="1">
      <alignment horizontal="left"/>
    </xf>
    <xf numFmtId="0" fontId="28"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3"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39" fillId="9" borderId="1" xfId="0" applyFont="1" applyFill="1" applyBorder="1" applyAlignment="1">
      <alignment horizontal="center" vertical="center"/>
    </xf>
    <xf numFmtId="0" fontId="0" fillId="0" borderId="0" xfId="0" applyFont="1" applyAlignment="1">
      <alignment horizontal="center"/>
    </xf>
    <xf numFmtId="0" fontId="28" fillId="9" borderId="1" xfId="0" applyFont="1" applyFill="1" applyBorder="1" applyAlignment="1">
      <alignment horizontal="center" vertical="center"/>
    </xf>
    <xf numFmtId="0" fontId="37" fillId="8" borderId="7" xfId="0" applyFont="1" applyFill="1" applyBorder="1" applyAlignment="1">
      <alignment horizontal="center" vertical="center" shrinkToFit="1"/>
    </xf>
    <xf numFmtId="0" fontId="0" fillId="8"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52">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topLeftCell="A16"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8"/>
      <c r="B1" s="251" t="str">
        <f>IF(Roster!$J$25="Italiano","Blood Bowl 2020 Roster Lega",(IF(Roster!$J$25="Español","Blood Bowl 2020 Roster League",(IF(Roster!$J$25="Deutsch","Blood Bowl 2020 Roster Liga",(IF(Roster!$J$25="Français","Blood Bowl 2020 Roster Ligue","Blood Bowl 2020 Roster League")))))))</f>
        <v>Blood Bowl 2020 Roster Lega</v>
      </c>
      <c r="C1" s="245"/>
      <c r="D1" s="246"/>
      <c r="E1" s="248"/>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9"/>
      <c r="B2" s="252" t="str">
        <f>Roster!A33</f>
        <v>v4.3 - Creato da dreamscreator</v>
      </c>
      <c r="C2" s="253"/>
      <c r="D2" s="254"/>
      <c r="E2" s="249"/>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9"/>
      <c r="B3" s="255" t="str">
        <f>Roster!A34</f>
        <v>Tradotto da Leonida https://bloodbowlhelp.wordpress.com</v>
      </c>
      <c r="C3" s="253"/>
      <c r="D3" s="254"/>
      <c r="E3" s="249"/>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9"/>
      <c r="B4" s="256"/>
      <c r="C4" s="253"/>
      <c r="D4" s="254"/>
      <c r="E4" s="249"/>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9"/>
      <c r="B5" s="256" t="str">
        <f>IF(Roster!$J$25="Italiano",M5,(IF(Roster!$J$25="Español",J5,(IF(Roster!$J$25="Deutsch",K5,(IF(Roster!$J$25="Français",L5,I5)))))))</f>
        <v>Compatibile con Excel, Google Sheets (basta caricare Excel su Google Drive) e Libre Office</v>
      </c>
      <c r="C5" s="253"/>
      <c r="D5" s="254"/>
      <c r="E5" s="249"/>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9"/>
      <c r="B6" s="256"/>
      <c r="C6" s="253"/>
      <c r="D6" s="254"/>
      <c r="E6" s="249"/>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9"/>
      <c r="B7" s="256" t="str">
        <f>IF(Roster!$J$25="Italiano",M7,(IF(Roster!$J$25="Español",J7,(IF(Roster!$J$25="Deutsch",K7,(IF(Roster!$J$25="Français",L7,I7)))))))</f>
        <v>Se volete aiutarmi a continuare con i roster in excel, potete donare al seguente link, grazie mille!</v>
      </c>
      <c r="C7" s="253"/>
      <c r="D7" s="254"/>
      <c r="E7" s="249"/>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9"/>
      <c r="B8" s="257" t="s">
        <v>10</v>
      </c>
      <c r="C8" s="253"/>
      <c r="D8" s="254"/>
      <c r="E8" s="249"/>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9"/>
      <c r="B9" s="241"/>
      <c r="C9" s="242"/>
      <c r="D9" s="243"/>
      <c r="E9" s="249"/>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9"/>
      <c r="B10" s="244" t="str">
        <f>IF(Roster!$J$25="Italiano","Comment utiliser cet Excel",(IF(Roster!J25="Español","Cómo usar este Excel",(IF(Roster!J25="Deutsch","Wie Sie dieses Excel verwenden",(IF(Roster!J25="Français","Comment utiliser cet Excel","How to use this Excel")))))))</f>
        <v>Comment utiliser cet Excel</v>
      </c>
      <c r="C10" s="245"/>
      <c r="D10" s="246"/>
      <c r="E10" s="249"/>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9"/>
      <c r="B11" s="247" t="str">
        <f>IF(Roster!$J$25="Italiano",M11,(IF(Roster!$J$25="Español",J11,(IF(Roster!$J$25="Deutsch",K11,(IF(Roster!$J$25="Français",L11,I11)))))))</f>
        <v>PER STAMPARE: Selezionare le celle che vuoi stampare e nelle opzioni di Stampa scegliere l’opzione “stampa le celle selezionate”.</v>
      </c>
      <c r="C11" s="245"/>
      <c r="D11" s="246"/>
      <c r="E11" s="249"/>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9"/>
      <c r="B12" s="247" t="str">
        <f>IF(Roster!$J$25="Italiano",M12,(IF(Roster!$J$25="Español",J12,(IF(Roster!$J$25="Deutsch",K12,(IF(Roster!$J$25="Français",L12,I12)))))))</f>
        <v>L’abilità Low Cost Lineman degli snotiling è attivata di default.</v>
      </c>
      <c r="C12" s="245"/>
      <c r="D12" s="246"/>
      <c r="E12" s="249"/>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9"/>
      <c r="B13" s="247"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5"/>
      <c r="D13" s="246"/>
      <c r="E13" s="249"/>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9"/>
      <c r="B14" s="247"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5"/>
      <c r="D14" s="246"/>
      <c r="E14" s="249"/>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9"/>
      <c r="B15" s="247"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5"/>
      <c r="D15" s="246"/>
      <c r="E15" s="249"/>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9"/>
      <c r="B16" s="247"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5"/>
      <c r="D16" s="246"/>
      <c r="E16" s="249"/>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9"/>
      <c r="B17" s="247"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5"/>
      <c r="D17" s="246"/>
      <c r="E17" s="249"/>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50"/>
      <c r="B18" s="1"/>
      <c r="C18" s="1"/>
      <c r="D18" s="1"/>
      <c r="E18" s="250"/>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 ref="B17:D17"/>
    <mergeCell ref="A1:A18"/>
    <mergeCell ref="B1:D1"/>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O16" sqref="O16:Y16"/>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77" t="str">
        <f>IF($J$25="Italiano","TIPO",(IF($J$25="Español","TIPO",(IF($J$25="Deutsch","POSITION",(IF($J$25="Français","POSTE","TYPE")))))))</f>
        <v>TIPO</v>
      </c>
      <c r="D1" s="245"/>
      <c r="E1" s="245"/>
      <c r="F1" s="246"/>
      <c r="G1" s="276" t="str">
        <f>IF($J$25="Italiano","QTA",(IF($J$25="Español","CANT",(IF($J$25="Deutsch","An- zahl",(IF($J$25="Français","QTT","QTY")))))))</f>
        <v>QTA</v>
      </c>
      <c r="H1" s="245"/>
      <c r="I1" s="246"/>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77" t="str">
        <f>IF($J$25="Italiano","ABILITÀ",(IF($J$25="Español","HABILIDADES",(IF($J$25="Deutsch","FERTIGKEITEN",(IF($J$25="Français","COMPÉTENCES","SKILLS")))))))</f>
        <v>ABILITÀ</v>
      </c>
      <c r="P1" s="245"/>
      <c r="Q1" s="245"/>
      <c r="R1" s="245"/>
      <c r="S1" s="245"/>
      <c r="T1" s="245"/>
      <c r="U1" s="245"/>
      <c r="V1" s="245"/>
      <c r="W1" s="245"/>
      <c r="X1" s="245"/>
      <c r="Y1" s="246"/>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276" t="str">
        <f>IF($J$25="Italiano","SPP Totali",(IF($J$25="Español","SPP Totales",(IF($J$25="Deutsch","Gesamte SPP",(IF($J$25="Français","Total PSP","Total SPP")))))))</f>
        <v>SPP Totali</v>
      </c>
      <c r="AK1" s="246"/>
      <c r="AL1" s="276" t="str">
        <f>IF($J$25="Italiano","SPP Non Spesi",(IF($J$25="Español","SPP Sin gastar",(IF($J$25="Deutsch","Verfügb. SPP",(IF($J$25="Français","PSP restant","Unspent SPP")))))))</f>
        <v>SPP Non Spesi</v>
      </c>
      <c r="AM1" s="246"/>
      <c r="AN1" s="277" t="str">
        <f>IF($J$25="Italiano","COSTO",(IF($J$25="Español","PRECIO",(IF($J$25="Deutsch","WERT",(IF($J$25="Français","VALEUR","COST")))))))</f>
        <v>COSTO</v>
      </c>
      <c r="AO1" s="246"/>
      <c r="AP1" s="295"/>
      <c r="AQ1" s="11" t="s">
        <v>54</v>
      </c>
      <c r="AR1" s="12" t="s">
        <v>55</v>
      </c>
      <c r="AS1" s="12"/>
      <c r="AT1" s="12"/>
      <c r="AU1" s="12"/>
      <c r="AV1" s="12"/>
      <c r="AW1" s="12"/>
      <c r="AX1" s="296" t="s">
        <v>56</v>
      </c>
      <c r="AY1" s="286"/>
      <c r="AZ1" s="286"/>
      <c r="BA1" s="286"/>
      <c r="BB1" s="286"/>
      <c r="BC1" s="286"/>
      <c r="BD1" s="286"/>
      <c r="BE1" s="286"/>
      <c r="BF1" s="287"/>
      <c r="BG1" s="12"/>
      <c r="BH1" s="12"/>
      <c r="BI1" s="12"/>
      <c r="BJ1" s="12"/>
      <c r="BK1" s="12"/>
      <c r="BL1" s="12"/>
      <c r="BM1" s="12"/>
      <c r="BN1" s="12"/>
      <c r="BO1" s="12" t="str">
        <f t="array" ref="BO1">INDEX(BY3:BY31,(SUM(BY2:CB2)))</f>
        <v>Orc</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239" t="s">
        <v>1338</v>
      </c>
      <c r="C2" s="261" t="s">
        <v>409</v>
      </c>
      <c r="D2" s="245"/>
      <c r="E2" s="245"/>
      <c r="F2" s="245"/>
      <c r="G2" s="15">
        <f>IF(C2="",0,(COUNTIF(C2:F17,C2)))</f>
        <v>1</v>
      </c>
      <c r="H2" s="16" t="s">
        <v>57</v>
      </c>
      <c r="I2" s="17">
        <f>IFERROR((VLOOKUP($BO$1&amp;C2,Teams!D:M,10,0)),0)</f>
        <v>2</v>
      </c>
      <c r="J2" s="18">
        <f t="shared" ref="J2:K2" si="0">IFERROR(K61,0)</f>
        <v>5</v>
      </c>
      <c r="K2" s="18">
        <f t="shared" si="0"/>
        <v>3</v>
      </c>
      <c r="L2" s="18" t="str">
        <f t="shared" ref="L2:N2" si="1">IFERROR(M61&amp;"+",0)</f>
        <v>3+</v>
      </c>
      <c r="M2" s="18" t="str">
        <f t="shared" si="1"/>
        <v>3+</v>
      </c>
      <c r="N2" s="18" t="str">
        <f t="shared" si="1"/>
        <v>9+</v>
      </c>
      <c r="O2" s="275" t="str">
        <f>IFERROR((IF(AV2="YES",(VLOOKUP($BO$1&amp;C2,Teams!D:M,7,0)&amp;BF2),AW2)),"")</f>
        <v>Animosity (alle Mitspieler), Pass, Sure Hands</v>
      </c>
      <c r="P2" s="245"/>
      <c r="Q2" s="245"/>
      <c r="R2" s="245"/>
      <c r="S2" s="245"/>
      <c r="T2" s="245"/>
      <c r="U2" s="245"/>
      <c r="V2" s="245"/>
      <c r="W2" s="245"/>
      <c r="X2" s="245"/>
      <c r="Y2" s="246"/>
      <c r="Z2" s="19"/>
      <c r="AA2" s="19"/>
      <c r="AB2" s="20"/>
      <c r="AC2" s="20"/>
      <c r="AD2" s="20"/>
      <c r="AE2" s="21"/>
      <c r="AF2" s="21"/>
      <c r="AG2" s="21"/>
      <c r="AH2" s="21"/>
      <c r="AI2" s="22"/>
      <c r="AJ2" s="273">
        <f t="shared" ref="AJ2:AJ17" si="2">AA2+AB2+(AC2*3)+AD2+(AE2*2)+(AF2*2)+(AG2*2)+(AH2*2)+(AI2*4)</f>
        <v>0</v>
      </c>
      <c r="AK2" s="246"/>
      <c r="AL2" s="273">
        <f t="shared" ref="AL2:AL17" si="3">AJ2-AI37</f>
        <v>0</v>
      </c>
      <c r="AM2" s="246"/>
      <c r="AN2" s="273">
        <f>IFERROR((VLOOKUP($BO$1&amp;C2,Teams!D:M,8,0)+AG37),0)</f>
        <v>65000</v>
      </c>
      <c r="AO2" s="246"/>
      <c r="AP2" s="249"/>
      <c r="AQ2" s="11">
        <f>IFERROR((IF(Z2&lt;&gt;"",0,((VLOOKUP($BO$1&amp;C2,Teams!D:M,9,0)+(AG37/1000))))),0)</f>
        <v>65</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Orc1</v>
      </c>
      <c r="BJ2" s="2" t="str">
        <f>IFERROR(IF((VLOOKUP(BI2,Teams!B:C,2,FALSE))=0,"",(VLOOKUP(BI2,Teams!B:C,2,FALSE))),"")</f>
        <v/>
      </c>
      <c r="BK2" s="12"/>
      <c r="BL2" s="2"/>
      <c r="BM2" s="25"/>
      <c r="BN2" s="25" t="s">
        <v>58</v>
      </c>
      <c r="BO2" s="12" t="str">
        <f t="array" ref="BO2">INDEX(BN3:BN31,(SUM(BY2:CB2)))</f>
        <v>Orc</v>
      </c>
      <c r="BP2" s="25" t="s">
        <v>59</v>
      </c>
      <c r="BQ2" s="25" t="s">
        <v>60</v>
      </c>
      <c r="BR2" s="25" t="s">
        <v>61</v>
      </c>
      <c r="BS2" s="26" t="s">
        <v>62</v>
      </c>
      <c r="BT2" s="26" t="s">
        <v>63</v>
      </c>
      <c r="BU2" s="13" t="str">
        <f>VLOOKUP(BO1,BL:BT,9,FALSE)</f>
        <v>BadlandsBrawl</v>
      </c>
      <c r="BV2" s="13">
        <f>VLOOKUP(BO1,BL1:BU38,10,FALSE)</f>
        <v>0</v>
      </c>
      <c r="BW2" s="13">
        <f>VLOOKUP(BO1,BL1:BV38,11,FALSE)</f>
        <v>0</v>
      </c>
      <c r="BX2" s="12"/>
      <c r="BY2" s="26">
        <f t="shared" ref="BY2:CB2" si="18">IFERROR(MATCH($J$23,BY3:BY31,0),0)</f>
        <v>21</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240" t="s">
        <v>1335</v>
      </c>
      <c r="C3" s="261" t="s">
        <v>419</v>
      </c>
      <c r="D3" s="245"/>
      <c r="E3" s="245"/>
      <c r="F3" s="245"/>
      <c r="G3" s="15">
        <f>IF(C3="",0,(COUNTIF(C2:F17,C3)))</f>
        <v>4</v>
      </c>
      <c r="H3" s="16" t="s">
        <v>57</v>
      </c>
      <c r="I3" s="17">
        <f>IFERROR((VLOOKUP($BO$1&amp;C3,Teams!D:M,10,0)),0)</f>
        <v>4</v>
      </c>
      <c r="J3" s="18">
        <f t="shared" ref="J3:K3" si="19">IFERROR(K62,0)</f>
        <v>6</v>
      </c>
      <c r="K3" s="18">
        <f t="shared" si="19"/>
        <v>3</v>
      </c>
      <c r="L3" s="18" t="str">
        <f t="shared" ref="L3:N3" si="20">IFERROR(M62&amp;"+",0)</f>
        <v>3+</v>
      </c>
      <c r="M3" s="18" t="str">
        <f t="shared" si="20"/>
        <v>4+</v>
      </c>
      <c r="N3" s="18" t="str">
        <f t="shared" si="20"/>
        <v>10+</v>
      </c>
      <c r="O3" s="275" t="str">
        <f>IFERROR((IF(AV3="YES",(VLOOKUP($BO$1&amp;C3,Teams!D:M,7,0)&amp;BF3),AW3)),"")</f>
        <v>Animosity (alle Mitspieler), Block, Tackle, Dauntless, Brawler</v>
      </c>
      <c r="P3" s="245"/>
      <c r="Q3" s="245"/>
      <c r="R3" s="245"/>
      <c r="S3" s="245"/>
      <c r="T3" s="245"/>
      <c r="U3" s="245"/>
      <c r="V3" s="245"/>
      <c r="W3" s="245"/>
      <c r="X3" s="245"/>
      <c r="Y3" s="246"/>
      <c r="Z3" s="19"/>
      <c r="AA3" s="19"/>
      <c r="AB3" s="20"/>
      <c r="AC3" s="20">
        <v>2</v>
      </c>
      <c r="AD3" s="20"/>
      <c r="AE3" s="21"/>
      <c r="AF3" s="21">
        <v>1</v>
      </c>
      <c r="AG3" s="21">
        <v>2</v>
      </c>
      <c r="AH3" s="21"/>
      <c r="AI3" s="21">
        <v>1</v>
      </c>
      <c r="AJ3" s="273">
        <f t="shared" si="2"/>
        <v>16</v>
      </c>
      <c r="AK3" s="246"/>
      <c r="AL3" s="273">
        <f t="shared" si="3"/>
        <v>0</v>
      </c>
      <c r="AM3" s="246"/>
      <c r="AN3" s="273">
        <f>IFERROR((VLOOKUP($BO$1&amp;C3,Teams!D:M,8,0)+AG38),0)</f>
        <v>120000</v>
      </c>
      <c r="AO3" s="246"/>
      <c r="AP3" s="249"/>
      <c r="AQ3" s="11">
        <f>IFERROR((IF(Z3&lt;&gt;"",0,((VLOOKUP($BO$1&amp;C3,Teams!D:M,9,0)+(AG38/1000))))),0)</f>
        <v>120</v>
      </c>
      <c r="AR3" s="12">
        <f>IFERROR((VLOOKUP($BO$1&amp;C3,Teams!D:N,11,0)),0)</f>
        <v>0</v>
      </c>
      <c r="AS3" s="12" t="str">
        <f t="shared" si="4"/>
        <v/>
      </c>
      <c r="AT3" s="12" t="str">
        <f t="shared" si="5"/>
        <v/>
      </c>
      <c r="AU3" s="12" t="str">
        <f t="shared" si="6"/>
        <v/>
      </c>
      <c r="AV3" s="12" t="str">
        <f t="shared" si="7"/>
        <v>YES</v>
      </c>
      <c r="AW3" s="12" t="str">
        <f t="shared" si="8"/>
        <v/>
      </c>
      <c r="AX3" s="23" t="str">
        <f t="shared" si="9"/>
        <v>, Tackle</v>
      </c>
      <c r="AY3" s="23" t="str">
        <f t="shared" si="10"/>
        <v>, Dauntless</v>
      </c>
      <c r="AZ3" s="23" t="str">
        <f t="shared" si="11"/>
        <v>, Brawler</v>
      </c>
      <c r="BA3" s="23" t="str">
        <f t="shared" si="12"/>
        <v/>
      </c>
      <c r="BB3" s="23" t="str">
        <f t="shared" si="13"/>
        <v/>
      </c>
      <c r="BC3" s="23" t="str">
        <f t="shared" si="14"/>
        <v/>
      </c>
      <c r="BD3" s="23" t="str">
        <f t="shared" si="15"/>
        <v/>
      </c>
      <c r="BE3" s="23" t="str">
        <f t="shared" si="16"/>
        <v/>
      </c>
      <c r="BF3" s="24" t="str">
        <f t="shared" si="17"/>
        <v>, Tackle, Dauntless, Brawler</v>
      </c>
      <c r="BG3" s="2" t="str">
        <f>IFERROR((IF((VLOOKUP($BO$1&amp;C3,Teams!D:M,7,0))="","",", ")),"")</f>
        <v xml:space="preserve">, </v>
      </c>
      <c r="BH3" s="2"/>
      <c r="BI3" s="12" t="str">
        <f>$BO$1&amp;2</f>
        <v>Orc2</v>
      </c>
      <c r="BJ3" s="2" t="str">
        <f>IFERROR(IF((VLOOKUP(BI3,Teams!B:C,2,FALSE))=0,"",(VLOOKUP(BI3,Teams!B:C,2,FALSE))),"")</f>
        <v>Lineman</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240" t="s">
        <v>1336</v>
      </c>
      <c r="C4" s="261" t="s">
        <v>419</v>
      </c>
      <c r="D4" s="245"/>
      <c r="E4" s="245"/>
      <c r="F4" s="245"/>
      <c r="G4" s="15">
        <f>IF(C4="",0,(COUNTIF(C2:F17,C4)))</f>
        <v>4</v>
      </c>
      <c r="H4" s="16" t="s">
        <v>57</v>
      </c>
      <c r="I4" s="17">
        <f>IFERROR((VLOOKUP($BO$1&amp;C4,Teams!D:M,10,0)),0)</f>
        <v>4</v>
      </c>
      <c r="J4" s="18">
        <f t="shared" ref="J4:K4" si="22">IFERROR(K63,0)</f>
        <v>6</v>
      </c>
      <c r="K4" s="18">
        <f t="shared" si="22"/>
        <v>3</v>
      </c>
      <c r="L4" s="18" t="str">
        <f t="shared" ref="L4:N4" si="23">IFERROR(M63&amp;"+",0)</f>
        <v>3+</v>
      </c>
      <c r="M4" s="18" t="str">
        <f t="shared" si="23"/>
        <v>4+</v>
      </c>
      <c r="N4" s="18" t="str">
        <f t="shared" si="23"/>
        <v>10+</v>
      </c>
      <c r="O4" s="275" t="str">
        <f>IFERROR((IF(AV4="YES",(VLOOKUP($BO$1&amp;C4,Teams!D:M,7,0)&amp;BF4),AW4)),"")</f>
        <v>Animosity (alle Mitspieler), Block, Tackle</v>
      </c>
      <c r="P4" s="245"/>
      <c r="Q4" s="245"/>
      <c r="R4" s="245"/>
      <c r="S4" s="245"/>
      <c r="T4" s="245"/>
      <c r="U4" s="245"/>
      <c r="V4" s="245"/>
      <c r="W4" s="245"/>
      <c r="X4" s="245"/>
      <c r="Y4" s="246"/>
      <c r="Z4" s="19"/>
      <c r="AA4" s="19"/>
      <c r="AB4" s="20"/>
      <c r="AC4" s="20">
        <v>2</v>
      </c>
      <c r="AD4" s="20"/>
      <c r="AE4" s="21"/>
      <c r="AF4" s="21"/>
      <c r="AG4" s="21">
        <v>2</v>
      </c>
      <c r="AH4" s="21"/>
      <c r="AI4" s="22"/>
      <c r="AJ4" s="273">
        <f t="shared" si="2"/>
        <v>10</v>
      </c>
      <c r="AK4" s="246"/>
      <c r="AL4" s="273">
        <f t="shared" si="3"/>
        <v>4</v>
      </c>
      <c r="AM4" s="246"/>
      <c r="AN4" s="273">
        <f>IFERROR((VLOOKUP($BO$1&amp;C4,Teams!D:M,8,0)+AG39),0)</f>
        <v>100000</v>
      </c>
      <c r="AO4" s="246"/>
      <c r="AP4" s="249"/>
      <c r="AQ4" s="11">
        <f>IFERROR((IF(Z4&lt;&gt;"",0,((VLOOKUP($BO$1&amp;C4,Teams!D:M,9,0)+(AG39/1000))))),0)</f>
        <v>100</v>
      </c>
      <c r="AR4" s="12">
        <f>IFERROR((VLOOKUP($BO$1&amp;C4,Teams!D:N,11,0)),0)</f>
        <v>0</v>
      </c>
      <c r="AS4" s="12" t="str">
        <f t="shared" si="4"/>
        <v/>
      </c>
      <c r="AT4" s="12" t="str">
        <f t="shared" si="5"/>
        <v/>
      </c>
      <c r="AU4" s="12" t="str">
        <f t="shared" si="6"/>
        <v/>
      </c>
      <c r="AV4" s="12" t="str">
        <f t="shared" si="7"/>
        <v>YES</v>
      </c>
      <c r="AW4" s="12" t="str">
        <f t="shared" si="8"/>
        <v/>
      </c>
      <c r="AX4" s="23" t="str">
        <f t="shared" si="9"/>
        <v>, Tackle</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Tackle</v>
      </c>
      <c r="BG4" s="2" t="str">
        <f>IFERROR((IF((VLOOKUP($BO$1&amp;C4,Teams!D:M,7,0))="","",", ")),"")</f>
        <v xml:space="preserve">, </v>
      </c>
      <c r="BH4" s="2"/>
      <c r="BI4" s="12" t="str">
        <f>$BO$1&amp;3</f>
        <v>Orc3</v>
      </c>
      <c r="BJ4" s="2" t="str">
        <f>IFERROR(IF((VLOOKUP(BI4,Teams!B:C,2,FALSE))=0,"",(VLOOKUP(BI4,Teams!B:C,2,FALSE))),"")</f>
        <v xml:space="preserve">Goblin </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240" t="s">
        <v>1337</v>
      </c>
      <c r="C5" s="261" t="s">
        <v>419</v>
      </c>
      <c r="D5" s="245"/>
      <c r="E5" s="245"/>
      <c r="F5" s="245"/>
      <c r="G5" s="15">
        <f>IF(C5="",0,(COUNTIF(C2:F17,C5)))</f>
        <v>4</v>
      </c>
      <c r="H5" s="16" t="s">
        <v>57</v>
      </c>
      <c r="I5" s="17">
        <f>IFERROR((VLOOKUP($BO$1&amp;C5,Teams!D:M,10,0)),0)</f>
        <v>4</v>
      </c>
      <c r="J5" s="18">
        <f t="shared" ref="J5:K5" si="24">IFERROR(K64,0)</f>
        <v>6</v>
      </c>
      <c r="K5" s="18">
        <f t="shared" si="24"/>
        <v>3</v>
      </c>
      <c r="L5" s="18" t="str">
        <f t="shared" ref="L5:N5" si="25">IFERROR(M64&amp;"+",0)</f>
        <v>3+</v>
      </c>
      <c r="M5" s="18" t="str">
        <f t="shared" si="25"/>
        <v>4+</v>
      </c>
      <c r="N5" s="18" t="str">
        <f t="shared" si="25"/>
        <v>10+</v>
      </c>
      <c r="O5" s="275" t="str">
        <f>IFERROR((IF(AV5="YES",(VLOOKUP($BO$1&amp;C5,Teams!D:M,7,0)&amp;BF5),AW5)),"")</f>
        <v>Animosity (alle Mitspieler), Block</v>
      </c>
      <c r="P5" s="245"/>
      <c r="Q5" s="245"/>
      <c r="R5" s="245"/>
      <c r="S5" s="245"/>
      <c r="T5" s="245"/>
      <c r="U5" s="245"/>
      <c r="V5" s="245"/>
      <c r="W5" s="245"/>
      <c r="X5" s="245"/>
      <c r="Y5" s="246"/>
      <c r="Z5" s="19"/>
      <c r="AA5" s="19"/>
      <c r="AB5" s="20"/>
      <c r="AC5" s="20"/>
      <c r="AD5" s="20"/>
      <c r="AE5" s="21"/>
      <c r="AF5" s="21"/>
      <c r="AG5" s="21"/>
      <c r="AH5" s="21"/>
      <c r="AI5" s="21"/>
      <c r="AJ5" s="273">
        <f t="shared" si="2"/>
        <v>0</v>
      </c>
      <c r="AK5" s="246"/>
      <c r="AL5" s="273">
        <f t="shared" si="3"/>
        <v>0</v>
      </c>
      <c r="AM5" s="246"/>
      <c r="AN5" s="273">
        <f>IFERROR((VLOOKUP($BO$1&amp;C5,Teams!D:M,8,0)+AG40),0)</f>
        <v>80000</v>
      </c>
      <c r="AO5" s="246"/>
      <c r="AP5" s="249"/>
      <c r="AQ5" s="11">
        <f>IFERROR((IF(Z5&lt;&gt;"",0,((VLOOKUP($BO$1&amp;C5,Teams!D:M,9,0)+(AG40/1000))))),0)</f>
        <v>80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Orc4</v>
      </c>
      <c r="BJ5" s="2" t="str">
        <f>IFERROR(IF((VLOOKUP(BI5,Teams!B:C,2,FALSE))=0,"",(VLOOKUP(BI5,Teams!B:C,2,FALSE))),"")</f>
        <v>Thrower</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240" t="s">
        <v>1340</v>
      </c>
      <c r="C6" s="261" t="s">
        <v>419</v>
      </c>
      <c r="D6" s="245"/>
      <c r="E6" s="245"/>
      <c r="F6" s="245"/>
      <c r="G6" s="15">
        <f>IF(C6="",0,(COUNTIF(C2:F17,C6)))</f>
        <v>4</v>
      </c>
      <c r="H6" s="16" t="s">
        <v>57</v>
      </c>
      <c r="I6" s="17">
        <f>IFERROR((VLOOKUP($BO$1&amp;C6,Teams!D:M,10,0)),0)</f>
        <v>4</v>
      </c>
      <c r="J6" s="18">
        <f t="shared" ref="J6:K6" si="26">IFERROR(K65,0)</f>
        <v>6</v>
      </c>
      <c r="K6" s="18">
        <f t="shared" si="26"/>
        <v>3</v>
      </c>
      <c r="L6" s="18" t="str">
        <f t="shared" ref="L6:N6" si="27">IFERROR(M65&amp;"+",0)</f>
        <v>3+</v>
      </c>
      <c r="M6" s="18" t="str">
        <f t="shared" si="27"/>
        <v>4+</v>
      </c>
      <c r="N6" s="18" t="str">
        <f t="shared" si="27"/>
        <v>10+</v>
      </c>
      <c r="O6" s="275" t="str">
        <f>IFERROR((IF(AV6="YES",(VLOOKUP($BO$1&amp;C6,Teams!D:M,7,0)&amp;BF6),AW6)),"")</f>
        <v>Animosity (alle Mitspieler), Block, Tackle</v>
      </c>
      <c r="P6" s="245"/>
      <c r="Q6" s="245"/>
      <c r="R6" s="245"/>
      <c r="S6" s="245"/>
      <c r="T6" s="245"/>
      <c r="U6" s="245"/>
      <c r="V6" s="245"/>
      <c r="W6" s="245"/>
      <c r="X6" s="245"/>
      <c r="Y6" s="246"/>
      <c r="Z6" s="19"/>
      <c r="AA6" s="19"/>
      <c r="AB6" s="20"/>
      <c r="AC6" s="20"/>
      <c r="AD6" s="20"/>
      <c r="AE6" s="21"/>
      <c r="AF6" s="21">
        <v>1</v>
      </c>
      <c r="AG6" s="21">
        <v>1</v>
      </c>
      <c r="AH6" s="21"/>
      <c r="AI6" s="21">
        <v>1</v>
      </c>
      <c r="AJ6" s="273">
        <f t="shared" si="2"/>
        <v>8</v>
      </c>
      <c r="AK6" s="246"/>
      <c r="AL6" s="273">
        <f t="shared" si="3"/>
        <v>2</v>
      </c>
      <c r="AM6" s="246"/>
      <c r="AN6" s="273">
        <f>IFERROR((VLOOKUP($BO$1&amp;C6,Teams!D:M,8,0)+AG41),0)</f>
        <v>100000</v>
      </c>
      <c r="AO6" s="246"/>
      <c r="AP6" s="249"/>
      <c r="AQ6" s="11">
        <f>IFERROR((IF(Z6&lt;&gt;"",0,((VLOOKUP($BO$1&amp;C6,Teams!D:M,9,0)+(AG41/1000))))),0)</f>
        <v>100</v>
      </c>
      <c r="AR6" s="12">
        <f>IFERROR((VLOOKUP($BO$1&amp;C6,Teams!D:N,11,0)),0)</f>
        <v>0</v>
      </c>
      <c r="AS6" s="12" t="str">
        <f t="shared" si="4"/>
        <v/>
      </c>
      <c r="AT6" s="12" t="str">
        <f t="shared" si="5"/>
        <v/>
      </c>
      <c r="AU6" s="12" t="str">
        <f t="shared" si="6"/>
        <v/>
      </c>
      <c r="AV6" s="12" t="str">
        <f t="shared" si="7"/>
        <v>YES</v>
      </c>
      <c r="AW6" s="12" t="str">
        <f t="shared" si="8"/>
        <v/>
      </c>
      <c r="AX6" s="23" t="str">
        <f t="shared" si="9"/>
        <v>, Tackle</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Tackle</v>
      </c>
      <c r="BG6" s="2" t="str">
        <f>IFERROR((IF((VLOOKUP($BO$1&amp;C6,Teams!D:M,7,0))="","",", ")),"")</f>
        <v xml:space="preserve">, </v>
      </c>
      <c r="BH6" s="2"/>
      <c r="BI6" s="12" t="str">
        <f>$BO$1&amp;5</f>
        <v>Orc5</v>
      </c>
      <c r="BJ6" s="2" t="str">
        <f>IFERROR(IF((VLOOKUP(BI6,Teams!B:C,2,FALSE))=0,"",(VLOOKUP(BI6,Teams!B:C,2,FALSE))),"")</f>
        <v>Big Un</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1353</v>
      </c>
      <c r="C7" s="261" t="s">
        <v>852</v>
      </c>
      <c r="D7" s="245"/>
      <c r="E7" s="245"/>
      <c r="F7" s="245"/>
      <c r="G7" s="15">
        <f>IF(C7="",0,(COUNTIF(C2:F17,C7)))</f>
        <v>4</v>
      </c>
      <c r="H7" s="16" t="s">
        <v>57</v>
      </c>
      <c r="I7" s="17">
        <f>IFERROR((VLOOKUP($BO$1&amp;C7,Teams!D:M,10,0)),0)</f>
        <v>4</v>
      </c>
      <c r="J7" s="18">
        <f t="shared" ref="J7:K7" si="28">IFERROR(K66,0)</f>
        <v>5</v>
      </c>
      <c r="K7" s="18">
        <f t="shared" si="28"/>
        <v>4</v>
      </c>
      <c r="L7" s="18" t="str">
        <f t="shared" ref="L7:N7" si="29">IFERROR(M66&amp;"+",0)</f>
        <v>4+</v>
      </c>
      <c r="M7" s="18" t="str">
        <f t="shared" si="29"/>
        <v>0+</v>
      </c>
      <c r="N7" s="18" t="str">
        <f t="shared" si="29"/>
        <v>10+</v>
      </c>
      <c r="O7" s="275" t="str">
        <f>IFERROR((IF(AV7="YES",(VLOOKUP($BO$1&amp;C7,Teams!D:M,7,0)&amp;BF7),AW7)),"")</f>
        <v>Animosity (Big Un Blockers)</v>
      </c>
      <c r="P7" s="245"/>
      <c r="Q7" s="245"/>
      <c r="R7" s="245"/>
      <c r="S7" s="245"/>
      <c r="T7" s="245"/>
      <c r="U7" s="245"/>
      <c r="V7" s="245"/>
      <c r="W7" s="245"/>
      <c r="X7" s="245"/>
      <c r="Y7" s="246"/>
      <c r="Z7" s="19"/>
      <c r="AA7" s="19"/>
      <c r="AB7" s="20"/>
      <c r="AC7" s="20"/>
      <c r="AD7" s="20"/>
      <c r="AE7" s="21"/>
      <c r="AF7" s="21">
        <v>1</v>
      </c>
      <c r="AG7" s="21"/>
      <c r="AH7" s="21"/>
      <c r="AI7" s="21">
        <v>1</v>
      </c>
      <c r="AJ7" s="273">
        <f t="shared" si="2"/>
        <v>6</v>
      </c>
      <c r="AK7" s="246"/>
      <c r="AL7" s="273">
        <f t="shared" si="3"/>
        <v>6</v>
      </c>
      <c r="AM7" s="246"/>
      <c r="AN7" s="273">
        <f>IFERROR((VLOOKUP($BO$1&amp;C7,Teams!D:M,8,0)+AG42),0)</f>
        <v>90000</v>
      </c>
      <c r="AO7" s="246"/>
      <c r="AP7" s="249"/>
      <c r="AQ7" s="11">
        <f>IFERROR((IF(Z7&lt;&gt;"",0,((VLOOKUP($BO$1&amp;C7,Teams!D:M,9,0)+(AG42/1000))))),0)</f>
        <v>90</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xml:space="preserve">, </v>
      </c>
      <c r="BH7" s="2"/>
      <c r="BI7" s="12" t="str">
        <f>$BO$1&amp;6</f>
        <v>Orc6</v>
      </c>
      <c r="BJ7" s="2" t="str">
        <f>IFERROR(IF((VLOOKUP(BI7,Teams!B:C,2,FALSE))=0,"",(VLOOKUP(BI7,Teams!B:C,2,FALSE))),"")</f>
        <v>Blitzer</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1356</v>
      </c>
      <c r="C8" s="261" t="s">
        <v>852</v>
      </c>
      <c r="D8" s="245"/>
      <c r="E8" s="245"/>
      <c r="F8" s="245"/>
      <c r="G8" s="15">
        <f>IF(C8="",0,(COUNTIF(C2:F17,C8)))</f>
        <v>4</v>
      </c>
      <c r="H8" s="16" t="s">
        <v>57</v>
      </c>
      <c r="I8" s="17">
        <f>IFERROR((VLOOKUP($BO$1&amp;C8,Teams!D:M,10,0)),0)</f>
        <v>4</v>
      </c>
      <c r="J8" s="18">
        <f t="shared" ref="J8:K8" si="30">IFERROR(K67,0)</f>
        <v>5</v>
      </c>
      <c r="K8" s="18">
        <f t="shared" si="30"/>
        <v>4</v>
      </c>
      <c r="L8" s="18" t="str">
        <f t="shared" ref="L8:N8" si="31">IFERROR(M67&amp;"+",0)</f>
        <v>4+</v>
      </c>
      <c r="M8" s="18" t="str">
        <f t="shared" si="31"/>
        <v>0+</v>
      </c>
      <c r="N8" s="18" t="str">
        <f t="shared" si="31"/>
        <v>10+</v>
      </c>
      <c r="O8" s="275" t="str">
        <f>IFERROR((IF(AV8="YES",(VLOOKUP($BO$1&amp;C8,Teams!D:M,7,0)&amp;BF8),AW8)),"")</f>
        <v>Animosity (Big Un Blockers) - 1 NI</v>
      </c>
      <c r="P8" s="245"/>
      <c r="Q8" s="245"/>
      <c r="R8" s="245"/>
      <c r="S8" s="245"/>
      <c r="T8" s="245"/>
      <c r="U8" s="245"/>
      <c r="V8" s="245"/>
      <c r="W8" s="245"/>
      <c r="X8" s="245"/>
      <c r="Y8" s="246"/>
      <c r="Z8" s="19"/>
      <c r="AA8" s="19"/>
      <c r="AB8" s="20"/>
      <c r="AC8" s="20"/>
      <c r="AD8" s="20"/>
      <c r="AE8" s="21"/>
      <c r="AF8" s="21"/>
      <c r="AG8" s="21"/>
      <c r="AH8" s="21"/>
      <c r="AI8" s="21"/>
      <c r="AJ8" s="273">
        <f t="shared" si="2"/>
        <v>0</v>
      </c>
      <c r="AK8" s="246"/>
      <c r="AL8" s="273">
        <f t="shared" si="3"/>
        <v>0</v>
      </c>
      <c r="AM8" s="246"/>
      <c r="AN8" s="273">
        <f>IFERROR((VLOOKUP($BO$1&amp;C8,Teams!D:M,8,0)+AG43),0)</f>
        <v>90000</v>
      </c>
      <c r="AO8" s="246"/>
      <c r="AP8" s="249"/>
      <c r="AQ8" s="11">
        <f>IFERROR((IF(Z8&lt;&gt;"",0,((VLOOKUP($BO$1&amp;C8,Teams!D:M,9,0)+(AG43/1000))))),0)</f>
        <v>90</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xml:space="preserve"> - 1 NI</v>
      </c>
      <c r="BF8" s="24" t="str">
        <f t="shared" si="17"/>
        <v xml:space="preserve"> - 1 NI</v>
      </c>
      <c r="BG8" s="2" t="str">
        <f>IFERROR((IF((VLOOKUP($BO$1&amp;C8,Teams!D:M,7,0))="","",", ")),"")</f>
        <v xml:space="preserve">, </v>
      </c>
      <c r="BH8" s="2"/>
      <c r="BI8" s="12" t="str">
        <f>$BO$1&amp;7</f>
        <v>Orc7</v>
      </c>
      <c r="BJ8" s="2" t="str">
        <f>IFERROR(IF((VLOOKUP(BI8,Teams!B:C,2,FALSE))=0,"",(VLOOKUP(BI8,Teams!B:C,2,FALSE))),"")</f>
        <v>Untrained Troll</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239" t="s">
        <v>1342</v>
      </c>
      <c r="C9" s="258" t="s">
        <v>852</v>
      </c>
      <c r="D9" s="245"/>
      <c r="E9" s="245"/>
      <c r="F9" s="245"/>
      <c r="G9" s="15">
        <f>IF(C9="",0,(COUNTIF(C2:F17,C9)))</f>
        <v>4</v>
      </c>
      <c r="H9" s="16" t="s">
        <v>57</v>
      </c>
      <c r="I9" s="17">
        <f>IFERROR((VLOOKUP($BO$1&amp;C9,Teams!D:M,10,0)),0)</f>
        <v>4</v>
      </c>
      <c r="J9" s="18">
        <f t="shared" ref="J9:K9" si="32">IFERROR(K68,0)</f>
        <v>5</v>
      </c>
      <c r="K9" s="18">
        <f t="shared" si="32"/>
        <v>4</v>
      </c>
      <c r="L9" s="18" t="str">
        <f t="shared" ref="L9:N9" si="33">IFERROR(M68&amp;"+",0)</f>
        <v>4+</v>
      </c>
      <c r="M9" s="18" t="str">
        <f t="shared" si="33"/>
        <v>0+</v>
      </c>
      <c r="N9" s="18" t="str">
        <f t="shared" si="33"/>
        <v>10+</v>
      </c>
      <c r="O9" s="275" t="str">
        <f>IFERROR((IF(AV9="YES",(VLOOKUP($BO$1&amp;C9,Teams!D:M,7,0)&amp;BF9),AW9)),"")</f>
        <v>Animosity (Big Un Blockers), Block, Wrestle</v>
      </c>
      <c r="P9" s="245"/>
      <c r="Q9" s="245"/>
      <c r="R9" s="245"/>
      <c r="S9" s="245"/>
      <c r="T9" s="245"/>
      <c r="U9" s="245"/>
      <c r="V9" s="245"/>
      <c r="W9" s="245"/>
      <c r="X9" s="245"/>
      <c r="Y9" s="246"/>
      <c r="Z9" s="19"/>
      <c r="AA9" s="19"/>
      <c r="AB9" s="20"/>
      <c r="AC9" s="20"/>
      <c r="AD9" s="20"/>
      <c r="AE9" s="21"/>
      <c r="AF9" s="21">
        <v>2</v>
      </c>
      <c r="AG9" s="21">
        <v>1</v>
      </c>
      <c r="AH9" s="21"/>
      <c r="AI9" s="21">
        <v>1</v>
      </c>
      <c r="AJ9" s="273">
        <f t="shared" si="2"/>
        <v>10</v>
      </c>
      <c r="AK9" s="246"/>
      <c r="AL9" s="273">
        <f t="shared" si="3"/>
        <v>0</v>
      </c>
      <c r="AM9" s="246"/>
      <c r="AN9" s="273">
        <f>IFERROR((VLOOKUP($BO$1&amp;C9,Teams!D:M,8,0)+AG44),0)</f>
        <v>120000</v>
      </c>
      <c r="AO9" s="246"/>
      <c r="AP9" s="249"/>
      <c r="AQ9" s="11">
        <f>IFERROR((IF(Z9&lt;&gt;"",0,((VLOOKUP($BO$1&amp;C9,Teams!D:M,9,0)+(AG44/1000))))),0)</f>
        <v>120</v>
      </c>
      <c r="AR9" s="12">
        <f>IFERROR((VLOOKUP($BO$1&amp;C9,Teams!D:N,11,0)),0)</f>
        <v>0</v>
      </c>
      <c r="AS9" s="12" t="str">
        <f t="shared" si="4"/>
        <v/>
      </c>
      <c r="AT9" s="12" t="str">
        <f t="shared" si="5"/>
        <v/>
      </c>
      <c r="AU9" s="12" t="str">
        <f t="shared" si="6"/>
        <v/>
      </c>
      <c r="AV9" s="12" t="str">
        <f t="shared" si="7"/>
        <v>YES</v>
      </c>
      <c r="AW9" s="12" t="str">
        <f t="shared" si="8"/>
        <v/>
      </c>
      <c r="AX9" s="23" t="str">
        <f t="shared" si="9"/>
        <v>, Block</v>
      </c>
      <c r="AY9" s="23" t="str">
        <f t="shared" si="10"/>
        <v>, Wrestle</v>
      </c>
      <c r="AZ9" s="23" t="str">
        <f t="shared" si="11"/>
        <v/>
      </c>
      <c r="BA9" s="23" t="str">
        <f t="shared" si="12"/>
        <v/>
      </c>
      <c r="BB9" s="23" t="str">
        <f t="shared" si="13"/>
        <v/>
      </c>
      <c r="BC9" s="23" t="str">
        <f t="shared" si="14"/>
        <v/>
      </c>
      <c r="BD9" s="23" t="str">
        <f t="shared" si="15"/>
        <v/>
      </c>
      <c r="BE9" s="23" t="str">
        <f t="shared" si="16"/>
        <v/>
      </c>
      <c r="BF9" s="24" t="str">
        <f t="shared" si="17"/>
        <v>, Block, Wrestle</v>
      </c>
      <c r="BG9" s="2" t="str">
        <f>IFERROR((IF((VLOOKUP($BO$1&amp;C9,Teams!D:M,7,0))="","",", ")),"")</f>
        <v xml:space="preserve">, </v>
      </c>
      <c r="BH9" s="2"/>
      <c r="BI9" s="12" t="str">
        <f>$BO$1&amp;8</f>
        <v>Orc8</v>
      </c>
      <c r="BJ9" s="2" t="str">
        <f>IFERROR(IF((VLOOKUP(BI9,Teams!B:C,2,FALSE))=0,"",(VLOOKUP(BI9,Teams!B:C,2,FALSE))),"")</f>
        <v>Journey Orc</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1343</v>
      </c>
      <c r="C10" s="261" t="s">
        <v>852</v>
      </c>
      <c r="D10" s="245"/>
      <c r="E10" s="245"/>
      <c r="F10" s="245"/>
      <c r="G10" s="15">
        <f>IF(C10="",0,(COUNTIF(C2:F17,C10)))</f>
        <v>4</v>
      </c>
      <c r="H10" s="16" t="s">
        <v>57</v>
      </c>
      <c r="I10" s="17">
        <f>IFERROR((VLOOKUP($BO$1&amp;C10,Teams!D:M,10,0)),0)</f>
        <v>4</v>
      </c>
      <c r="J10" s="18">
        <f t="shared" ref="J10:K10" si="34">IFERROR(K69,0)</f>
        <v>5</v>
      </c>
      <c r="K10" s="18">
        <f t="shared" si="34"/>
        <v>4</v>
      </c>
      <c r="L10" s="18" t="str">
        <f t="shared" ref="L10:N10" si="35">IFERROR(M69&amp;"+",0)</f>
        <v>4+</v>
      </c>
      <c r="M10" s="18" t="str">
        <f t="shared" si="35"/>
        <v>0+</v>
      </c>
      <c r="N10" s="18" t="str">
        <f t="shared" si="35"/>
        <v>10+</v>
      </c>
      <c r="O10" s="275" t="str">
        <f>IFERROR((IF(AV10="YES",(VLOOKUP($BO$1&amp;C10,Teams!D:M,7,0)&amp;BF10),AW10)),"")</f>
        <v>Animosity (Big Un Blockers), Block</v>
      </c>
      <c r="P10" s="245"/>
      <c r="Q10" s="245"/>
      <c r="R10" s="245"/>
      <c r="S10" s="245"/>
      <c r="T10" s="245"/>
      <c r="U10" s="245"/>
      <c r="V10" s="245"/>
      <c r="W10" s="245"/>
      <c r="X10" s="245"/>
      <c r="Y10" s="246"/>
      <c r="Z10" s="19"/>
      <c r="AA10" s="19"/>
      <c r="AB10" s="20"/>
      <c r="AC10" s="20"/>
      <c r="AD10" s="20"/>
      <c r="AE10" s="21"/>
      <c r="AF10" s="21"/>
      <c r="AG10" s="21">
        <v>1</v>
      </c>
      <c r="AH10" s="21"/>
      <c r="AI10" s="21">
        <v>1</v>
      </c>
      <c r="AJ10" s="273">
        <f t="shared" si="2"/>
        <v>6</v>
      </c>
      <c r="AK10" s="246"/>
      <c r="AL10" s="273">
        <f t="shared" si="3"/>
        <v>0</v>
      </c>
      <c r="AM10" s="246"/>
      <c r="AN10" s="273">
        <f>IFERROR((VLOOKUP($BO$1&amp;C10,Teams!D:M,8,0)+AG45),0)</f>
        <v>110000</v>
      </c>
      <c r="AO10" s="246"/>
      <c r="AP10" s="249"/>
      <c r="AQ10" s="11">
        <f>IFERROR((IF(Z10&lt;&gt;"",0,((VLOOKUP($BO$1&amp;C10,Teams!D:M,9,0)+(AG45/1000))))),0)</f>
        <v>110</v>
      </c>
      <c r="AR10" s="12">
        <f>IFERROR((VLOOKUP($BO$1&amp;C10,Teams!D:N,11,0)),0)</f>
        <v>0</v>
      </c>
      <c r="AS10" s="12" t="str">
        <f t="shared" si="4"/>
        <v/>
      </c>
      <c r="AT10" s="12" t="str">
        <f t="shared" si="5"/>
        <v/>
      </c>
      <c r="AU10" s="12" t="str">
        <f t="shared" si="6"/>
        <v/>
      </c>
      <c r="AV10" s="12" t="str">
        <f t="shared" si="7"/>
        <v>YES</v>
      </c>
      <c r="AW10" s="12" t="str">
        <f t="shared" si="8"/>
        <v/>
      </c>
      <c r="AX10" s="23" t="str">
        <f t="shared" si="9"/>
        <v>, Block</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Block</v>
      </c>
      <c r="BG10" s="2" t="str">
        <f>IFERROR((IF((VLOOKUP($BO$1&amp;C10,Teams!D:M,7,0))="","",", ")),"")</f>
        <v xml:space="preserve">, </v>
      </c>
      <c r="BH10" s="2"/>
      <c r="BI10" s="12" t="str">
        <f>$BO$1&amp;9</f>
        <v>Orc9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239" t="s">
        <v>1344</v>
      </c>
      <c r="C11" s="258" t="s">
        <v>521</v>
      </c>
      <c r="D11" s="245"/>
      <c r="E11" s="245"/>
      <c r="F11" s="245"/>
      <c r="G11" s="15">
        <f>IF(C11="",0,(COUNTIF(C2:F17,C11)))</f>
        <v>3</v>
      </c>
      <c r="H11" s="16" t="s">
        <v>57</v>
      </c>
      <c r="I11" s="17">
        <f>IFERROR((VLOOKUP($BO$1&amp;C11,Teams!D:M,10,0)),0)</f>
        <v>16</v>
      </c>
      <c r="J11" s="18">
        <f t="shared" ref="J11:K11" si="36">IFERROR(K70,0)</f>
        <v>5</v>
      </c>
      <c r="K11" s="18">
        <f t="shared" si="36"/>
        <v>3</v>
      </c>
      <c r="L11" s="18" t="str">
        <f t="shared" ref="L11:N11" si="37">IFERROR(M70&amp;"+",0)</f>
        <v>3+</v>
      </c>
      <c r="M11" s="18" t="str">
        <f t="shared" si="37"/>
        <v>4+</v>
      </c>
      <c r="N11" s="18" t="str">
        <f t="shared" si="37"/>
        <v>10+</v>
      </c>
      <c r="O11" s="275" t="str">
        <f>IFERROR((IF(AV11="YES",(VLOOKUP($BO$1&amp;C11,Teams!D:M,7,0)&amp;BF11),AW11)),"")</f>
        <v>Animosity (Orc Linemen), Block</v>
      </c>
      <c r="P11" s="245"/>
      <c r="Q11" s="245"/>
      <c r="R11" s="245"/>
      <c r="S11" s="245"/>
      <c r="T11" s="245"/>
      <c r="U11" s="245"/>
      <c r="V11" s="245"/>
      <c r="W11" s="245"/>
      <c r="X11" s="245"/>
      <c r="Y11" s="246"/>
      <c r="Z11" s="19"/>
      <c r="AA11" s="19"/>
      <c r="AB11" s="20">
        <v>1</v>
      </c>
      <c r="AC11" s="20"/>
      <c r="AD11" s="20"/>
      <c r="AE11" s="21"/>
      <c r="AF11" s="21"/>
      <c r="AG11" s="21">
        <v>1</v>
      </c>
      <c r="AH11" s="21">
        <v>0</v>
      </c>
      <c r="AI11" s="21">
        <v>1</v>
      </c>
      <c r="AJ11" s="273">
        <f t="shared" si="2"/>
        <v>7</v>
      </c>
      <c r="AK11" s="246"/>
      <c r="AL11" s="273">
        <f t="shared" si="3"/>
        <v>1</v>
      </c>
      <c r="AM11" s="246"/>
      <c r="AN11" s="273">
        <f>IFERROR((VLOOKUP($BO$1&amp;C11,Teams!D:M,8,0)+AG46),0)</f>
        <v>70000</v>
      </c>
      <c r="AO11" s="246"/>
      <c r="AP11" s="249"/>
      <c r="AQ11" s="11">
        <f>IFERROR((IF(Z11&lt;&gt;"",0,((VLOOKUP($BO$1&amp;C11,Teams!D:M,9,0)+(AG46/1000))))),0)</f>
        <v>70</v>
      </c>
      <c r="AR11" s="12">
        <f>IFERROR((VLOOKUP($BO$1&amp;C11,Teams!D:N,11,0)),0)</f>
        <v>0</v>
      </c>
      <c r="AS11" s="12" t="str">
        <f t="shared" si="4"/>
        <v/>
      </c>
      <c r="AT11" s="12" t="str">
        <f t="shared" si="5"/>
        <v/>
      </c>
      <c r="AU11" s="12" t="str">
        <f t="shared" si="6"/>
        <v/>
      </c>
      <c r="AV11" s="12" t="str">
        <f t="shared" si="7"/>
        <v>YES</v>
      </c>
      <c r="AW11" s="12" t="str">
        <f t="shared" si="8"/>
        <v/>
      </c>
      <c r="AX11" s="23" t="str">
        <f t="shared" si="9"/>
        <v>, Block</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Block</v>
      </c>
      <c r="BG11" s="2" t="str">
        <f>IFERROR((IF((VLOOKUP($BO$1&amp;C11,Teams!D:M,7,0))="","",", ")),"")</f>
        <v xml:space="preserve">, </v>
      </c>
      <c r="BH11" s="2"/>
      <c r="BI11" s="12" t="str">
        <f>$BO$1&amp;10</f>
        <v>Orc10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239" t="s">
        <v>1345</v>
      </c>
      <c r="C12" s="258" t="s">
        <v>521</v>
      </c>
      <c r="D12" s="245"/>
      <c r="E12" s="245"/>
      <c r="F12" s="245"/>
      <c r="G12" s="15">
        <f>IF(C12="",0,(COUNTIF(C2:F17,C12)))</f>
        <v>3</v>
      </c>
      <c r="H12" s="16" t="s">
        <v>57</v>
      </c>
      <c r="I12" s="17">
        <f>IFERROR((VLOOKUP($BO$1&amp;C12,Teams!D:M,10,0)),0)</f>
        <v>16</v>
      </c>
      <c r="J12" s="18">
        <f t="shared" ref="J12:K12" si="38">IFERROR(K71,0)</f>
        <v>5</v>
      </c>
      <c r="K12" s="18">
        <f t="shared" si="38"/>
        <v>3</v>
      </c>
      <c r="L12" s="18" t="str">
        <f t="shared" ref="L12:N12" si="39">IFERROR(M71&amp;"+",0)</f>
        <v>3+</v>
      </c>
      <c r="M12" s="18" t="str">
        <f t="shared" si="39"/>
        <v>4+</v>
      </c>
      <c r="N12" s="18" t="str">
        <f t="shared" si="39"/>
        <v>10+</v>
      </c>
      <c r="O12" s="275" t="str">
        <f>IFERROR((IF(AV12="YES",(VLOOKUP($BO$1&amp;C12,Teams!D:M,7,0)&amp;BF12),AW12)),"")</f>
        <v>Animosity (Orc Linemen)</v>
      </c>
      <c r="P12" s="245"/>
      <c r="Q12" s="245"/>
      <c r="R12" s="245"/>
      <c r="S12" s="245"/>
      <c r="T12" s="245"/>
      <c r="U12" s="245"/>
      <c r="V12" s="245"/>
      <c r="W12" s="245"/>
      <c r="X12" s="245"/>
      <c r="Y12" s="246"/>
      <c r="Z12" s="19"/>
      <c r="AA12" s="19"/>
      <c r="AB12" s="20"/>
      <c r="AC12" s="20"/>
      <c r="AD12" s="20"/>
      <c r="AE12" s="21"/>
      <c r="AF12" s="21"/>
      <c r="AG12" s="21"/>
      <c r="AH12" s="21"/>
      <c r="AI12" s="21"/>
      <c r="AJ12" s="273">
        <f t="shared" si="2"/>
        <v>0</v>
      </c>
      <c r="AK12" s="246"/>
      <c r="AL12" s="273">
        <f t="shared" si="3"/>
        <v>0</v>
      </c>
      <c r="AM12" s="246"/>
      <c r="AN12" s="273">
        <f>IFERROR((VLOOKUP($BO$1&amp;C12,Teams!D:M,8,0)+AG47),0)</f>
        <v>50000</v>
      </c>
      <c r="AO12" s="246"/>
      <c r="AP12" s="249"/>
      <c r="AQ12" s="11">
        <f>IFERROR((IF(Z12&lt;&gt;"",0,((VLOOKUP($BO$1&amp;C12,Teams!D:M,9,0)+(AG47/1000))))),0)</f>
        <v>50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xml:space="preserve">, </v>
      </c>
      <c r="BH12" s="2"/>
      <c r="BI12" s="12" t="str">
        <f>$BO$1&amp;11</f>
        <v>Orc11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t="s">
        <v>1358</v>
      </c>
      <c r="C13" s="258" t="s">
        <v>521</v>
      </c>
      <c r="D13" s="245"/>
      <c r="E13" s="245"/>
      <c r="F13" s="245"/>
      <c r="G13" s="15">
        <f>IF(C13="",0,(COUNTIF(C2:F17,C13)))</f>
        <v>3</v>
      </c>
      <c r="H13" s="16" t="s">
        <v>57</v>
      </c>
      <c r="I13" s="17">
        <f>IFERROR((VLOOKUP($BO$1&amp;C13,Teams!D:M,10,0)),0)</f>
        <v>16</v>
      </c>
      <c r="J13" s="18">
        <f t="shared" ref="J13:K13" si="40">IFERROR(K72,0)</f>
        <v>5</v>
      </c>
      <c r="K13" s="18">
        <f t="shared" si="40"/>
        <v>3</v>
      </c>
      <c r="L13" s="18" t="str">
        <f t="shared" ref="L13:N13" si="41">IFERROR(M72&amp;"+",0)</f>
        <v>3+</v>
      </c>
      <c r="M13" s="18" t="str">
        <f t="shared" si="41"/>
        <v>4+</v>
      </c>
      <c r="N13" s="18" t="str">
        <f t="shared" si="41"/>
        <v>10+</v>
      </c>
      <c r="O13" s="275" t="str">
        <f>IFERROR((IF(AV13="YES",(VLOOKUP($BO$1&amp;C13,Teams!D:M,7,0)&amp;BF13),AW13)),"")</f>
        <v>Animosity (Orc Linemen) - 1 NI</v>
      </c>
      <c r="P13" s="245"/>
      <c r="Q13" s="245"/>
      <c r="R13" s="245"/>
      <c r="S13" s="245"/>
      <c r="T13" s="245"/>
      <c r="U13" s="245"/>
      <c r="V13" s="245"/>
      <c r="W13" s="245"/>
      <c r="X13" s="245"/>
      <c r="Y13" s="246"/>
      <c r="Z13" s="19"/>
      <c r="AA13" s="19"/>
      <c r="AB13" s="20"/>
      <c r="AC13" s="20"/>
      <c r="AD13" s="20"/>
      <c r="AE13" s="21"/>
      <c r="AF13" s="21"/>
      <c r="AG13" s="21"/>
      <c r="AH13" s="21"/>
      <c r="AI13" s="21"/>
      <c r="AJ13" s="273">
        <f t="shared" si="2"/>
        <v>0</v>
      </c>
      <c r="AK13" s="246"/>
      <c r="AL13" s="273">
        <f t="shared" si="3"/>
        <v>0</v>
      </c>
      <c r="AM13" s="246"/>
      <c r="AN13" s="273">
        <f>IFERROR((VLOOKUP($BO$1&amp;C13,Teams!D:M,8,0)+AG48),0)</f>
        <v>50000</v>
      </c>
      <c r="AO13" s="246"/>
      <c r="AP13" s="249"/>
      <c r="AQ13" s="11">
        <f>IFERROR((IF(Z13&lt;&gt;"",0,((VLOOKUP($BO$1&amp;C13,Teams!D:M,9,0)+(AG48/1000))))),0)</f>
        <v>50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xml:space="preserve"> - 1 NI</v>
      </c>
      <c r="BF13" s="24" t="str">
        <f t="shared" si="17"/>
        <v xml:space="preserve"> - 1 NI</v>
      </c>
      <c r="BG13" s="2" t="str">
        <f>IFERROR((IF((VLOOKUP($BO$1&amp;C13,Teams!D:M,7,0))="","",", ")),"")</f>
        <v xml:space="preserve">, </v>
      </c>
      <c r="BH13" s="2"/>
      <c r="BI13" s="12" t="str">
        <f>$BO$1&amp;12</f>
        <v>Orc12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c r="C14" s="258"/>
      <c r="D14" s="245"/>
      <c r="E14" s="245"/>
      <c r="F14" s="245"/>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275" t="str">
        <f>IFERROR((IF(AV14="YES",(VLOOKUP($BO$1&amp;C14,Teams!D:M,7,0)&amp;BF14),AW14)),"")</f>
        <v>0</v>
      </c>
      <c r="P14" s="245"/>
      <c r="Q14" s="245"/>
      <c r="R14" s="245"/>
      <c r="S14" s="245"/>
      <c r="T14" s="245"/>
      <c r="U14" s="245"/>
      <c r="V14" s="245"/>
      <c r="W14" s="245"/>
      <c r="X14" s="245"/>
      <c r="Y14" s="246"/>
      <c r="Z14" s="19"/>
      <c r="AA14" s="19"/>
      <c r="AB14" s="20"/>
      <c r="AC14" s="20"/>
      <c r="AD14" s="20"/>
      <c r="AE14" s="21"/>
      <c r="AF14" s="21"/>
      <c r="AG14" s="21"/>
      <c r="AH14" s="21"/>
      <c r="AI14" s="21"/>
      <c r="AJ14" s="273">
        <f t="shared" si="2"/>
        <v>0</v>
      </c>
      <c r="AK14" s="246"/>
      <c r="AL14" s="273">
        <f t="shared" si="3"/>
        <v>0</v>
      </c>
      <c r="AM14" s="246"/>
      <c r="AN14" s="273">
        <f>IFERROR((VLOOKUP($BO$1&amp;C14,Teams!D:M,8,0)+AG49),0)</f>
        <v>0</v>
      </c>
      <c r="AO14" s="246"/>
      <c r="AP14" s="249"/>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Orc13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58"/>
      <c r="D15" s="245"/>
      <c r="E15" s="245"/>
      <c r="F15" s="245"/>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275" t="str">
        <f>IFERROR((IF(AV15="YES",(VLOOKUP($BO$1&amp;C15,Teams!D:M,7,0)&amp;BF15),AW15)),"")</f>
        <v>0</v>
      </c>
      <c r="P15" s="245"/>
      <c r="Q15" s="245"/>
      <c r="R15" s="245"/>
      <c r="S15" s="245"/>
      <c r="T15" s="245"/>
      <c r="U15" s="245"/>
      <c r="V15" s="245"/>
      <c r="W15" s="245"/>
      <c r="X15" s="245"/>
      <c r="Y15" s="246"/>
      <c r="Z15" s="19"/>
      <c r="AA15" s="19"/>
      <c r="AB15" s="20"/>
      <c r="AC15" s="20"/>
      <c r="AD15" s="20"/>
      <c r="AE15" s="21"/>
      <c r="AF15" s="21"/>
      <c r="AG15" s="21"/>
      <c r="AH15" s="21"/>
      <c r="AI15" s="21"/>
      <c r="AJ15" s="273">
        <f t="shared" si="2"/>
        <v>0</v>
      </c>
      <c r="AK15" s="246"/>
      <c r="AL15" s="273">
        <f t="shared" si="3"/>
        <v>0</v>
      </c>
      <c r="AM15" s="246"/>
      <c r="AN15" s="273">
        <f>IFERROR((VLOOKUP($BO$1&amp;C15,Teams!D:M,8,0)+AG50),0)</f>
        <v>0</v>
      </c>
      <c r="AO15" s="246"/>
      <c r="AP15" s="249"/>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c r="C16" s="258" t="s">
        <v>222</v>
      </c>
      <c r="D16" s="245"/>
      <c r="E16" s="245"/>
      <c r="F16" s="245"/>
      <c r="G16" s="15">
        <f t="shared" ref="G16:G17" si="47">IF(C16="",0,(COUNTIF(C2:F17,C16)))</f>
        <v>0</v>
      </c>
      <c r="H16" s="16" t="s">
        <v>57</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275" t="str">
        <f>IFERROR((IF(AV16="YES",(VLOOKUP($BO$1&amp;C16,Teams!D:M,7,0)&amp;BF16),AW16)),"")</f>
        <v>0</v>
      </c>
      <c r="P16" s="245"/>
      <c r="Q16" s="245"/>
      <c r="R16" s="245"/>
      <c r="S16" s="245"/>
      <c r="T16" s="245"/>
      <c r="U16" s="245"/>
      <c r="V16" s="245"/>
      <c r="W16" s="245"/>
      <c r="X16" s="245"/>
      <c r="Y16" s="246"/>
      <c r="Z16" s="19"/>
      <c r="AA16" s="19"/>
      <c r="AB16" s="20"/>
      <c r="AC16" s="20"/>
      <c r="AD16" s="20"/>
      <c r="AE16" s="21"/>
      <c r="AF16" s="21"/>
      <c r="AG16" s="21"/>
      <c r="AH16" s="21"/>
      <c r="AI16" s="21"/>
      <c r="AJ16" s="273">
        <f t="shared" si="2"/>
        <v>0</v>
      </c>
      <c r="AK16" s="246"/>
      <c r="AL16" s="273">
        <f t="shared" si="3"/>
        <v>0</v>
      </c>
      <c r="AM16" s="246"/>
      <c r="AN16" s="273">
        <f>IFERROR((VLOOKUP($BO$1&amp;C16,Teams!D:M,8,0)+AG51),0)</f>
        <v>0</v>
      </c>
      <c r="AO16" s="246"/>
      <c r="AP16" s="249"/>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303" t="s">
        <v>222</v>
      </c>
      <c r="D17" s="245"/>
      <c r="E17" s="245"/>
      <c r="F17" s="245"/>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275" t="str">
        <f>IFERROR((IF(AV17="YES",(VLOOKUP($BO$1&amp;C17,Teams!D:M,7,0)&amp;BF17),AW17)),"")</f>
        <v>0</v>
      </c>
      <c r="P17" s="245"/>
      <c r="Q17" s="245"/>
      <c r="R17" s="245"/>
      <c r="S17" s="245"/>
      <c r="T17" s="245"/>
      <c r="U17" s="245"/>
      <c r="V17" s="245"/>
      <c r="W17" s="245"/>
      <c r="X17" s="245"/>
      <c r="Y17" s="246"/>
      <c r="Z17" s="19"/>
      <c r="AA17" s="19"/>
      <c r="AB17" s="20"/>
      <c r="AC17" s="20"/>
      <c r="AD17" s="20"/>
      <c r="AE17" s="21"/>
      <c r="AF17" s="21"/>
      <c r="AG17" s="21"/>
      <c r="AH17" s="21"/>
      <c r="AI17" s="21"/>
      <c r="AJ17" s="273">
        <f t="shared" si="2"/>
        <v>0</v>
      </c>
      <c r="AK17" s="246"/>
      <c r="AL17" s="273">
        <f t="shared" si="3"/>
        <v>0</v>
      </c>
      <c r="AM17" s="246"/>
      <c r="AN17" s="273">
        <f>IFERROR((VLOOKUP($BO$1&amp;C17,Teams!D:M,8,0)+AG52),0)</f>
        <v>0</v>
      </c>
      <c r="AO17" s="246"/>
      <c r="AP17" s="249"/>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61"/>
      <c r="D18" s="245"/>
      <c r="E18" s="245"/>
      <c r="F18" s="246"/>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272">
        <f>IFERROR((IF(G18&gt;I18,AS18,VLOOKUP(C18,StarPlayers!B:K,7,0))),0)</f>
        <v>0</v>
      </c>
      <c r="P18" s="245"/>
      <c r="Q18" s="245"/>
      <c r="R18" s="245"/>
      <c r="S18" s="245"/>
      <c r="T18" s="245"/>
      <c r="U18" s="245"/>
      <c r="V18" s="245"/>
      <c r="W18" s="245"/>
      <c r="X18" s="245"/>
      <c r="Y18" s="246"/>
      <c r="Z18" s="272">
        <f>IFERROR((IF(G18&gt;I18,AS18,VLOOKUP(C18,StarPlayers!B:K,8,0))),0)</f>
        <v>0</v>
      </c>
      <c r="AA18" s="245"/>
      <c r="AB18" s="245"/>
      <c r="AC18" s="245"/>
      <c r="AD18" s="245"/>
      <c r="AE18" s="245"/>
      <c r="AF18" s="245"/>
      <c r="AG18" s="245"/>
      <c r="AH18" s="245"/>
      <c r="AI18" s="245"/>
      <c r="AJ18" s="245"/>
      <c r="AK18" s="245"/>
      <c r="AL18" s="245"/>
      <c r="AM18" s="246"/>
      <c r="AN18" s="273">
        <f>IFERROR((VLOOKUP(C18,StarPlayers!B:K,9,0)),0)</f>
        <v>0</v>
      </c>
      <c r="AO18" s="246"/>
      <c r="AP18" s="249"/>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61"/>
      <c r="D19" s="245"/>
      <c r="E19" s="245"/>
      <c r="F19" s="246"/>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272">
        <f>IFERROR((IF(G19&gt;I19,AS19,VLOOKUP(C19,StarPlayers!B:K,7,0))),0)</f>
        <v>0</v>
      </c>
      <c r="P19" s="245"/>
      <c r="Q19" s="245"/>
      <c r="R19" s="245"/>
      <c r="S19" s="245"/>
      <c r="T19" s="245"/>
      <c r="U19" s="245"/>
      <c r="V19" s="245"/>
      <c r="W19" s="245"/>
      <c r="X19" s="245"/>
      <c r="Y19" s="246"/>
      <c r="Z19" s="272">
        <f>IFERROR((IF(G19&gt;I19,AS19,VLOOKUP(C19,StarPlayers!B:K,8,0))),0)</f>
        <v>0</v>
      </c>
      <c r="AA19" s="245"/>
      <c r="AB19" s="245"/>
      <c r="AC19" s="245"/>
      <c r="AD19" s="245"/>
      <c r="AE19" s="245"/>
      <c r="AF19" s="245"/>
      <c r="AG19" s="245"/>
      <c r="AH19" s="245"/>
      <c r="AI19" s="245"/>
      <c r="AJ19" s="245"/>
      <c r="AK19" s="245"/>
      <c r="AL19" s="245"/>
      <c r="AM19" s="246"/>
      <c r="AN19" s="273">
        <f>IFERROR((VLOOKUP(C19,StarPlayers!B:K,9,0)),0)</f>
        <v>0</v>
      </c>
      <c r="AO19" s="246"/>
      <c r="AP19" s="249"/>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61"/>
      <c r="D20" s="245"/>
      <c r="E20" s="245"/>
      <c r="F20" s="246"/>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272">
        <f>IFERROR((IF(G20&gt;I20,AS20,VLOOKUP(C20,StarPlayers!B:K,7,0))),0)</f>
        <v>0</v>
      </c>
      <c r="P20" s="245"/>
      <c r="Q20" s="245"/>
      <c r="R20" s="245"/>
      <c r="S20" s="245"/>
      <c r="T20" s="245"/>
      <c r="U20" s="245"/>
      <c r="V20" s="245"/>
      <c r="W20" s="245"/>
      <c r="X20" s="245"/>
      <c r="Y20" s="246"/>
      <c r="Z20" s="272">
        <f>IFERROR((IF(G20&gt;I20,AS20,VLOOKUP(C20,StarPlayers!B:K,8,0))),0)</f>
        <v>0</v>
      </c>
      <c r="AA20" s="245"/>
      <c r="AB20" s="245"/>
      <c r="AC20" s="245"/>
      <c r="AD20" s="245"/>
      <c r="AE20" s="245"/>
      <c r="AF20" s="245"/>
      <c r="AG20" s="245"/>
      <c r="AH20" s="245"/>
      <c r="AI20" s="245"/>
      <c r="AJ20" s="245"/>
      <c r="AK20" s="245"/>
      <c r="AL20" s="245"/>
      <c r="AM20" s="246"/>
      <c r="AN20" s="273">
        <f>IFERROR((VLOOKUP(C20,StarPlayers!B:K,9,0)),0)</f>
        <v>0</v>
      </c>
      <c r="AO20" s="246"/>
      <c r="AP20" s="249"/>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11"/>
      <c r="B21" s="287"/>
      <c r="C21" s="263" t="str">
        <f>IF($J$25="Español","ESPÓNSOR","SPONSORS")</f>
        <v>SPONSORS</v>
      </c>
      <c r="D21" s="245"/>
      <c r="E21" s="245"/>
      <c r="F21" s="245"/>
      <c r="G21" s="245"/>
      <c r="H21" s="245"/>
      <c r="I21" s="246"/>
      <c r="J21" s="270"/>
      <c r="K21" s="245"/>
      <c r="L21" s="245"/>
      <c r="M21" s="245"/>
      <c r="N21" s="245"/>
      <c r="O21" s="245"/>
      <c r="P21" s="245"/>
      <c r="Q21" s="246"/>
      <c r="R21" s="269" t="str">
        <f>IF($J$25="Italiano","TIFOSI SFEGATAZI INIZIALI",(IF($J$25="Español","FANS DEVOTOS INICIALES",(IF($J$25="Deutsch","INITIAL TREUE FANS",(IF($J$25="Français","FANS DÉVOUÉS INITIAUX","INITIAL DEDICATED FANS")))))))</f>
        <v>TIFOSI SFEGATAZI INIZIALI</v>
      </c>
      <c r="S21" s="245"/>
      <c r="T21" s="245"/>
      <c r="U21" s="245"/>
      <c r="V21" s="246"/>
      <c r="W21" s="34">
        <v>4</v>
      </c>
      <c r="X21" s="35" t="s">
        <v>174</v>
      </c>
      <c r="Y21" s="264">
        <v>10000</v>
      </c>
      <c r="Z21" s="265"/>
      <c r="AA21" s="36" t="str">
        <f t="shared" ref="AA21:AA31" si="55">IF($J$25="Español","mo",(IF($J$25="Deutsch","gm",(IF($J$25="Français","po","gp")))))</f>
        <v>gp</v>
      </c>
      <c r="AB21" s="266">
        <f>IFERROR(((IF(W21=0,0,(IF(W21=1,0,W21-1))))*Y21),0)</f>
        <v>30000</v>
      </c>
      <c r="AC21" s="246"/>
      <c r="AD21" s="269" t="str">
        <f>IF($J$25="Italiano","REROLLS TOTALI",(IF($J$25="Español","SEGUNDAS OPORTUNIDADES TOTALES",(IF($J$25="Deutsch","TOTAL WIEDERHOLUNGSWÜRFE",(IF($J$25="Français","RELANCES TOTALES","TOTAL REROLLS")))))))</f>
        <v>REROLLS TOTALI</v>
      </c>
      <c r="AE21" s="245"/>
      <c r="AF21" s="245"/>
      <c r="AG21" s="245"/>
      <c r="AH21" s="246"/>
      <c r="AI21" s="274">
        <f>AI22+AI23</f>
        <v>2</v>
      </c>
      <c r="AJ21" s="245"/>
      <c r="AK21" s="245"/>
      <c r="AL21" s="245"/>
      <c r="AM21" s="245"/>
      <c r="AN21" s="245"/>
      <c r="AO21" s="246"/>
      <c r="AP21" s="249"/>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12"/>
      <c r="B22" s="313"/>
      <c r="C22" s="269" t="str">
        <f>IF($J$25="Italiano","ALLENATORE CAPO",(IF($J$25="Español","ENTRENADOR",(IF($J$25="Deutsch","CHEFTRAINER",(IF($J$25="Français","COACH","HEAD COACH")))))))</f>
        <v>ALLENATORE CAPO</v>
      </c>
      <c r="D22" s="245"/>
      <c r="E22" s="245"/>
      <c r="F22" s="245"/>
      <c r="G22" s="245"/>
      <c r="H22" s="245"/>
      <c r="I22" s="246"/>
      <c r="J22" s="270" t="s">
        <v>1339</v>
      </c>
      <c r="K22" s="245"/>
      <c r="L22" s="245"/>
      <c r="M22" s="245"/>
      <c r="N22" s="245"/>
      <c r="O22" s="245"/>
      <c r="P22" s="245"/>
      <c r="Q22" s="246"/>
      <c r="R22" s="269"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5"/>
      <c r="T22" s="245"/>
      <c r="U22" s="245"/>
      <c r="V22" s="246"/>
      <c r="W22" s="34">
        <v>0</v>
      </c>
      <c r="X22" s="35" t="s">
        <v>174</v>
      </c>
      <c r="Y22" s="264">
        <f>IFERROR(IF(OR(BO1="Necromantic",BO1="Shambling Undead",BO1="Nurgle"),100000,(VLOOKUP(BO1,BL:BQ,6,0))),0)</f>
        <v>50000</v>
      </c>
      <c r="Z22" s="265"/>
      <c r="AA22" s="36" t="str">
        <f t="shared" si="55"/>
        <v>gp</v>
      </c>
      <c r="AB22" s="266">
        <f t="shared" ref="AB22:AB31" si="56">IFERROR(W22*Y22,0)</f>
        <v>0</v>
      </c>
      <c r="AC22" s="246"/>
      <c r="AD22" s="269" t="str">
        <f>IF($J$25="Italiano","REROLLS INIZIALI",(IF($J$25="Español","SEGUNDAS OPORTUNIDADES INICIALES",(IF($J$25="Deutsch","INITIAL WIEDERHOLUNGSWÜRFE",(IF($J$25="Français","RELANCES INITIALES","INITIAL REROLLS")))))))</f>
        <v>REROLLS INIZIALI</v>
      </c>
      <c r="AE22" s="245"/>
      <c r="AF22" s="245"/>
      <c r="AG22" s="245"/>
      <c r="AH22" s="246"/>
      <c r="AI22" s="34">
        <v>2</v>
      </c>
      <c r="AJ22" s="35" t="s">
        <v>174</v>
      </c>
      <c r="AK22" s="264">
        <f>IFERROR(VLOOKUP(BO1,BL:BP,5,0),0)</f>
        <v>60000</v>
      </c>
      <c r="AL22" s="265"/>
      <c r="AM22" s="37" t="str">
        <f t="shared" ref="AM22:AM31" si="57">IF($J$25="Español","mo",(IF($J$25="Deutsch","gm",(IF($J$25="Français","po","gp")))))</f>
        <v>gp</v>
      </c>
      <c r="AN22" s="266">
        <f t="shared" ref="AN22:AN31" si="58">IFERROR(AI22*AK22,0)</f>
        <v>120000</v>
      </c>
      <c r="AO22" s="246"/>
      <c r="AP22" s="249"/>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12"/>
      <c r="B23" s="313"/>
      <c r="C23" s="263" t="str">
        <f>IF($J$25="Italiano","RAZZA",(IF($J$25="Español","RAZA",(IF($J$25="Deutsch","RASSE",(IF($J$25="Français","TYPE D’ÉQUIPE","RACE")))))))</f>
        <v>RAZZA</v>
      </c>
      <c r="D23" s="245"/>
      <c r="E23" s="245"/>
      <c r="F23" s="245"/>
      <c r="G23" s="245"/>
      <c r="H23" s="245"/>
      <c r="I23" s="246"/>
      <c r="J23" s="271" t="s">
        <v>184</v>
      </c>
      <c r="K23" s="245"/>
      <c r="L23" s="245"/>
      <c r="M23" s="245"/>
      <c r="N23" s="245"/>
      <c r="O23" s="245"/>
      <c r="P23" s="245"/>
      <c r="Q23" s="246"/>
      <c r="R23" s="269" t="str">
        <f>IF($J$25="Español","ANIMADORAS",(IF($J$25="Deutsch","CHEERLEADER","CHEERLEADERS")))</f>
        <v>CHEERLEADERS</v>
      </c>
      <c r="S23" s="245"/>
      <c r="T23" s="245"/>
      <c r="U23" s="245"/>
      <c r="V23" s="246"/>
      <c r="W23" s="34">
        <v>0</v>
      </c>
      <c r="X23" s="35" t="s">
        <v>174</v>
      </c>
      <c r="Y23" s="264">
        <v>10000</v>
      </c>
      <c r="Z23" s="265"/>
      <c r="AA23" s="36" t="str">
        <f t="shared" si="55"/>
        <v>gp</v>
      </c>
      <c r="AB23" s="266">
        <f t="shared" si="56"/>
        <v>0</v>
      </c>
      <c r="AC23" s="246"/>
      <c r="AD23" s="269" t="str">
        <f>IF($J$25="Italiano","REROLLS ACQUISITI",(IF($J$25="Español","SEGUNDAS OPORTUNIDADES ADQUIRIDAS",(IF($J$25="Deutsch","GEKAUFTE WIEDERHOLUNGSWÜRFE",(IF($J$25="Français","RELANCES ACHETÉES","ACQUIRED REROLLS")))))))</f>
        <v>REROLLS ACQUISITI</v>
      </c>
      <c r="AE23" s="245"/>
      <c r="AF23" s="245"/>
      <c r="AG23" s="245"/>
      <c r="AH23" s="246"/>
      <c r="AI23" s="34">
        <v>0</v>
      </c>
      <c r="AJ23" s="35" t="s">
        <v>174</v>
      </c>
      <c r="AK23" s="264">
        <f>IFERROR((VLOOKUP(BO1,BL:BP,5,0))*2,0)</f>
        <v>120000</v>
      </c>
      <c r="AL23" s="265"/>
      <c r="AM23" s="37" t="str">
        <f t="shared" si="57"/>
        <v>gp</v>
      </c>
      <c r="AN23" s="266">
        <f t="shared" si="58"/>
        <v>0</v>
      </c>
      <c r="AO23" s="246"/>
      <c r="AP23" s="249"/>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12"/>
      <c r="B24" s="313"/>
      <c r="C24" s="263" t="str">
        <f>IF($J$25="Italiano","NOME SQUADRA",(IF($J$25="Español","NOMBRE DEL EQUIPO",(IF($J$25="Français","NOM D’ÉQUIPE","TEAM NAME")))))</f>
        <v>NOME SQUADRA</v>
      </c>
      <c r="D24" s="245"/>
      <c r="E24" s="245"/>
      <c r="F24" s="245"/>
      <c r="G24" s="245"/>
      <c r="H24" s="245"/>
      <c r="I24" s="246"/>
      <c r="J24" s="270" t="s">
        <v>1346</v>
      </c>
      <c r="K24" s="245"/>
      <c r="L24" s="245"/>
      <c r="M24" s="245"/>
      <c r="N24" s="245"/>
      <c r="O24" s="245"/>
      <c r="P24" s="245"/>
      <c r="Q24" s="246"/>
      <c r="R24" s="269" t="str">
        <f>IF($J$25="Italiano","ASSISTENTI ALLENATORI",(IF($J$25="Español","AYUDANTES ENTRENADOR",(IF($J$25="Deutsch","TRAINERASSISTENTEN",(IF($J$25="Français","COACHS ASSIST","ASSISTANT COACHES")))))))</f>
        <v>ASSISTENTI ALLENATORI</v>
      </c>
      <c r="S24" s="245"/>
      <c r="T24" s="245"/>
      <c r="U24" s="245"/>
      <c r="V24" s="246"/>
      <c r="W24" s="34">
        <v>0</v>
      </c>
      <c r="X24" s="35" t="s">
        <v>174</v>
      </c>
      <c r="Y24" s="264">
        <v>10000</v>
      </c>
      <c r="Z24" s="265"/>
      <c r="AA24" s="36" t="str">
        <f t="shared" si="55"/>
        <v>gp</v>
      </c>
      <c r="AB24" s="266">
        <f t="shared" si="56"/>
        <v>0</v>
      </c>
      <c r="AC24" s="246"/>
      <c r="AD24" s="263" t="str">
        <f>IF($J$25="Italiano","MAGO DEL CLIMA",(IF($J$25="Español","MAGO DEL TIEMPO",(IF($J$25="Deutsch","WETTERMAGIER",(IF($J$25="Français","MAGE MÉTÉO","WEATHER MAGE")))))))</f>
        <v>MAGO DEL CLIMA</v>
      </c>
      <c r="AE24" s="245"/>
      <c r="AF24" s="245"/>
      <c r="AG24" s="245"/>
      <c r="AH24" s="246"/>
      <c r="AI24" s="34">
        <v>0</v>
      </c>
      <c r="AJ24" s="35" t="s">
        <v>174</v>
      </c>
      <c r="AK24" s="264">
        <v>30000</v>
      </c>
      <c r="AL24" s="265"/>
      <c r="AM24" s="36" t="str">
        <f t="shared" si="57"/>
        <v>gp</v>
      </c>
      <c r="AN24" s="266">
        <f t="shared" si="58"/>
        <v>0</v>
      </c>
      <c r="AO24" s="246"/>
      <c r="AP24" s="249"/>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12"/>
      <c r="B25" s="313"/>
      <c r="C25" s="263" t="str">
        <f>IF($J$25="Italiano","LINGUA",(IF($J$25="Español","IDIOMA",(IF($J$25="Deutsch","SPRACHE",(IF($J$25="Français","LANGUE","LANGUAGE")))))))</f>
        <v>LINGUA</v>
      </c>
      <c r="D25" s="245"/>
      <c r="E25" s="245"/>
      <c r="F25" s="245"/>
      <c r="G25" s="245"/>
      <c r="H25" s="245"/>
      <c r="I25" s="246"/>
      <c r="J25" s="262" t="s">
        <v>301</v>
      </c>
      <c r="K25" s="245"/>
      <c r="L25" s="245"/>
      <c r="M25" s="245"/>
      <c r="N25" s="245"/>
      <c r="O25" s="245"/>
      <c r="P25" s="245"/>
      <c r="Q25" s="246"/>
      <c r="R25" s="263" t="str">
        <f>IF($J$25="Italiano","FUSTI DI BLOODWEISER",(IF($J$25="Español","BARRILES BLOODWEISER",(IF($J$25="Français","FÛTS DE BLOODWEISER","BLOODWEISER KEGS")))))</f>
        <v>FUSTI DI BLOODWEISER</v>
      </c>
      <c r="S25" s="245"/>
      <c r="T25" s="245"/>
      <c r="U25" s="245"/>
      <c r="V25" s="246"/>
      <c r="W25" s="34">
        <v>0</v>
      </c>
      <c r="X25" s="35" t="s">
        <v>174</v>
      </c>
      <c r="Y25" s="264">
        <v>50000</v>
      </c>
      <c r="Z25" s="265"/>
      <c r="AA25" s="36" t="str">
        <f t="shared" si="55"/>
        <v>gp</v>
      </c>
      <c r="AB25" s="266">
        <f t="shared" si="56"/>
        <v>0</v>
      </c>
      <c r="AC25" s="246"/>
      <c r="AD25" s="267" t="s">
        <v>192</v>
      </c>
      <c r="AE25" s="245"/>
      <c r="AF25" s="245"/>
      <c r="AG25" s="245"/>
      <c r="AH25" s="246"/>
      <c r="AI25" s="34">
        <v>0</v>
      </c>
      <c r="AJ25" s="35" t="s">
        <v>174</v>
      </c>
      <c r="AK25" s="264">
        <f>IFERROR((VLOOKUP(AD25,BH59:BI85,2,FALSE)),0)</f>
        <v>0</v>
      </c>
      <c r="AL25" s="265"/>
      <c r="AM25" s="36" t="str">
        <f t="shared" si="57"/>
        <v>gp</v>
      </c>
      <c r="AN25" s="266">
        <f t="shared" si="58"/>
        <v>0</v>
      </c>
      <c r="AO25" s="246"/>
      <c r="AP25" s="249"/>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12"/>
      <c r="B26" s="313"/>
      <c r="C26" s="263" t="str">
        <f>IF($J$25="Italiano","TIFOSI SFEGATATI",(IF($J$25="Español","FANS DEDICADOS",(IF($J$25="Deutsch","TREUE FANS",(IF($J$25="Français","FANS DÉVOUÉS","DEDICATED FANS")))))))</f>
        <v>TIFOSI SFEGATATI</v>
      </c>
      <c r="D26" s="245"/>
      <c r="E26" s="245"/>
      <c r="F26" s="245"/>
      <c r="G26" s="245"/>
      <c r="H26" s="245"/>
      <c r="I26" s="246"/>
      <c r="J26" s="268">
        <v>1</v>
      </c>
      <c r="K26" s="245"/>
      <c r="L26" s="245"/>
      <c r="M26" s="245"/>
      <c r="N26" s="245"/>
      <c r="O26" s="245"/>
      <c r="P26" s="245"/>
      <c r="Q26" s="246"/>
      <c r="R26" s="269" t="str">
        <f>IF($J$25="Italiano","CARTE SPECIALI",(IF($J$25="Español","CARTA ESPECIAL",(IF($J$25="Deutsch","SONDERKARTEN",(IF($J$25="Français","CARTE SPECIALE","SPECIAL CARD")))))))</f>
        <v>CARTE SPECIALI</v>
      </c>
      <c r="S26" s="245"/>
      <c r="T26" s="245"/>
      <c r="U26" s="245"/>
      <c r="V26" s="246"/>
      <c r="W26" s="34">
        <v>0</v>
      </c>
      <c r="X26" s="35" t="s">
        <v>174</v>
      </c>
      <c r="Y26" s="264">
        <v>100000</v>
      </c>
      <c r="Z26" s="265"/>
      <c r="AA26" s="36" t="str">
        <f t="shared" si="55"/>
        <v>gp</v>
      </c>
      <c r="AB26" s="266">
        <f t="shared" si="56"/>
        <v>0</v>
      </c>
      <c r="AC26" s="246"/>
      <c r="AD26" s="267" t="s">
        <v>197</v>
      </c>
      <c r="AE26" s="245"/>
      <c r="AF26" s="245"/>
      <c r="AG26" s="245"/>
      <c r="AH26" s="246"/>
      <c r="AI26" s="34">
        <v>0</v>
      </c>
      <c r="AJ26" s="35" t="s">
        <v>174</v>
      </c>
      <c r="AK26" s="264">
        <f>IFERROR(VLOOKUP(AD26,BD59:BE85,2,FALSE),0)</f>
        <v>0</v>
      </c>
      <c r="AL26" s="265"/>
      <c r="AM26" s="36" t="str">
        <f t="shared" si="57"/>
        <v>gp</v>
      </c>
      <c r="AN26" s="266">
        <f t="shared" si="58"/>
        <v>0</v>
      </c>
      <c r="AO26" s="246"/>
      <c r="AP26" s="249"/>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12"/>
      <c r="B27" s="313"/>
      <c r="C27" s="263" t="str">
        <f>IF($J$25="Italiano","COSTI INCENTIVI &amp; EXTRA",(IF($J$25="Español","COSTE INCENTIVOS Y EXTRAS",(IF($J$25="Deutsch","GESAMTER TEAMWERT &amp; EXTRAS",(IF($J$25="Français","COUPS DE POUCES &amp; STAFF","COST INDUCEMENTS &amp; EXTRAS")))))))</f>
        <v>COSTI INCENTIVI &amp; EXTRA</v>
      </c>
      <c r="D27" s="245"/>
      <c r="E27" s="245"/>
      <c r="F27" s="245"/>
      <c r="G27" s="245"/>
      <c r="H27" s="245"/>
      <c r="I27" s="246"/>
      <c r="J27" s="282">
        <f>(SUM(AB21:AC31,AN22:AO31,AN18:AO20))/1000</f>
        <v>150</v>
      </c>
      <c r="K27" s="245"/>
      <c r="L27" s="245"/>
      <c r="M27" s="265"/>
      <c r="N27" s="283" t="str">
        <f t="shared" ref="N27:N31" si="59">IF($J$25="Español","k mo",(IF($J$25="Deutsch","k gm",(IF($J$25="Français","k po","k gp")))))</f>
        <v>k gp</v>
      </c>
      <c r="O27" s="245"/>
      <c r="P27" s="245"/>
      <c r="Q27" s="246"/>
      <c r="R27" s="301" t="str">
        <f>IF($J$25="Italiano","CHEERLEADERS AG. INT.",(IF($J$25="Español","ANIMADORAS TEMP.",(IF($J$25="Deutsch","ZEITARBEITS-CHEERLEADER",(IF($J$25="Français","CHEERLEADERS INTERIM.","TEMP. CHEERLEADERS")))))))</f>
        <v>CHEERLEADERS AG. INT.</v>
      </c>
      <c r="S27" s="242"/>
      <c r="T27" s="242"/>
      <c r="U27" s="242"/>
      <c r="V27" s="302"/>
      <c r="W27" s="40">
        <v>0</v>
      </c>
      <c r="X27" s="41" t="s">
        <v>174</v>
      </c>
      <c r="Y27" s="300">
        <v>20000</v>
      </c>
      <c r="Z27" s="243"/>
      <c r="AA27" s="42" t="str">
        <f t="shared" si="55"/>
        <v>gp</v>
      </c>
      <c r="AB27" s="266">
        <f t="shared" si="56"/>
        <v>0</v>
      </c>
      <c r="AC27" s="246"/>
      <c r="AD27" s="284" t="str">
        <f>BD59</f>
        <v>(IN)FAMOUS COACHES</v>
      </c>
      <c r="AE27" s="245"/>
      <c r="AF27" s="245"/>
      <c r="AG27" s="245"/>
      <c r="AH27" s="246"/>
      <c r="AI27" s="34">
        <v>0</v>
      </c>
      <c r="AJ27" s="35" t="s">
        <v>174</v>
      </c>
      <c r="AK27" s="264">
        <f>IFERROR(VLOOKUP(AD27,BD59:BE85,2,FALSE),0)</f>
        <v>0</v>
      </c>
      <c r="AL27" s="265"/>
      <c r="AM27" s="36" t="str">
        <f t="shared" si="57"/>
        <v>gp</v>
      </c>
      <c r="AN27" s="266">
        <f t="shared" si="58"/>
        <v>0</v>
      </c>
      <c r="AO27" s="246"/>
      <c r="AP27" s="249"/>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12"/>
      <c r="B28" s="313"/>
      <c r="C28" s="269" t="str">
        <f>IF($J$25="Italiano","COSTO GIOCATORI",(IF($J$25="Español","PRECIO JUGADORES",(IF($J$25="Deutsch","WERT SPIELER",(IF($J$25="Français","VALEUR DES JOUEURS","COST PLAYERS")))))))</f>
        <v>COSTO GIOCATORI</v>
      </c>
      <c r="D28" s="245"/>
      <c r="E28" s="245"/>
      <c r="F28" s="245"/>
      <c r="G28" s="245"/>
      <c r="H28" s="245"/>
      <c r="I28" s="246"/>
      <c r="J28" s="282">
        <f>(SUM(AN2:AO17))/1000</f>
        <v>1045</v>
      </c>
      <c r="K28" s="245"/>
      <c r="L28" s="245"/>
      <c r="M28" s="265"/>
      <c r="N28" s="43" t="str">
        <f t="shared" si="59"/>
        <v>k gp</v>
      </c>
      <c r="O28" s="43"/>
      <c r="P28" s="43"/>
      <c r="Q28" s="44"/>
      <c r="R28" s="269" t="str">
        <f>IF($J$25="Italiano","ASSISTENTI ALLENATORI P.T.",(IF($J$25="Español","AYUDANTES ENTRENADOR T.P.",(IF($J$25="Deutsch","TEILZEIT-TRAINERASSISTENTEN",(IF($J$25="Français","COACHS ASSIST INTERIM.","P.T. ASSISTANT COACHES")))))))</f>
        <v>ASSISTENTI ALLENATORI P.T.</v>
      </c>
      <c r="S28" s="245"/>
      <c r="T28" s="245"/>
      <c r="U28" s="245"/>
      <c r="V28" s="246"/>
      <c r="W28" s="34">
        <v>0</v>
      </c>
      <c r="X28" s="35" t="s">
        <v>174</v>
      </c>
      <c r="Y28" s="264">
        <v>20000</v>
      </c>
      <c r="Z28" s="265"/>
      <c r="AA28" s="36" t="str">
        <f t="shared" si="55"/>
        <v>gp</v>
      </c>
      <c r="AB28" s="266">
        <f t="shared" si="56"/>
        <v>0</v>
      </c>
      <c r="AC28" s="246"/>
      <c r="AD28" s="284" t="s">
        <v>208</v>
      </c>
      <c r="AE28" s="245"/>
      <c r="AF28" s="245"/>
      <c r="AG28" s="245"/>
      <c r="AH28" s="246"/>
      <c r="AI28" s="34">
        <v>0</v>
      </c>
      <c r="AJ28" s="35" t="s">
        <v>174</v>
      </c>
      <c r="AK28" s="264">
        <f>IFERROR(VLOOKUP(AD28,BL59:BM85,2,FALSE),0)</f>
        <v>0</v>
      </c>
      <c r="AL28" s="265"/>
      <c r="AM28" s="36" t="str">
        <f t="shared" si="57"/>
        <v>gp</v>
      </c>
      <c r="AN28" s="266">
        <f t="shared" si="58"/>
        <v>0</v>
      </c>
      <c r="AO28" s="246"/>
      <c r="AP28" s="249"/>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12"/>
      <c r="B29" s="313"/>
      <c r="C29" s="263" t="str">
        <f>IF($J$25="Italiano","COSTO TOTALE SQUADRA",(IF($J$25="Español","PRECIO TOTAL EQUIPO",(IF($J$25="Deutsch","GESAMTER TEAMWERT",(IF($J$25="Français","VALEUR D’ÉQUIPE","TOTAL TEAM COST")))))))</f>
        <v>COSTO TOTALE SQUADRA</v>
      </c>
      <c r="D29" s="245"/>
      <c r="E29" s="245"/>
      <c r="F29" s="245"/>
      <c r="G29" s="245"/>
      <c r="H29" s="245"/>
      <c r="I29" s="246"/>
      <c r="J29" s="282">
        <f>J27+J28</f>
        <v>1195</v>
      </c>
      <c r="K29" s="245"/>
      <c r="L29" s="245"/>
      <c r="M29" s="265"/>
      <c r="N29" s="283" t="str">
        <f t="shared" si="59"/>
        <v>k gp</v>
      </c>
      <c r="O29" s="245"/>
      <c r="P29" s="245"/>
      <c r="Q29" s="246"/>
      <c r="R29" s="269" t="str">
        <f>IF($J$25="Italiano","MAZZETTE",(IF($J$25="Español","SOBORNOS",(IF($J$25="Deutsch","BESTECHUNGEN",(IF($J$25="Français","POTS-DE-VIN","BRIBES")))))))</f>
        <v>MAZZETTE</v>
      </c>
      <c r="S29" s="245"/>
      <c r="T29" s="245"/>
      <c r="U29" s="245"/>
      <c r="V29" s="246"/>
      <c r="W29" s="34">
        <v>0</v>
      </c>
      <c r="X29" s="35" t="s">
        <v>174</v>
      </c>
      <c r="Y29" s="264">
        <f>IFERROR(IF(BV2="Bribery and Corruption",50000,100000),100000)</f>
        <v>100000</v>
      </c>
      <c r="Z29" s="265"/>
      <c r="AA29" s="36" t="str">
        <f t="shared" si="55"/>
        <v>gp</v>
      </c>
      <c r="AB29" s="266">
        <f t="shared" si="56"/>
        <v>0</v>
      </c>
      <c r="AC29" s="246"/>
      <c r="AD29" s="284" t="s">
        <v>212</v>
      </c>
      <c r="AE29" s="245"/>
      <c r="AF29" s="245"/>
      <c r="AG29" s="245"/>
      <c r="AH29" s="246"/>
      <c r="AI29" s="34">
        <v>0</v>
      </c>
      <c r="AJ29" s="35" t="s">
        <v>174</v>
      </c>
      <c r="AK29" s="264">
        <f>IFERROR(VLOOKUP(AD29,BO60:BP86,2,FALSE),0)</f>
        <v>0</v>
      </c>
      <c r="AL29" s="265"/>
      <c r="AM29" s="36" t="str">
        <f t="shared" si="57"/>
        <v>gp</v>
      </c>
      <c r="AN29" s="266">
        <f t="shared" si="58"/>
        <v>0</v>
      </c>
      <c r="AO29" s="246"/>
      <c r="AP29" s="249"/>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12"/>
      <c r="B30" s="313"/>
      <c r="C30" s="263" t="str">
        <f>IF($J$25="Italiano","COSTO AVANZAMENTI",(IF($J$25="Español","PRECIO SUBIDAS",(IF($J$25="Deutsch","WERT DER VERBESSERUNG",(IF($J$25="Français","VALEUR AMÉLIORATION","COST UPGRADES")))))))</f>
        <v>COSTO AVANZAMENTI</v>
      </c>
      <c r="D30" s="245"/>
      <c r="E30" s="245"/>
      <c r="F30" s="245"/>
      <c r="G30" s="245"/>
      <c r="H30" s="245"/>
      <c r="I30" s="246"/>
      <c r="J30" s="282">
        <f>(SUM(AG37:AH52))/1000</f>
        <v>150</v>
      </c>
      <c r="K30" s="245"/>
      <c r="L30" s="245"/>
      <c r="M30" s="265"/>
      <c r="N30" s="283" t="str">
        <f t="shared" si="59"/>
        <v>k gp</v>
      </c>
      <c r="O30" s="245"/>
      <c r="P30" s="245"/>
      <c r="Q30" s="246"/>
      <c r="R30" s="269" t="str">
        <f>IF($J$25="Italiano","CAPOCUOCO",(IF($J$25="Español","MASTER CHEF",(IF($J$25="Deutsch","HALBLING-MEISTERKOCH",(IF($J$25="Français","CHEF CUISTOT","MASTER CHEF")))))))</f>
        <v>CAPOCUOCO</v>
      </c>
      <c r="S30" s="245"/>
      <c r="T30" s="245"/>
      <c r="U30" s="245"/>
      <c r="V30" s="246"/>
      <c r="W30" s="34">
        <v>0</v>
      </c>
      <c r="X30" s="35" t="s">
        <v>174</v>
      </c>
      <c r="Y30" s="264">
        <f>IFERROR(IF(OR(BO1="Halfling",BO1="Halflings",BO1="Halflinge"),100000,300000),300000)</f>
        <v>300000</v>
      </c>
      <c r="Z30" s="265"/>
      <c r="AA30" s="37" t="str">
        <f t="shared" si="55"/>
        <v>gp</v>
      </c>
      <c r="AB30" s="266">
        <f t="shared" si="56"/>
        <v>0</v>
      </c>
      <c r="AC30" s="246"/>
      <c r="AD30" s="269" t="str">
        <f>IF($J$25="Italiano","ALLENAMIENTO INTENSIVO",(IF($J$25="Español","ENTRENAMIENTO EXTRA",(IF($J$25="Deutsch","ZUSÄTZLICHES TRAINING",(IF($J$25="Français","ENTRAÎNEMENT SUPP.","EXTRA TEAM TRAINING")))))))</f>
        <v>ALLENAMIENTO INTENSIVO</v>
      </c>
      <c r="AE30" s="245"/>
      <c r="AF30" s="245"/>
      <c r="AG30" s="245"/>
      <c r="AH30" s="246"/>
      <c r="AI30" s="34">
        <v>0</v>
      </c>
      <c r="AJ30" s="35" t="s">
        <v>174</v>
      </c>
      <c r="AK30" s="264">
        <v>100000</v>
      </c>
      <c r="AL30" s="265"/>
      <c r="AM30" s="37" t="str">
        <f t="shared" si="57"/>
        <v>gp</v>
      </c>
      <c r="AN30" s="266">
        <f t="shared" si="58"/>
        <v>0</v>
      </c>
      <c r="AO30" s="246"/>
      <c r="AP30" s="249"/>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12"/>
      <c r="B31" s="313"/>
      <c r="C31" s="263" t="str">
        <f>IF($J$25="Italiano","TESORERIA",(IF($J$25="Español","TESORERÍA",(IF($J$25="Deutsch","TEAMKASSE",(IF($J$25="Français","TRÉSORERIE","TREASURY")))))))</f>
        <v>TESORERIA</v>
      </c>
      <c r="D31" s="245"/>
      <c r="E31" s="245"/>
      <c r="F31" s="245"/>
      <c r="G31" s="245"/>
      <c r="H31" s="245"/>
      <c r="I31" s="246"/>
      <c r="J31" s="282">
        <f>(((Games!AB3+Games!Y2)-(SUM('Dead &amp; Retired Players'!AJ3:AK32)))/1000)-J29+J30</f>
        <v>100</v>
      </c>
      <c r="K31" s="245"/>
      <c r="L31" s="245"/>
      <c r="M31" s="265"/>
      <c r="N31" s="283" t="str">
        <f t="shared" si="59"/>
        <v>k gp</v>
      </c>
      <c r="O31" s="245"/>
      <c r="P31" s="245"/>
      <c r="Q31" s="246"/>
      <c r="R31" s="294" t="str">
        <f>IF($J$25="Italiano","ESORDIENTI RIBELLI",(IF($J$25="Español","NOVATOS ALBOROTADORES",(IF($J$25="Deutsch","RANDALIERENDE NEULINGE",(IF($J$25="Français","DÉBUTANTS DÉCHAINÉS","RIOTOUS ROOKIES")))))))</f>
        <v>ESORDIENTI RIBELLI</v>
      </c>
      <c r="S31" s="245"/>
      <c r="T31" s="245"/>
      <c r="U31" s="245"/>
      <c r="V31" s="246"/>
      <c r="W31" s="34">
        <v>0</v>
      </c>
      <c r="X31" s="35" t="s">
        <v>174</v>
      </c>
      <c r="Y31" s="264">
        <f>IFERROR(IF(BW2="LowCost",100000,0),0)</f>
        <v>0</v>
      </c>
      <c r="Z31" s="265"/>
      <c r="AA31" s="37" t="str">
        <f t="shared" si="55"/>
        <v>gp</v>
      </c>
      <c r="AB31" s="266">
        <f t="shared" si="56"/>
        <v>0</v>
      </c>
      <c r="AC31" s="246"/>
      <c r="AD31" s="269" t="str">
        <f>IF($J$25="Italiano","MEDICI VAGABONDI",(IF($J$25="Español","MÉDICO ERRANTE",(IF($J$25="Deutsch","WANDERNDER SANITÄTER",(IF($J$25="Français","APO ITINÉRANT","WANDERING APO")))))))</f>
        <v>MEDICI VAGABONDI</v>
      </c>
      <c r="AE31" s="245"/>
      <c r="AF31" s="245"/>
      <c r="AG31" s="245"/>
      <c r="AH31" s="246"/>
      <c r="AI31" s="34">
        <v>0</v>
      </c>
      <c r="AJ31" s="35" t="s">
        <v>174</v>
      </c>
      <c r="AK31" s="264">
        <f>IFERROR(IF(Y22=0,0,100000),0)</f>
        <v>100000</v>
      </c>
      <c r="AL31" s="265"/>
      <c r="AM31" s="37" t="str">
        <f t="shared" si="57"/>
        <v>gp</v>
      </c>
      <c r="AN31" s="266">
        <f t="shared" si="58"/>
        <v>0</v>
      </c>
      <c r="AO31" s="246"/>
      <c r="AP31" s="249"/>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88"/>
      <c r="B32" s="290"/>
      <c r="C32" s="263" t="str">
        <f>IF($J$25="Italiano","VALORE SQUADRA",(IF($J$25="Español","VALOR DEL EQUIPO",(IF($J$25="Deutsch","TEAMWERT",(IF($J$25="Français","VALEUR D’ÉQUIPE ACTUELLE","TEAM VALUE")))))))</f>
        <v>VALORE SQUADRA</v>
      </c>
      <c r="D32" s="245"/>
      <c r="E32" s="245"/>
      <c r="F32" s="245"/>
      <c r="G32" s="245"/>
      <c r="H32" s="245"/>
      <c r="I32" s="246"/>
      <c r="J32" s="273">
        <f>(J27-(AB21/1000)+(SUM(AQ2:AQ17))-(AN23/2000))</f>
        <v>1165</v>
      </c>
      <c r="K32" s="245"/>
      <c r="L32" s="245"/>
      <c r="M32" s="245"/>
      <c r="N32" s="245"/>
      <c r="O32" s="245"/>
      <c r="P32" s="245"/>
      <c r="Q32" s="246"/>
      <c r="R32" s="294" t="str">
        <f>IF($J$25="Italiano","REGOLE SPECIALI",(IF($J$25="Español","REGLA ESPECIAL",(IF($J$25="Deutsch","SONDERREGELN",(IF($J$25="Français","RÈGLES SPÉCIALES","SPECIAL RULES")))))))</f>
        <v>REGOLE SPECIALI</v>
      </c>
      <c r="S32" s="245"/>
      <c r="T32" s="245"/>
      <c r="U32" s="245"/>
      <c r="V32" s="246"/>
      <c r="W32" s="298" t="str">
        <f>IFERROR(VLOOKUP(BO1,BL:BU,8,0),"")</f>
        <v>Badlands Brawl</v>
      </c>
      <c r="X32" s="245"/>
      <c r="Y32" s="245"/>
      <c r="Z32" s="245"/>
      <c r="AA32" s="245"/>
      <c r="AB32" s="245"/>
      <c r="AC32" s="245"/>
      <c r="AD32" s="245"/>
      <c r="AE32" s="245"/>
      <c r="AF32" s="245"/>
      <c r="AG32" s="245"/>
      <c r="AH32" s="245"/>
      <c r="AI32" s="265"/>
      <c r="AJ32" s="299" t="s">
        <v>222</v>
      </c>
      <c r="AK32" s="245"/>
      <c r="AL32" s="265"/>
      <c r="AM32" s="297"/>
      <c r="AN32" s="245"/>
      <c r="AO32" s="246"/>
      <c r="AP32" s="249"/>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14" t="str">
        <f>IF(J25="Italiano","v4.3 - Creato da dreamscreator",(IF(J25="Español","v4.3 - Creado por dreamscreator",(IF(J25="Deutsch","v4.3 - Erstellt von dreamscreator",(IF(J25="Français","v4.3 Créé par dreamscreator","v4.3 - Created by dreamscreator")))))))</f>
        <v>v4.3 - Creato da dreamscreator</v>
      </c>
      <c r="B33" s="315"/>
      <c r="C33" s="315"/>
      <c r="D33" s="315"/>
      <c r="E33" s="316"/>
      <c r="F33" s="317" t="str">
        <f>B60&amp;B61&amp;B62&amp;B63&amp;B64&amp;B65&amp;B66</f>
        <v/>
      </c>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6"/>
      <c r="AP33" s="249"/>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307"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42"/>
      <c r="C34" s="242"/>
      <c r="D34" s="242"/>
      <c r="E34" s="243"/>
      <c r="F34" s="306" t="str">
        <f>IF(J25="Italiano","AVANZAMIENTO GIOCATORI",(IF(J25="Español","MEJORAS DE LOS JUGADORES",(IF(J25="Deutsch","SPIELERVERBESSERUNGEN",(IF(J25="Français","AMÉLIORATIONS DE JOUEURS","PLAYERS UPGRADES")))))))</f>
        <v>AVANZAMIENTO GIOCATORI</v>
      </c>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3"/>
      <c r="AK34" s="47"/>
      <c r="AL34" s="47"/>
      <c r="AM34" s="47"/>
      <c r="AN34" s="47"/>
      <c r="AO34" s="47"/>
      <c r="AP34" s="249"/>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08" t="s">
        <v>51</v>
      </c>
      <c r="B35" s="310" t="str">
        <f>IF($J$25="Italiano","TIPO",(IF($J$25="Español","TIPO",(IF($J$25="Deutsch","POSITION",(IF($J$25="Français","POSTE","TYPE")))))))</f>
        <v>TIPO</v>
      </c>
      <c r="C35" s="285" t="str">
        <f>IF($J$25="Italiano","Avanzamento 1",(IF($J$25="Español","Mejora 1",(IF($J$25="Deutsch","Verbes- serung 1",(IF($J$25="Français","Amélioration 1","Upgrade 1")))))))</f>
        <v>Avanzamento 1</v>
      </c>
      <c r="D35" s="287"/>
      <c r="E35" s="285" t="str">
        <f>IF($J$25="Italiano","Scelto o Casuale",(IF($J$25="Español","Elegida o Aleatoria",(IF($J$25="Deutsch","Ausge- wählt oder zufällig",(IF($J$25="Français","Choisie ou Aléatoire ","Chosen or Random")))))))</f>
        <v>Scelto o Casuale</v>
      </c>
      <c r="F35" s="287"/>
      <c r="G35" s="285" t="str">
        <f>IF($J$25="Italiano","Avanzamento 2",(IF($J$25="Español","Mejora 2",(IF($J$25="Deutsch","Verbes- serung 2",(IF($J$25="Français","Amélioration 2","Upgrade 2")))))))</f>
        <v>Avanzamento 2</v>
      </c>
      <c r="H35" s="286"/>
      <c r="I35" s="286"/>
      <c r="J35" s="287"/>
      <c r="K35" s="285" t="str">
        <f>IF($J$25="Italiano","Scelto o Casuale",(IF($J$25="Español","Elegida o Aleatoria",(IF($J$25="Deutsch","Ausge- wählt oder zufällig",(IF($J$25="Français","Choisie ou Aléatoire ","Chosen or Random")))))))</f>
        <v>Scelto o Casuale</v>
      </c>
      <c r="L35" s="287"/>
      <c r="M35" s="285" t="str">
        <f>IF($J$25="Italiano","Avanzamento 3",(IF($J$25="Español","Mejora 3",(IF($J$25="Deutsch","Verbes- serung 3",(IF($J$25="Français","Amélioration 3","Upgrade 3")))))))</f>
        <v>Avanzamento 3</v>
      </c>
      <c r="N35" s="287"/>
      <c r="O35" s="285" t="str">
        <f>IF($J$25="Italiano","Scelto o Casuale",(IF($J$25="Español","Elegida o Aleatoria",(IF($J$25="Deutsch","Ausge- wählt oder zufällig",(IF($J$25="Français","Choisie ou Aléatoire ","Chosen or Random")))))))</f>
        <v>Scelto o Casuale</v>
      </c>
      <c r="P35" s="287"/>
      <c r="Q35" s="285" t="str">
        <f>IF($J$25="Italiano","Avanzamento 4",(IF($J$25="Español","Mejora 4",(IF($J$25="Deutsch","Verbes- serung 4",(IF($J$25="Français","Amélioration 4","Upgrade 4")))))))</f>
        <v>Avanzamento 4</v>
      </c>
      <c r="R35" s="287"/>
      <c r="S35" s="285" t="str">
        <f>IF($J$25="Italiano","Scelto o Casuale",(IF($J$25="Español","Elegida o Aleatoria",(IF($J$25="Deutsch","Ausge- wählt oder zufällig",(IF($J$25="Français","Choisie ou Aléatoire ","Chosen or Random")))))))</f>
        <v>Scelto o Casuale</v>
      </c>
      <c r="T35" s="287"/>
      <c r="U35" s="285" t="str">
        <f>IF($J$25="Italiano","Avanzamento 5",(IF($J$25="Español","Mejora 5",(IF($J$25="Deutsch","Verbes- serung 5",(IF($J$25="Français","Amélioration 5","Upgrade 5")))))))</f>
        <v>Avanzamento 5</v>
      </c>
      <c r="V35" s="287"/>
      <c r="W35" s="285" t="str">
        <f>IF($J$25="Italiano","Scelto o Casuale",(IF($J$25="Español","Elegida o Aleatoria",(IF($J$25="Deutsch","Ausge- wählt oder zufällig",(IF($J$25="Français","Choisie ou Aléatoire ","Chosen or Random")))))))</f>
        <v>Scelto o Casuale</v>
      </c>
      <c r="X35" s="287"/>
      <c r="Y35" s="285" t="str">
        <f>IF($J$25="Italiano","Avanzamento 6",(IF($J$25="Español","Mejora 6",(IF($J$25="Deutsch","Verbes- serung 6",(IF($J$25="Français","Amélioration 6","Upgrade 6")))))))</f>
        <v>Avanzamento 6</v>
      </c>
      <c r="Z35" s="287"/>
      <c r="AA35" s="285" t="str">
        <f>IF($J$25="Italiano","Scelto o Casuale",(IF($J$25="Español","Elegida o Aleatoria",(IF($J$25="Deutsch","Ausge- wählt oder zufällig",(IF($J$25="Français","Choisie ou Aléatoire ","Chosen or Random")))))))</f>
        <v>Scelto o Casuale</v>
      </c>
      <c r="AB35" s="287"/>
      <c r="AC35" s="285" t="str">
        <f>IF($J$25="Italiano","Modifica Manuale Valore",(IF($J$25="Español","Modificar valor manual",(IF($J$25="Deutsch","Manuelle Wertän- derung",(IF($J$25="Français","Modif. manuelle de Valeur","Manual Modify Value")))))))</f>
        <v>Modifica Manuale Valore</v>
      </c>
      <c r="AD35" s="287"/>
      <c r="AE35" s="285" t="str">
        <f>IF($J$25="Italiano","Modifica Manuale SPP",(IF($J$25="Español","Modificar SPP manual",(IF($J$25="Deutsch","Manuelle SPP derung",(IF($J$25="Français","Modif. manuelle de SPP","Manual Modify SPP")))))))</f>
        <v>Modifica Manuale SPP</v>
      </c>
      <c r="AF35" s="287"/>
      <c r="AG35" s="285" t="str">
        <f>IF($J$25="Italiano","Valore Extra",(IF($J$25="Español","Valor extra",(IF($J$25="Deutsch","Extra Wert",(IF($J$25="Français","Hausse de Valeur","Value Extra")))))))</f>
        <v>Valore Extra</v>
      </c>
      <c r="AH35" s="287"/>
      <c r="AI35" s="291" t="str">
        <f>IF($J$25="Italiano","Costo SPP",(IF($J$25="Español","Coste",(IF($J$25="Deutsch","Σ SPP",(IF($J$25="Français","Coût en PSP","SPP Cost")))))))</f>
        <v>Costo SPP</v>
      </c>
      <c r="AJ35" s="293" t="str">
        <f>IF($J$25="Italiano","Infortuni",(IF($J$25="Español","Lesiones",(IF($J$25="Deutsch","Verletzungen",(IF($J$25="Français","Blessures","Injuries")))))))</f>
        <v>Infortuni</v>
      </c>
      <c r="AK35" s="245"/>
      <c r="AL35" s="245"/>
      <c r="AM35" s="245"/>
      <c r="AN35" s="245"/>
      <c r="AO35" s="246"/>
      <c r="AP35" s="249"/>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309"/>
      <c r="B36" s="292"/>
      <c r="C36" s="288"/>
      <c r="D36" s="290"/>
      <c r="E36" s="288"/>
      <c r="F36" s="290"/>
      <c r="G36" s="288"/>
      <c r="H36" s="289"/>
      <c r="I36" s="289"/>
      <c r="J36" s="290"/>
      <c r="K36" s="288"/>
      <c r="L36" s="290"/>
      <c r="M36" s="288"/>
      <c r="N36" s="290"/>
      <c r="O36" s="288"/>
      <c r="P36" s="290"/>
      <c r="Q36" s="288"/>
      <c r="R36" s="290"/>
      <c r="S36" s="288"/>
      <c r="T36" s="290"/>
      <c r="U36" s="288"/>
      <c r="V36" s="290"/>
      <c r="W36" s="288"/>
      <c r="X36" s="290"/>
      <c r="Y36" s="288"/>
      <c r="Z36" s="290"/>
      <c r="AA36" s="288"/>
      <c r="AB36" s="290"/>
      <c r="AC36" s="288"/>
      <c r="AD36" s="290"/>
      <c r="AE36" s="288"/>
      <c r="AF36" s="290"/>
      <c r="AG36" s="288"/>
      <c r="AH36" s="290"/>
      <c r="AI36" s="292"/>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9"/>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Thrower</v>
      </c>
      <c r="C37" s="261" t="s">
        <v>222</v>
      </c>
      <c r="D37" s="246"/>
      <c r="E37" s="261"/>
      <c r="F37" s="246"/>
      <c r="G37" s="261"/>
      <c r="H37" s="245"/>
      <c r="I37" s="245"/>
      <c r="J37" s="246"/>
      <c r="K37" s="258"/>
      <c r="L37" s="246"/>
      <c r="M37" s="261"/>
      <c r="N37" s="246"/>
      <c r="O37" s="258"/>
      <c r="P37" s="246"/>
      <c r="Q37" s="261"/>
      <c r="R37" s="246"/>
      <c r="S37" s="258"/>
      <c r="T37" s="246"/>
      <c r="U37" s="261"/>
      <c r="V37" s="246"/>
      <c r="W37" s="258"/>
      <c r="X37" s="246"/>
      <c r="Y37" s="261"/>
      <c r="Z37" s="246"/>
      <c r="AA37" s="258"/>
      <c r="AB37" s="246"/>
      <c r="AC37" s="259"/>
      <c r="AD37" s="246"/>
      <c r="AE37" s="281"/>
      <c r="AF37" s="246"/>
      <c r="AG37" s="260">
        <f t="shared" ref="AG37:AG52" si="61">IFERROR(BI40+AC37,0)</f>
        <v>0</v>
      </c>
      <c r="AH37" s="246"/>
      <c r="AI37" s="52">
        <f t="shared" ref="AI37:AI52" si="62">IFERROR(SUM(CU40:CZ40)+AE37,0)</f>
        <v>0</v>
      </c>
      <c r="AJ37" s="53">
        <v>0</v>
      </c>
      <c r="AK37" s="54">
        <v>0</v>
      </c>
      <c r="AL37" s="54">
        <v>0</v>
      </c>
      <c r="AM37" s="54">
        <v>0</v>
      </c>
      <c r="AN37" s="54">
        <v>0</v>
      </c>
      <c r="AO37" s="54">
        <v>0</v>
      </c>
      <c r="AP37" s="249"/>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Blitzer</v>
      </c>
      <c r="C38" s="258" t="s">
        <v>1351</v>
      </c>
      <c r="D38" s="246"/>
      <c r="E38" s="258" t="s">
        <v>1352</v>
      </c>
      <c r="F38" s="246"/>
      <c r="G38" s="258" t="s">
        <v>1361</v>
      </c>
      <c r="H38" s="245"/>
      <c r="I38" s="245"/>
      <c r="J38" s="246"/>
      <c r="K38" s="258" t="s">
        <v>1360</v>
      </c>
      <c r="L38" s="246"/>
      <c r="M38" s="258" t="s">
        <v>1362</v>
      </c>
      <c r="N38" s="246"/>
      <c r="O38" s="258" t="s">
        <v>1360</v>
      </c>
      <c r="P38" s="246"/>
      <c r="Q38" s="258"/>
      <c r="R38" s="246"/>
      <c r="S38" s="258"/>
      <c r="T38" s="246"/>
      <c r="U38" s="258"/>
      <c r="V38" s="246"/>
      <c r="W38" s="258"/>
      <c r="X38" s="246"/>
      <c r="Y38" s="258"/>
      <c r="Z38" s="246"/>
      <c r="AA38" s="258"/>
      <c r="AB38" s="246"/>
      <c r="AC38" s="259"/>
      <c r="AD38" s="246"/>
      <c r="AE38" s="281"/>
      <c r="AF38" s="246"/>
      <c r="AG38" s="260">
        <f t="shared" si="61"/>
        <v>40000</v>
      </c>
      <c r="AH38" s="246"/>
      <c r="AI38" s="52">
        <f t="shared" si="62"/>
        <v>16</v>
      </c>
      <c r="AJ38" s="53">
        <v>0</v>
      </c>
      <c r="AK38" s="54">
        <v>0</v>
      </c>
      <c r="AL38" s="54">
        <v>0</v>
      </c>
      <c r="AM38" s="54">
        <v>0</v>
      </c>
      <c r="AN38" s="54">
        <v>0</v>
      </c>
      <c r="AO38" s="54">
        <v>0</v>
      </c>
      <c r="AP38" s="249"/>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Blitzer</v>
      </c>
      <c r="C39" s="261" t="s">
        <v>1351</v>
      </c>
      <c r="D39" s="246"/>
      <c r="E39" s="261" t="s">
        <v>1352</v>
      </c>
      <c r="F39" s="246"/>
      <c r="G39" s="261"/>
      <c r="H39" s="245"/>
      <c r="I39" s="245"/>
      <c r="J39" s="246"/>
      <c r="K39" s="258"/>
      <c r="L39" s="246"/>
      <c r="M39" s="261"/>
      <c r="N39" s="246"/>
      <c r="O39" s="258"/>
      <c r="P39" s="246"/>
      <c r="Q39" s="261"/>
      <c r="R39" s="246"/>
      <c r="S39" s="258"/>
      <c r="T39" s="246"/>
      <c r="U39" s="261"/>
      <c r="V39" s="246"/>
      <c r="W39" s="258"/>
      <c r="X39" s="246"/>
      <c r="Y39" s="261"/>
      <c r="Z39" s="246"/>
      <c r="AA39" s="258"/>
      <c r="AB39" s="246"/>
      <c r="AC39" s="259"/>
      <c r="AD39" s="246"/>
      <c r="AE39" s="281"/>
      <c r="AF39" s="246"/>
      <c r="AG39" s="260">
        <f t="shared" si="61"/>
        <v>20000</v>
      </c>
      <c r="AH39" s="246"/>
      <c r="AI39" s="52">
        <f t="shared" si="62"/>
        <v>6</v>
      </c>
      <c r="AJ39" s="53">
        <v>0</v>
      </c>
      <c r="AK39" s="54">
        <v>0</v>
      </c>
      <c r="AL39" s="54">
        <v>0</v>
      </c>
      <c r="AM39" s="54">
        <v>0</v>
      </c>
      <c r="AN39" s="54">
        <v>0</v>
      </c>
      <c r="AO39" s="54">
        <v>0</v>
      </c>
      <c r="AP39" s="249"/>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80" t="s">
        <v>235</v>
      </c>
      <c r="BL39" s="279"/>
      <c r="BM39" s="279"/>
      <c r="BN39" s="279"/>
      <c r="BO39" s="279"/>
      <c r="BP39" s="279"/>
      <c r="BQ39" s="12"/>
      <c r="BR39" s="12"/>
      <c r="BS39" s="280" t="s">
        <v>236</v>
      </c>
      <c r="BT39" s="279"/>
      <c r="BU39" s="279"/>
      <c r="BV39" s="279"/>
      <c r="BW39" s="279"/>
      <c r="BX39" s="279"/>
      <c r="BY39" s="12"/>
      <c r="BZ39" s="280" t="s">
        <v>237</v>
      </c>
      <c r="CA39" s="279"/>
      <c r="CB39" s="279"/>
      <c r="CC39" s="279"/>
      <c r="CD39" s="279"/>
      <c r="CE39" s="279"/>
      <c r="CF39" s="12"/>
      <c r="CG39" s="280" t="s">
        <v>238</v>
      </c>
      <c r="CH39" s="279"/>
      <c r="CI39" s="279"/>
      <c r="CJ39" s="279"/>
      <c r="CK39" s="279"/>
      <c r="CL39" s="279"/>
      <c r="CM39" s="12"/>
      <c r="CN39" s="280" t="s">
        <v>239</v>
      </c>
      <c r="CO39" s="279"/>
      <c r="CP39" s="279"/>
      <c r="CQ39" s="279"/>
      <c r="CR39" s="279"/>
      <c r="CS39" s="279"/>
      <c r="CT39" s="12"/>
      <c r="CU39" s="280" t="s">
        <v>240</v>
      </c>
      <c r="CV39" s="279"/>
      <c r="CW39" s="279"/>
      <c r="CX39" s="279"/>
      <c r="CY39" s="279"/>
      <c r="CZ39" s="279"/>
      <c r="DA39" s="48"/>
      <c r="DB39" s="48"/>
    </row>
    <row r="40" spans="1:106" ht="22.5" customHeight="1">
      <c r="A40" s="8">
        <v>4</v>
      </c>
      <c r="B40" s="51" t="str">
        <f t="shared" si="60"/>
        <v>Blitzer</v>
      </c>
      <c r="C40" s="258"/>
      <c r="D40" s="246"/>
      <c r="E40" s="258"/>
      <c r="F40" s="246"/>
      <c r="G40" s="258"/>
      <c r="H40" s="245"/>
      <c r="I40" s="245"/>
      <c r="J40" s="246"/>
      <c r="K40" s="258"/>
      <c r="L40" s="246"/>
      <c r="M40" s="258"/>
      <c r="N40" s="246"/>
      <c r="O40" s="258"/>
      <c r="P40" s="246"/>
      <c r="Q40" s="258"/>
      <c r="R40" s="246"/>
      <c r="S40" s="258"/>
      <c r="T40" s="246"/>
      <c r="U40" s="258"/>
      <c r="V40" s="246"/>
      <c r="W40" s="258"/>
      <c r="X40" s="246"/>
      <c r="Y40" s="258"/>
      <c r="Z40" s="246"/>
      <c r="AA40" s="258"/>
      <c r="AB40" s="246"/>
      <c r="AC40" s="259"/>
      <c r="AD40" s="246"/>
      <c r="AE40" s="281"/>
      <c r="AF40" s="246"/>
      <c r="AG40" s="260">
        <f t="shared" si="61"/>
        <v>0</v>
      </c>
      <c r="AH40" s="246"/>
      <c r="AI40" s="52">
        <f t="shared" si="62"/>
        <v>0</v>
      </c>
      <c r="AJ40" s="53">
        <v>0</v>
      </c>
      <c r="AK40" s="54">
        <v>0</v>
      </c>
      <c r="AL40" s="54">
        <v>0</v>
      </c>
      <c r="AM40" s="54">
        <v>0</v>
      </c>
      <c r="AN40" s="54">
        <v>0</v>
      </c>
      <c r="AO40" s="54">
        <v>0</v>
      </c>
      <c r="AP40" s="249"/>
      <c r="AQ40" s="48"/>
      <c r="AR40" s="48"/>
      <c r="AS40" s="48"/>
      <c r="AT40" s="48"/>
      <c r="AU40" s="48"/>
      <c r="AV40" s="48"/>
      <c r="AW40" s="48"/>
      <c r="AX40" s="12" t="str">
        <f t="shared" ref="AX40:AX55" si="63">B37</f>
        <v>Thrower</v>
      </c>
      <c r="AY40" s="12" t="str">
        <f>IFERROR((VLOOKUP($BO$1&amp;B37,Teams!D:S,12,0)),0)</f>
        <v>P</v>
      </c>
      <c r="AZ40" s="12" t="str">
        <f>IFERROR((VLOOKUP($BO$1&amp;B37,Teams!D:S,13,0)),0)</f>
        <v>S</v>
      </c>
      <c r="BA40" s="12" t="str">
        <f>IFERROR((VLOOKUP($BO$1&amp;B37,Teams!D:S,14,0)),0)</f>
        <v>P</v>
      </c>
      <c r="BB40" s="12" t="str">
        <f>IFERROR((VLOOKUP($BO$1&amp;B37,Teams!D:S,15,0)),0)</f>
        <v>P</v>
      </c>
      <c r="BC40" s="12">
        <f>IFERROR((VLOOKUP($BO$1&amp;B37,Teams!D:S,16,0)),0)</f>
        <v>0</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Blitzer</v>
      </c>
      <c r="C41" s="258" t="s">
        <v>1351</v>
      </c>
      <c r="D41" s="246"/>
      <c r="E41" s="258" t="s">
        <v>1352</v>
      </c>
      <c r="F41" s="246"/>
      <c r="G41" s="258"/>
      <c r="H41" s="245"/>
      <c r="I41" s="245"/>
      <c r="J41" s="246"/>
      <c r="K41" s="258"/>
      <c r="L41" s="246"/>
      <c r="M41" s="258"/>
      <c r="N41" s="246"/>
      <c r="O41" s="258"/>
      <c r="P41" s="246"/>
      <c r="Q41" s="258"/>
      <c r="R41" s="246"/>
      <c r="S41" s="258"/>
      <c r="T41" s="246"/>
      <c r="U41" s="258"/>
      <c r="V41" s="246"/>
      <c r="W41" s="258"/>
      <c r="X41" s="246"/>
      <c r="Y41" s="258"/>
      <c r="Z41" s="246"/>
      <c r="AA41" s="258"/>
      <c r="AB41" s="246"/>
      <c r="AC41" s="259"/>
      <c r="AD41" s="246"/>
      <c r="AE41" s="259"/>
      <c r="AF41" s="246"/>
      <c r="AG41" s="260">
        <f t="shared" si="61"/>
        <v>20000</v>
      </c>
      <c r="AH41" s="246"/>
      <c r="AI41" s="52">
        <f t="shared" si="62"/>
        <v>6</v>
      </c>
      <c r="AJ41" s="53">
        <v>0</v>
      </c>
      <c r="AK41" s="54">
        <v>0</v>
      </c>
      <c r="AL41" s="54">
        <v>0</v>
      </c>
      <c r="AM41" s="54">
        <v>0</v>
      </c>
      <c r="AN41" s="54">
        <v>0</v>
      </c>
      <c r="AO41" s="54">
        <v>0</v>
      </c>
      <c r="AP41" s="249"/>
      <c r="AQ41" s="48"/>
      <c r="AR41" s="48"/>
      <c r="AS41" s="48"/>
      <c r="AT41" s="48"/>
      <c r="AU41" s="48"/>
      <c r="AV41" s="48"/>
      <c r="AW41" s="48"/>
      <c r="AX41" s="12" t="str">
        <f t="shared" si="63"/>
        <v>Blitzer</v>
      </c>
      <c r="AY41" s="12" t="str">
        <f>IFERROR((VLOOKUP($BO$1&amp;B38,Teams!D:S,12,0)),0)</f>
        <v>P</v>
      </c>
      <c r="AZ41" s="12" t="str">
        <f>IFERROR((VLOOKUP($BO$1&amp;B38,Teams!D:S,13,0)),0)</f>
        <v>S</v>
      </c>
      <c r="BA41" s="12" t="str">
        <f>IFERROR((VLOOKUP($BO$1&amp;B38,Teams!D:S,14,0)),0)</f>
        <v>P</v>
      </c>
      <c r="BB41" s="12" t="str">
        <f>IFERROR((VLOOKUP($BO$1&amp;B38,Teams!D:S,15,0)),0)</f>
        <v>S</v>
      </c>
      <c r="BC41" s="12">
        <f>IFERROR((VLOOKUP($BO$1&amp;B38,Teams!D:S,16,0)),0)</f>
        <v>0</v>
      </c>
      <c r="BD41" s="12">
        <v>20000</v>
      </c>
      <c r="BE41" s="12">
        <v>10000</v>
      </c>
      <c r="BF41" s="12">
        <v>40000</v>
      </c>
      <c r="BG41" s="12">
        <v>20000</v>
      </c>
      <c r="BH41" s="12">
        <v>80000</v>
      </c>
      <c r="BI41" s="12">
        <f t="shared" si="64"/>
        <v>40000</v>
      </c>
      <c r="BJ41" s="2"/>
      <c r="BK41" s="12" t="str">
        <f t="shared" si="65"/>
        <v>G</v>
      </c>
      <c r="BL41" s="12" t="str">
        <f t="shared" si="66"/>
        <v>G</v>
      </c>
      <c r="BM41" s="12" t="str">
        <f t="shared" si="67"/>
        <v>S</v>
      </c>
      <c r="BN41" s="12">
        <f t="shared" si="68"/>
        <v>0</v>
      </c>
      <c r="BO41" s="12">
        <f t="shared" si="69"/>
        <v>0</v>
      </c>
      <c r="BP41" s="12">
        <f t="shared" si="70"/>
        <v>0</v>
      </c>
      <c r="BQ41" s="2"/>
      <c r="BR41" s="2"/>
      <c r="BS41" s="12" t="str">
        <f t="shared" si="71"/>
        <v>P</v>
      </c>
      <c r="BT41" s="12" t="str">
        <f t="shared" si="72"/>
        <v>P</v>
      </c>
      <c r="BU41" s="12" t="str">
        <f t="shared" si="73"/>
        <v>P</v>
      </c>
      <c r="BV41" s="12">
        <f t="shared" si="74"/>
        <v>0</v>
      </c>
      <c r="BW41" s="12">
        <f t="shared" si="75"/>
        <v>0</v>
      </c>
      <c r="BX41" s="12">
        <f t="shared" si="76"/>
        <v>0</v>
      </c>
      <c r="BY41" s="12"/>
      <c r="BZ41" s="12" t="str">
        <f t="shared" si="77"/>
        <v>Chosen</v>
      </c>
      <c r="CA41" s="12" t="str">
        <f t="shared" si="78"/>
        <v>Random</v>
      </c>
      <c r="CB41" s="12" t="str">
        <f t="shared" si="79"/>
        <v>Random</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10000</v>
      </c>
      <c r="CI41" s="12">
        <f t="shared" si="91"/>
        <v>10000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4</v>
      </c>
      <c r="CW41" s="12">
        <f t="shared" si="87"/>
        <v>6</v>
      </c>
      <c r="CX41" s="12">
        <f t="shared" si="88"/>
        <v>0</v>
      </c>
      <c r="CY41" s="12">
        <f t="shared" si="89"/>
        <v>0</v>
      </c>
      <c r="CZ41" s="12">
        <f t="shared" si="90"/>
        <v>0</v>
      </c>
      <c r="DA41" s="48"/>
      <c r="DB41" s="48"/>
    </row>
    <row r="42" spans="1:106" ht="22.5" customHeight="1">
      <c r="A42" s="8">
        <v>6</v>
      </c>
      <c r="B42" s="51" t="str">
        <f t="shared" si="60"/>
        <v>Big Un</v>
      </c>
      <c r="C42" s="258" t="s">
        <v>222</v>
      </c>
      <c r="D42" s="246"/>
      <c r="E42" s="258"/>
      <c r="F42" s="246"/>
      <c r="G42" s="258"/>
      <c r="H42" s="245"/>
      <c r="I42" s="245"/>
      <c r="J42" s="246"/>
      <c r="K42" s="258"/>
      <c r="L42" s="246"/>
      <c r="M42" s="258"/>
      <c r="N42" s="246"/>
      <c r="O42" s="258"/>
      <c r="P42" s="246"/>
      <c r="Q42" s="258"/>
      <c r="R42" s="246"/>
      <c r="S42" s="258"/>
      <c r="T42" s="246"/>
      <c r="U42" s="258"/>
      <c r="V42" s="246"/>
      <c r="W42" s="258"/>
      <c r="X42" s="246"/>
      <c r="Y42" s="258"/>
      <c r="Z42" s="246"/>
      <c r="AA42" s="258"/>
      <c r="AB42" s="246"/>
      <c r="AC42" s="259"/>
      <c r="AD42" s="246"/>
      <c r="AE42" s="259"/>
      <c r="AF42" s="246"/>
      <c r="AG42" s="260">
        <f t="shared" si="61"/>
        <v>0</v>
      </c>
      <c r="AH42" s="246"/>
      <c r="AI42" s="52">
        <f t="shared" si="62"/>
        <v>0</v>
      </c>
      <c r="AJ42" s="53">
        <v>0</v>
      </c>
      <c r="AK42" s="54">
        <v>0</v>
      </c>
      <c r="AL42" s="54">
        <v>0</v>
      </c>
      <c r="AM42" s="54">
        <v>0</v>
      </c>
      <c r="AN42" s="54">
        <v>0</v>
      </c>
      <c r="AO42" s="54">
        <v>0</v>
      </c>
      <c r="AP42" s="249"/>
      <c r="AQ42" s="48"/>
      <c r="AR42" s="48"/>
      <c r="AS42" s="48"/>
      <c r="AT42" s="48"/>
      <c r="AU42" s="48"/>
      <c r="AV42" s="48"/>
      <c r="AW42" s="48"/>
      <c r="AX42" s="12" t="str">
        <f t="shared" si="63"/>
        <v>Blitzer</v>
      </c>
      <c r="AY42" s="12" t="str">
        <f>IFERROR((VLOOKUP($BO$1&amp;B39,Teams!D:S,12,0)),0)</f>
        <v>P</v>
      </c>
      <c r="AZ42" s="12" t="str">
        <f>IFERROR((VLOOKUP($BO$1&amp;B39,Teams!D:S,13,0)),0)</f>
        <v>S</v>
      </c>
      <c r="BA42" s="12" t="str">
        <f>IFERROR((VLOOKUP($BO$1&amp;B39,Teams!D:S,14,0)),0)</f>
        <v>P</v>
      </c>
      <c r="BB42" s="12" t="str">
        <f>IFERROR((VLOOKUP($BO$1&amp;B39,Teams!D:S,15,0)),0)</f>
        <v>S</v>
      </c>
      <c r="BC42" s="12">
        <f>IFERROR((VLOOKUP($BO$1&amp;B39,Teams!D:S,16,0)),0)</f>
        <v>0</v>
      </c>
      <c r="BD42" s="12">
        <v>20000</v>
      </c>
      <c r="BE42" s="12">
        <v>10000</v>
      </c>
      <c r="BF42" s="12">
        <v>40000</v>
      </c>
      <c r="BG42" s="12">
        <v>20000</v>
      </c>
      <c r="BH42" s="12">
        <v>80000</v>
      </c>
      <c r="BI42" s="12">
        <f t="shared" si="64"/>
        <v>20000</v>
      </c>
      <c r="BJ42" s="2"/>
      <c r="BK42" s="12" t="str">
        <f t="shared" si="65"/>
        <v>G</v>
      </c>
      <c r="BL42" s="12">
        <f t="shared" si="66"/>
        <v>0</v>
      </c>
      <c r="BM42" s="12">
        <f t="shared" si="67"/>
        <v>0</v>
      </c>
      <c r="BN42" s="12">
        <f t="shared" si="68"/>
        <v>0</v>
      </c>
      <c r="BO42" s="12">
        <f t="shared" si="69"/>
        <v>0</v>
      </c>
      <c r="BP42" s="12">
        <f t="shared" si="70"/>
        <v>0</v>
      </c>
      <c r="BQ42" s="2"/>
      <c r="BR42" s="2"/>
      <c r="BS42" s="12" t="str">
        <f t="shared" si="71"/>
        <v>P</v>
      </c>
      <c r="BT42" s="12">
        <f t="shared" si="72"/>
        <v>0</v>
      </c>
      <c r="BU42" s="12">
        <f t="shared" si="73"/>
        <v>0</v>
      </c>
      <c r="BV42" s="12">
        <f t="shared" si="74"/>
        <v>0</v>
      </c>
      <c r="BW42" s="12">
        <f t="shared" si="75"/>
        <v>0</v>
      </c>
      <c r="BX42" s="12">
        <f t="shared" si="76"/>
        <v>0</v>
      </c>
      <c r="BY42" s="12"/>
      <c r="BZ42" s="12" t="str">
        <f t="shared" si="77"/>
        <v>Chosen</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20000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6</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Big Un</v>
      </c>
      <c r="C43" s="258"/>
      <c r="D43" s="246"/>
      <c r="E43" s="258"/>
      <c r="F43" s="246"/>
      <c r="G43" s="258"/>
      <c r="H43" s="245"/>
      <c r="I43" s="245"/>
      <c r="J43" s="246"/>
      <c r="K43" s="258"/>
      <c r="L43" s="246"/>
      <c r="M43" s="258"/>
      <c r="N43" s="246"/>
      <c r="O43" s="258"/>
      <c r="P43" s="246"/>
      <c r="Q43" s="258"/>
      <c r="R43" s="246"/>
      <c r="S43" s="258"/>
      <c r="T43" s="246"/>
      <c r="U43" s="258"/>
      <c r="V43" s="246"/>
      <c r="W43" s="258"/>
      <c r="X43" s="246"/>
      <c r="Y43" s="258"/>
      <c r="Z43" s="246"/>
      <c r="AA43" s="258"/>
      <c r="AB43" s="246"/>
      <c r="AC43" s="259"/>
      <c r="AD43" s="246"/>
      <c r="AE43" s="259"/>
      <c r="AF43" s="246"/>
      <c r="AG43" s="260">
        <f t="shared" si="61"/>
        <v>0</v>
      </c>
      <c r="AH43" s="246"/>
      <c r="AI43" s="52">
        <f t="shared" si="62"/>
        <v>0</v>
      </c>
      <c r="AJ43" s="53">
        <v>1</v>
      </c>
      <c r="AK43" s="54">
        <v>0</v>
      </c>
      <c r="AL43" s="54">
        <v>0</v>
      </c>
      <c r="AM43" s="54">
        <v>0</v>
      </c>
      <c r="AN43" s="54">
        <v>0</v>
      </c>
      <c r="AO43" s="54">
        <v>0</v>
      </c>
      <c r="AP43" s="249"/>
      <c r="AQ43" s="48"/>
      <c r="AR43" s="48"/>
      <c r="AS43" s="48"/>
      <c r="AT43" s="48"/>
      <c r="AU43" s="48"/>
      <c r="AV43" s="48"/>
      <c r="AW43" s="48"/>
      <c r="AX43" s="12" t="str">
        <f t="shared" si="63"/>
        <v>Blitzer</v>
      </c>
      <c r="AY43" s="12" t="str">
        <f>IFERROR((VLOOKUP($BO$1&amp;B40,Teams!D:S,12,0)),0)</f>
        <v>P</v>
      </c>
      <c r="AZ43" s="12" t="str">
        <f>IFERROR((VLOOKUP($BO$1&amp;B40,Teams!D:S,13,0)),0)</f>
        <v>S</v>
      </c>
      <c r="BA43" s="12" t="str">
        <f>IFERROR((VLOOKUP($BO$1&amp;B40,Teams!D:S,14,0)),0)</f>
        <v>P</v>
      </c>
      <c r="BB43" s="12" t="str">
        <f>IFERROR((VLOOKUP($BO$1&amp;B40,Teams!D:S,15,0)),0)</f>
        <v>S</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Big Un</v>
      </c>
      <c r="C44" s="258" t="s">
        <v>532</v>
      </c>
      <c r="D44" s="246"/>
      <c r="E44" s="258" t="s">
        <v>1352</v>
      </c>
      <c r="F44" s="246"/>
      <c r="G44" s="258" t="s">
        <v>1359</v>
      </c>
      <c r="H44" s="245"/>
      <c r="I44" s="245"/>
      <c r="J44" s="246"/>
      <c r="K44" s="258" t="s">
        <v>1360</v>
      </c>
      <c r="L44" s="246"/>
      <c r="M44" s="258"/>
      <c r="N44" s="246"/>
      <c r="O44" s="258"/>
      <c r="P44" s="246"/>
      <c r="Q44" s="258"/>
      <c r="R44" s="246"/>
      <c r="S44" s="258"/>
      <c r="T44" s="246"/>
      <c r="U44" s="258"/>
      <c r="V44" s="246"/>
      <c r="W44" s="258"/>
      <c r="X44" s="246"/>
      <c r="Y44" s="258"/>
      <c r="Z44" s="246"/>
      <c r="AA44" s="258"/>
      <c r="AB44" s="246"/>
      <c r="AC44" s="259"/>
      <c r="AD44" s="246"/>
      <c r="AE44" s="259"/>
      <c r="AF44" s="246"/>
      <c r="AG44" s="260">
        <f t="shared" si="61"/>
        <v>30000</v>
      </c>
      <c r="AH44" s="246"/>
      <c r="AI44" s="52">
        <f t="shared" si="62"/>
        <v>10</v>
      </c>
      <c r="AJ44" s="53">
        <v>0</v>
      </c>
      <c r="AK44" s="54">
        <v>0</v>
      </c>
      <c r="AL44" s="54">
        <v>0</v>
      </c>
      <c r="AM44" s="54">
        <v>0</v>
      </c>
      <c r="AN44" s="54">
        <v>0</v>
      </c>
      <c r="AO44" s="54">
        <v>0</v>
      </c>
      <c r="AP44" s="249"/>
      <c r="AQ44" s="48"/>
      <c r="AR44" s="48"/>
      <c r="AS44" s="48"/>
      <c r="AT44" s="48"/>
      <c r="AU44" s="48"/>
      <c r="AV44" s="48"/>
      <c r="AW44" s="48"/>
      <c r="AX44" s="12" t="str">
        <f t="shared" si="63"/>
        <v>Blitzer</v>
      </c>
      <c r="AY44" s="12" t="str">
        <f>IFERROR((VLOOKUP($BO$1&amp;B41,Teams!D:S,12,0)),0)</f>
        <v>P</v>
      </c>
      <c r="AZ44" s="12" t="str">
        <f>IFERROR((VLOOKUP($BO$1&amp;B41,Teams!D:S,13,0)),0)</f>
        <v>S</v>
      </c>
      <c r="BA44" s="12" t="str">
        <f>IFERROR((VLOOKUP($BO$1&amp;B41,Teams!D:S,14,0)),0)</f>
        <v>P</v>
      </c>
      <c r="BB44" s="12" t="str">
        <f>IFERROR((VLOOKUP($BO$1&amp;B41,Teams!D:S,15,0)),0)</f>
        <v>S</v>
      </c>
      <c r="BC44" s="12">
        <f>IFERROR((VLOOKUP($BO$1&amp;B41,Teams!D:S,16,0)),0)</f>
        <v>0</v>
      </c>
      <c r="BD44" s="12">
        <v>20000</v>
      </c>
      <c r="BE44" s="12">
        <v>10000</v>
      </c>
      <c r="BF44" s="12">
        <v>40000</v>
      </c>
      <c r="BG44" s="12">
        <v>20000</v>
      </c>
      <c r="BH44" s="12">
        <v>80000</v>
      </c>
      <c r="BI44" s="12">
        <f t="shared" si="64"/>
        <v>20000</v>
      </c>
      <c r="BJ44" s="2"/>
      <c r="BK44" s="12" t="str">
        <f t="shared" si="65"/>
        <v>G</v>
      </c>
      <c r="BL44" s="12">
        <f t="shared" si="66"/>
        <v>0</v>
      </c>
      <c r="BM44" s="12">
        <f t="shared" si="67"/>
        <v>0</v>
      </c>
      <c r="BN44" s="12">
        <f t="shared" si="68"/>
        <v>0</v>
      </c>
      <c r="BO44" s="12">
        <f t="shared" si="69"/>
        <v>0</v>
      </c>
      <c r="BP44" s="12">
        <f t="shared" si="70"/>
        <v>0</v>
      </c>
      <c r="BQ44" s="2"/>
      <c r="BR44" s="2"/>
      <c r="BS44" s="12" t="str">
        <f t="shared" si="71"/>
        <v>P</v>
      </c>
      <c r="BT44" s="12">
        <f t="shared" si="72"/>
        <v>0</v>
      </c>
      <c r="BU44" s="12">
        <f t="shared" si="73"/>
        <v>0</v>
      </c>
      <c r="BV44" s="12">
        <f t="shared" si="74"/>
        <v>0</v>
      </c>
      <c r="BW44" s="12">
        <f t="shared" si="75"/>
        <v>0</v>
      </c>
      <c r="BX44" s="12">
        <f t="shared" si="76"/>
        <v>0</v>
      </c>
      <c r="BY44" s="12"/>
      <c r="BZ44" s="12" t="str">
        <f t="shared" si="77"/>
        <v>Chosen</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20000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6</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Big Un</v>
      </c>
      <c r="C45" s="258" t="s">
        <v>532</v>
      </c>
      <c r="D45" s="246"/>
      <c r="E45" s="258" t="s">
        <v>1352</v>
      </c>
      <c r="F45" s="246"/>
      <c r="G45" s="258"/>
      <c r="H45" s="245"/>
      <c r="I45" s="245"/>
      <c r="J45" s="246"/>
      <c r="K45" s="258"/>
      <c r="L45" s="246"/>
      <c r="M45" s="258"/>
      <c r="N45" s="246"/>
      <c r="O45" s="258"/>
      <c r="P45" s="246"/>
      <c r="Q45" s="258"/>
      <c r="R45" s="246"/>
      <c r="S45" s="258"/>
      <c r="T45" s="246"/>
      <c r="U45" s="258"/>
      <c r="V45" s="246"/>
      <c r="W45" s="258"/>
      <c r="X45" s="246"/>
      <c r="Y45" s="258"/>
      <c r="Z45" s="246"/>
      <c r="AA45" s="258"/>
      <c r="AB45" s="246"/>
      <c r="AC45" s="259"/>
      <c r="AD45" s="246"/>
      <c r="AE45" s="259"/>
      <c r="AF45" s="246"/>
      <c r="AG45" s="260">
        <f t="shared" si="61"/>
        <v>20000</v>
      </c>
      <c r="AH45" s="246"/>
      <c r="AI45" s="52">
        <f t="shared" si="62"/>
        <v>6</v>
      </c>
      <c r="AJ45" s="53">
        <v>0</v>
      </c>
      <c r="AK45" s="54">
        <v>0</v>
      </c>
      <c r="AL45" s="54">
        <v>0</v>
      </c>
      <c r="AM45" s="54">
        <v>0</v>
      </c>
      <c r="AN45" s="54">
        <v>0</v>
      </c>
      <c r="AO45" s="54">
        <v>0</v>
      </c>
      <c r="AP45" s="249"/>
      <c r="AQ45" s="48"/>
      <c r="AR45" s="48"/>
      <c r="AS45" s="48"/>
      <c r="AT45" s="48"/>
      <c r="AU45" s="48"/>
      <c r="AV45" s="48"/>
      <c r="AW45" s="48"/>
      <c r="AX45" s="12" t="str">
        <f t="shared" si="63"/>
        <v>Big Un</v>
      </c>
      <c r="AY45" s="12" t="str">
        <f>IFERROR((VLOOKUP($BO$1&amp;B42,Teams!D:S,12,0)),0)</f>
        <v>P</v>
      </c>
      <c r="AZ45" s="12" t="str">
        <f>IFERROR((VLOOKUP($BO$1&amp;B42,Teams!D:S,13,0)),0)</f>
        <v>S</v>
      </c>
      <c r="BA45" s="12" t="str">
        <f>IFERROR((VLOOKUP($BO$1&amp;B42,Teams!D:S,14,0)),0)</f>
        <v>P</v>
      </c>
      <c r="BB45" s="12">
        <f>IFERROR((VLOOKUP($BO$1&amp;B42,Teams!D:S,15,0)),0)</f>
        <v>0</v>
      </c>
      <c r="BC45" s="12">
        <f>IFERROR((VLOOKUP($BO$1&amp;B42,Teams!D:S,16,0)),0)</f>
        <v>0</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Lineman</v>
      </c>
      <c r="C46" s="258" t="s">
        <v>532</v>
      </c>
      <c r="D46" s="246"/>
      <c r="E46" s="258" t="s">
        <v>1352</v>
      </c>
      <c r="F46" s="246"/>
      <c r="G46" s="258"/>
      <c r="H46" s="245"/>
      <c r="I46" s="245"/>
      <c r="J46" s="246"/>
      <c r="K46" s="258"/>
      <c r="L46" s="246"/>
      <c r="M46" s="258"/>
      <c r="N46" s="246"/>
      <c r="O46" s="258"/>
      <c r="P46" s="246"/>
      <c r="Q46" s="258"/>
      <c r="R46" s="246"/>
      <c r="S46" s="258"/>
      <c r="T46" s="246"/>
      <c r="U46" s="258"/>
      <c r="V46" s="246"/>
      <c r="W46" s="258"/>
      <c r="X46" s="246"/>
      <c r="Y46" s="258"/>
      <c r="Z46" s="246"/>
      <c r="AA46" s="258"/>
      <c r="AB46" s="246"/>
      <c r="AC46" s="259"/>
      <c r="AD46" s="246"/>
      <c r="AE46" s="259"/>
      <c r="AF46" s="246"/>
      <c r="AG46" s="260">
        <f t="shared" si="61"/>
        <v>20000</v>
      </c>
      <c r="AH46" s="246"/>
      <c r="AI46" s="52">
        <f t="shared" si="62"/>
        <v>6</v>
      </c>
      <c r="AJ46" s="53">
        <v>0</v>
      </c>
      <c r="AK46" s="54">
        <v>0</v>
      </c>
      <c r="AL46" s="54">
        <v>0</v>
      </c>
      <c r="AM46" s="54">
        <v>0</v>
      </c>
      <c r="AN46" s="54">
        <v>0</v>
      </c>
      <c r="AO46" s="54">
        <v>0</v>
      </c>
      <c r="AP46" s="249"/>
      <c r="AQ46" s="48"/>
      <c r="AR46" s="48"/>
      <c r="AS46" s="48"/>
      <c r="AT46" s="48"/>
      <c r="AU46" s="48"/>
      <c r="AV46" s="48"/>
      <c r="AW46" s="48"/>
      <c r="AX46" s="12" t="str">
        <f t="shared" si="63"/>
        <v>Big Un</v>
      </c>
      <c r="AY46" s="12" t="str">
        <f>IFERROR((VLOOKUP($BO$1&amp;B43,Teams!D:S,12,0)),0)</f>
        <v>P</v>
      </c>
      <c r="AZ46" s="12" t="str">
        <f>IFERROR((VLOOKUP($BO$1&amp;B43,Teams!D:S,13,0)),0)</f>
        <v>S</v>
      </c>
      <c r="BA46" s="12" t="str">
        <f>IFERROR((VLOOKUP($BO$1&amp;B43,Teams!D:S,14,0)),0)</f>
        <v>P</v>
      </c>
      <c r="BB46" s="12">
        <f>IFERROR((VLOOKUP($BO$1&amp;B43,Teams!D:S,15,0)),0)</f>
        <v>0</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Lineman</v>
      </c>
      <c r="C47" s="258"/>
      <c r="D47" s="246"/>
      <c r="E47" s="258"/>
      <c r="F47" s="246"/>
      <c r="G47" s="258"/>
      <c r="H47" s="245"/>
      <c r="I47" s="245"/>
      <c r="J47" s="246"/>
      <c r="K47" s="258"/>
      <c r="L47" s="246"/>
      <c r="M47" s="258"/>
      <c r="N47" s="246"/>
      <c r="O47" s="258"/>
      <c r="P47" s="246"/>
      <c r="Q47" s="258"/>
      <c r="R47" s="246"/>
      <c r="S47" s="258"/>
      <c r="T47" s="246"/>
      <c r="U47" s="258"/>
      <c r="V47" s="246"/>
      <c r="W47" s="258"/>
      <c r="X47" s="246"/>
      <c r="Y47" s="258"/>
      <c r="Z47" s="246"/>
      <c r="AA47" s="258"/>
      <c r="AB47" s="246"/>
      <c r="AC47" s="259"/>
      <c r="AD47" s="246"/>
      <c r="AE47" s="259"/>
      <c r="AF47" s="246"/>
      <c r="AG47" s="260">
        <f t="shared" si="61"/>
        <v>0</v>
      </c>
      <c r="AH47" s="246"/>
      <c r="AI47" s="52">
        <f t="shared" si="62"/>
        <v>0</v>
      </c>
      <c r="AJ47" s="53">
        <v>0</v>
      </c>
      <c r="AK47" s="54">
        <v>0</v>
      </c>
      <c r="AL47" s="54">
        <v>0</v>
      </c>
      <c r="AM47" s="54">
        <v>0</v>
      </c>
      <c r="AN47" s="54">
        <v>0</v>
      </c>
      <c r="AO47" s="54">
        <v>0</v>
      </c>
      <c r="AP47" s="249"/>
      <c r="AQ47" s="48"/>
      <c r="AR47" s="48"/>
      <c r="AS47" s="48"/>
      <c r="AT47" s="48"/>
      <c r="AU47" s="48"/>
      <c r="AV47" s="48"/>
      <c r="AW47" s="48"/>
      <c r="AX47" s="12" t="str">
        <f t="shared" si="63"/>
        <v>Big Un</v>
      </c>
      <c r="AY47" s="12" t="str">
        <f>IFERROR((VLOOKUP($BO$1&amp;B44,Teams!D:S,12,0)),0)</f>
        <v>P</v>
      </c>
      <c r="AZ47" s="12" t="str">
        <f>IFERROR((VLOOKUP($BO$1&amp;B44,Teams!D:S,13,0)),0)</f>
        <v>S</v>
      </c>
      <c r="BA47" s="12" t="str">
        <f>IFERROR((VLOOKUP($BO$1&amp;B44,Teams!D:S,14,0)),0)</f>
        <v>P</v>
      </c>
      <c r="BB47" s="12">
        <f>IFERROR((VLOOKUP($BO$1&amp;B44,Teams!D:S,15,0)),0)</f>
        <v>0</v>
      </c>
      <c r="BC47" s="12">
        <f>IFERROR((VLOOKUP($BO$1&amp;B44,Teams!D:S,16,0)),0)</f>
        <v>0</v>
      </c>
      <c r="BD47" s="12">
        <v>20000</v>
      </c>
      <c r="BE47" s="12">
        <v>10000</v>
      </c>
      <c r="BF47" s="12">
        <v>40000</v>
      </c>
      <c r="BG47" s="12">
        <v>20000</v>
      </c>
      <c r="BH47" s="12">
        <v>80000</v>
      </c>
      <c r="BI47" s="12">
        <f t="shared" si="64"/>
        <v>30000</v>
      </c>
      <c r="BJ47" s="12"/>
      <c r="BK47" s="12" t="str">
        <f t="shared" si="65"/>
        <v>G</v>
      </c>
      <c r="BL47" s="12" t="str">
        <f t="shared" si="66"/>
        <v>G</v>
      </c>
      <c r="BM47" s="12">
        <f t="shared" si="67"/>
        <v>0</v>
      </c>
      <c r="BN47" s="12">
        <f t="shared" si="68"/>
        <v>0</v>
      </c>
      <c r="BO47" s="12">
        <f t="shared" si="69"/>
        <v>0</v>
      </c>
      <c r="BP47" s="12">
        <f t="shared" si="70"/>
        <v>0</v>
      </c>
      <c r="BQ47" s="2"/>
      <c r="BR47" s="2"/>
      <c r="BS47" s="12" t="str">
        <f t="shared" si="71"/>
        <v>P</v>
      </c>
      <c r="BT47" s="12" t="str">
        <f t="shared" si="72"/>
        <v>P</v>
      </c>
      <c r="BU47" s="12">
        <f t="shared" si="73"/>
        <v>0</v>
      </c>
      <c r="BV47" s="12">
        <f t="shared" si="74"/>
        <v>0</v>
      </c>
      <c r="BW47" s="12">
        <f t="shared" si="75"/>
        <v>0</v>
      </c>
      <c r="BX47" s="12">
        <f t="shared" si="76"/>
        <v>0</v>
      </c>
      <c r="BY47" s="12"/>
      <c r="BZ47" s="12" t="str">
        <f t="shared" si="77"/>
        <v>Chosen</v>
      </c>
      <c r="CA47" s="12" t="str">
        <f t="shared" si="78"/>
        <v>Random</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20000</v>
      </c>
      <c r="CH47" s="12">
        <f t="shared" si="103"/>
        <v>10000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6</v>
      </c>
      <c r="CV47" s="12">
        <f t="shared" si="86"/>
        <v>4</v>
      </c>
      <c r="CW47" s="12">
        <f t="shared" si="87"/>
        <v>0</v>
      </c>
      <c r="CX47" s="12">
        <f t="shared" si="88"/>
        <v>0</v>
      </c>
      <c r="CY47" s="12">
        <f t="shared" si="89"/>
        <v>0</v>
      </c>
      <c r="CZ47" s="12">
        <f t="shared" si="90"/>
        <v>0</v>
      </c>
      <c r="DA47" s="48"/>
      <c r="DB47" s="48"/>
    </row>
    <row r="48" spans="1:106" ht="22.5" customHeight="1">
      <c r="A48" s="8">
        <v>12</v>
      </c>
      <c r="B48" s="51" t="str">
        <f t="shared" si="60"/>
        <v>Lineman</v>
      </c>
      <c r="C48" s="258"/>
      <c r="D48" s="246"/>
      <c r="E48" s="258"/>
      <c r="F48" s="246"/>
      <c r="G48" s="258"/>
      <c r="H48" s="245"/>
      <c r="I48" s="245"/>
      <c r="J48" s="246"/>
      <c r="K48" s="258"/>
      <c r="L48" s="246"/>
      <c r="M48" s="258"/>
      <c r="N48" s="246"/>
      <c r="O48" s="258"/>
      <c r="P48" s="246"/>
      <c r="Q48" s="258"/>
      <c r="R48" s="246"/>
      <c r="S48" s="258"/>
      <c r="T48" s="246"/>
      <c r="U48" s="258"/>
      <c r="V48" s="246"/>
      <c r="W48" s="258"/>
      <c r="X48" s="246"/>
      <c r="Y48" s="258"/>
      <c r="Z48" s="246"/>
      <c r="AA48" s="258"/>
      <c r="AB48" s="246"/>
      <c r="AC48" s="259"/>
      <c r="AD48" s="246"/>
      <c r="AE48" s="259"/>
      <c r="AF48" s="246"/>
      <c r="AG48" s="260">
        <f t="shared" si="61"/>
        <v>0</v>
      </c>
      <c r="AH48" s="246"/>
      <c r="AI48" s="52">
        <f t="shared" si="62"/>
        <v>0</v>
      </c>
      <c r="AJ48" s="53">
        <v>1</v>
      </c>
      <c r="AK48" s="54">
        <v>0</v>
      </c>
      <c r="AL48" s="54">
        <v>0</v>
      </c>
      <c r="AM48" s="54">
        <v>0</v>
      </c>
      <c r="AN48" s="54">
        <v>0</v>
      </c>
      <c r="AO48" s="54">
        <v>0</v>
      </c>
      <c r="AP48" s="249"/>
      <c r="AQ48" s="48"/>
      <c r="AR48" s="48"/>
      <c r="AS48" s="48"/>
      <c r="AT48" s="48"/>
      <c r="AU48" s="48"/>
      <c r="AV48" s="48"/>
      <c r="AW48" s="48"/>
      <c r="AX48" s="12" t="str">
        <f t="shared" si="63"/>
        <v>Big Un</v>
      </c>
      <c r="AY48" s="12" t="str">
        <f>IFERROR((VLOOKUP($BO$1&amp;B45,Teams!D:S,12,0)),0)</f>
        <v>P</v>
      </c>
      <c r="AZ48" s="12" t="str">
        <f>IFERROR((VLOOKUP($BO$1&amp;B45,Teams!D:S,13,0)),0)</f>
        <v>S</v>
      </c>
      <c r="BA48" s="12" t="str">
        <f>IFERROR((VLOOKUP($BO$1&amp;B45,Teams!D:S,14,0)),0)</f>
        <v>P</v>
      </c>
      <c r="BB48" s="12">
        <f>IFERROR((VLOOKUP($BO$1&amp;B45,Teams!D:S,15,0)),0)</f>
        <v>0</v>
      </c>
      <c r="BC48" s="12">
        <f>IFERROR((VLOOKUP($BO$1&amp;B45,Teams!D:S,16,0)),0)</f>
        <v>0</v>
      </c>
      <c r="BD48" s="12">
        <v>20000</v>
      </c>
      <c r="BE48" s="12">
        <v>10000</v>
      </c>
      <c r="BF48" s="12">
        <v>40000</v>
      </c>
      <c r="BG48" s="12">
        <v>20000</v>
      </c>
      <c r="BH48" s="12">
        <v>80000</v>
      </c>
      <c r="BI48" s="12">
        <f t="shared" si="64"/>
        <v>20000</v>
      </c>
      <c r="BJ48" s="12"/>
      <c r="BK48" s="12" t="str">
        <f t="shared" si="65"/>
        <v>G</v>
      </c>
      <c r="BL48" s="12">
        <f t="shared" si="66"/>
        <v>0</v>
      </c>
      <c r="BM48" s="12">
        <f t="shared" si="67"/>
        <v>0</v>
      </c>
      <c r="BN48" s="12">
        <f t="shared" si="68"/>
        <v>0</v>
      </c>
      <c r="BO48" s="12">
        <f t="shared" si="69"/>
        <v>0</v>
      </c>
      <c r="BP48" s="12">
        <f t="shared" si="70"/>
        <v>0</v>
      </c>
      <c r="BQ48" s="2"/>
      <c r="BR48" s="2"/>
      <c r="BS48" s="12" t="str">
        <f t="shared" si="71"/>
        <v>P</v>
      </c>
      <c r="BT48" s="12">
        <f t="shared" si="72"/>
        <v>0</v>
      </c>
      <c r="BU48" s="12">
        <f t="shared" si="73"/>
        <v>0</v>
      </c>
      <c r="BV48" s="12">
        <f t="shared" si="74"/>
        <v>0</v>
      </c>
      <c r="BW48" s="12">
        <f t="shared" si="75"/>
        <v>0</v>
      </c>
      <c r="BX48" s="12">
        <f t="shared" si="76"/>
        <v>0</v>
      </c>
      <c r="BY48" s="12"/>
      <c r="BZ48" s="12" t="str">
        <f t="shared" si="77"/>
        <v>Chosen</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20000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6</v>
      </c>
      <c r="CV48" s="12">
        <f t="shared" si="86"/>
        <v>0</v>
      </c>
      <c r="CW48" s="12">
        <f t="shared" si="87"/>
        <v>0</v>
      </c>
      <c r="CX48" s="12">
        <f t="shared" si="88"/>
        <v>0</v>
      </c>
      <c r="CY48" s="12">
        <f t="shared" si="89"/>
        <v>0</v>
      </c>
      <c r="CZ48" s="12">
        <f t="shared" si="90"/>
        <v>0</v>
      </c>
      <c r="DA48" s="48"/>
      <c r="DB48" s="48"/>
    </row>
    <row r="49" spans="1:106" ht="22.5" customHeight="1">
      <c r="A49" s="8">
        <v>13</v>
      </c>
      <c r="B49" s="51">
        <f t="shared" si="60"/>
        <v>0</v>
      </c>
      <c r="C49" s="258"/>
      <c r="D49" s="246"/>
      <c r="E49" s="258"/>
      <c r="F49" s="246"/>
      <c r="G49" s="258"/>
      <c r="H49" s="245"/>
      <c r="I49" s="245"/>
      <c r="J49" s="246"/>
      <c r="K49" s="258"/>
      <c r="L49" s="246"/>
      <c r="M49" s="258"/>
      <c r="N49" s="246"/>
      <c r="O49" s="258"/>
      <c r="P49" s="246"/>
      <c r="Q49" s="258"/>
      <c r="R49" s="246"/>
      <c r="S49" s="258"/>
      <c r="T49" s="246"/>
      <c r="U49" s="258"/>
      <c r="V49" s="246"/>
      <c r="W49" s="258"/>
      <c r="X49" s="246"/>
      <c r="Y49" s="258"/>
      <c r="Z49" s="246"/>
      <c r="AA49" s="258"/>
      <c r="AB49" s="246"/>
      <c r="AC49" s="259"/>
      <c r="AD49" s="246"/>
      <c r="AE49" s="259"/>
      <c r="AF49" s="246"/>
      <c r="AG49" s="260">
        <f t="shared" si="61"/>
        <v>0</v>
      </c>
      <c r="AH49" s="246"/>
      <c r="AI49" s="52">
        <f t="shared" si="62"/>
        <v>0</v>
      </c>
      <c r="AJ49" s="53">
        <v>0</v>
      </c>
      <c r="AK49" s="54">
        <v>0</v>
      </c>
      <c r="AL49" s="54">
        <v>0</v>
      </c>
      <c r="AM49" s="54">
        <v>0</v>
      </c>
      <c r="AN49" s="54">
        <v>0</v>
      </c>
      <c r="AO49" s="54">
        <v>0</v>
      </c>
      <c r="AP49" s="249"/>
      <c r="AQ49" s="48"/>
      <c r="AR49" s="48"/>
      <c r="AS49" s="48"/>
      <c r="AT49" s="48"/>
      <c r="AU49" s="48"/>
      <c r="AV49" s="48"/>
      <c r="AW49" s="48"/>
      <c r="AX49" s="12" t="str">
        <f t="shared" si="63"/>
        <v>Lineman</v>
      </c>
      <c r="AY49" s="12" t="str">
        <f>IFERROR((VLOOKUP($BO$1&amp;B46,Teams!D:S,12,0)),0)</f>
        <v>P</v>
      </c>
      <c r="AZ49" s="12" t="str">
        <f>IFERROR((VLOOKUP($BO$1&amp;B46,Teams!D:S,13,0)),0)</f>
        <v>S</v>
      </c>
      <c r="BA49" s="12" t="str">
        <f>IFERROR((VLOOKUP($BO$1&amp;B46,Teams!D:S,14,0)),0)</f>
        <v>S</v>
      </c>
      <c r="BB49" s="12">
        <f>IFERROR((VLOOKUP($BO$1&amp;B46,Teams!D:S,15,0)),0)</f>
        <v>0</v>
      </c>
      <c r="BC49" s="12">
        <f>IFERROR((VLOOKUP($BO$1&amp;B46,Teams!D:S,16,0)),0)</f>
        <v>0</v>
      </c>
      <c r="BD49" s="12">
        <v>20000</v>
      </c>
      <c r="BE49" s="12">
        <v>10000</v>
      </c>
      <c r="BF49" s="12">
        <v>40000</v>
      </c>
      <c r="BG49" s="12">
        <v>20000</v>
      </c>
      <c r="BH49" s="12">
        <v>80000</v>
      </c>
      <c r="BI49" s="12">
        <f t="shared" si="64"/>
        <v>20000</v>
      </c>
      <c r="BJ49" s="12"/>
      <c r="BK49" s="12" t="str">
        <f t="shared" si="65"/>
        <v>G</v>
      </c>
      <c r="BL49" s="12">
        <f t="shared" si="66"/>
        <v>0</v>
      </c>
      <c r="BM49" s="12">
        <f t="shared" si="67"/>
        <v>0</v>
      </c>
      <c r="BN49" s="12">
        <f t="shared" si="68"/>
        <v>0</v>
      </c>
      <c r="BO49" s="12">
        <f t="shared" si="69"/>
        <v>0</v>
      </c>
      <c r="BP49" s="12">
        <f t="shared" si="70"/>
        <v>0</v>
      </c>
      <c r="BQ49" s="2"/>
      <c r="BR49" s="2"/>
      <c r="BS49" s="12" t="str">
        <f t="shared" si="71"/>
        <v>P</v>
      </c>
      <c r="BT49" s="12">
        <f t="shared" si="72"/>
        <v>0</v>
      </c>
      <c r="BU49" s="12">
        <f t="shared" si="73"/>
        <v>0</v>
      </c>
      <c r="BV49" s="12">
        <f t="shared" si="74"/>
        <v>0</v>
      </c>
      <c r="BW49" s="12">
        <f t="shared" si="75"/>
        <v>0</v>
      </c>
      <c r="BX49" s="12">
        <f t="shared" si="76"/>
        <v>0</v>
      </c>
      <c r="BY49" s="12"/>
      <c r="BZ49" s="12" t="str">
        <f t="shared" si="77"/>
        <v>Chosen</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20000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6</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58"/>
      <c r="D50" s="246"/>
      <c r="E50" s="258"/>
      <c r="F50" s="246"/>
      <c r="G50" s="258"/>
      <c r="H50" s="245"/>
      <c r="I50" s="245"/>
      <c r="J50" s="246"/>
      <c r="K50" s="258"/>
      <c r="L50" s="246"/>
      <c r="M50" s="258"/>
      <c r="N50" s="246"/>
      <c r="O50" s="258"/>
      <c r="P50" s="246"/>
      <c r="Q50" s="258"/>
      <c r="R50" s="246"/>
      <c r="S50" s="258"/>
      <c r="T50" s="246"/>
      <c r="U50" s="258"/>
      <c r="V50" s="246"/>
      <c r="W50" s="258"/>
      <c r="X50" s="246"/>
      <c r="Y50" s="258"/>
      <c r="Z50" s="246"/>
      <c r="AA50" s="258"/>
      <c r="AB50" s="246"/>
      <c r="AC50" s="259"/>
      <c r="AD50" s="246"/>
      <c r="AE50" s="259"/>
      <c r="AF50" s="246"/>
      <c r="AG50" s="260">
        <f t="shared" si="61"/>
        <v>0</v>
      </c>
      <c r="AH50" s="246"/>
      <c r="AI50" s="52">
        <f t="shared" si="62"/>
        <v>0</v>
      </c>
      <c r="AJ50" s="53">
        <v>0</v>
      </c>
      <c r="AK50" s="54">
        <v>0</v>
      </c>
      <c r="AL50" s="54">
        <v>0</v>
      </c>
      <c r="AM50" s="54">
        <v>0</v>
      </c>
      <c r="AN50" s="54">
        <v>0</v>
      </c>
      <c r="AO50" s="54">
        <v>0</v>
      </c>
      <c r="AP50" s="249"/>
      <c r="AQ50" s="48"/>
      <c r="AR50" s="48"/>
      <c r="AS50" s="48"/>
      <c r="AT50" s="48"/>
      <c r="AU50" s="48"/>
      <c r="AV50" s="48"/>
      <c r="AW50" s="48"/>
      <c r="AX50" s="12" t="str">
        <f t="shared" si="63"/>
        <v>Lineman</v>
      </c>
      <c r="AY50" s="12" t="str">
        <f>IFERROR((VLOOKUP($BO$1&amp;B47,Teams!D:S,12,0)),0)</f>
        <v>P</v>
      </c>
      <c r="AZ50" s="12" t="str">
        <f>IFERROR((VLOOKUP($BO$1&amp;B47,Teams!D:S,13,0)),0)</f>
        <v>S</v>
      </c>
      <c r="BA50" s="12" t="str">
        <f>IFERROR((VLOOKUP($BO$1&amp;B47,Teams!D:S,14,0)),0)</f>
        <v>S</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
      </c>
      <c r="C51" s="258"/>
      <c r="D51" s="246"/>
      <c r="E51" s="258"/>
      <c r="F51" s="246"/>
      <c r="G51" s="258"/>
      <c r="H51" s="245"/>
      <c r="I51" s="245"/>
      <c r="J51" s="246"/>
      <c r="K51" s="258"/>
      <c r="L51" s="246"/>
      <c r="M51" s="258"/>
      <c r="N51" s="246"/>
      <c r="O51" s="258"/>
      <c r="P51" s="246"/>
      <c r="Q51" s="258"/>
      <c r="R51" s="246"/>
      <c r="S51" s="258"/>
      <c r="T51" s="246"/>
      <c r="U51" s="258"/>
      <c r="V51" s="246"/>
      <c r="W51" s="258"/>
      <c r="X51" s="246"/>
      <c r="Y51" s="258"/>
      <c r="Z51" s="246"/>
      <c r="AA51" s="258"/>
      <c r="AB51" s="246"/>
      <c r="AC51" s="259"/>
      <c r="AD51" s="246"/>
      <c r="AE51" s="259"/>
      <c r="AF51" s="246"/>
      <c r="AG51" s="260">
        <f t="shared" si="61"/>
        <v>0</v>
      </c>
      <c r="AH51" s="246"/>
      <c r="AI51" s="52">
        <f t="shared" si="62"/>
        <v>0</v>
      </c>
      <c r="AJ51" s="53">
        <v>0</v>
      </c>
      <c r="AK51" s="54">
        <v>0</v>
      </c>
      <c r="AL51" s="54">
        <v>0</v>
      </c>
      <c r="AM51" s="54">
        <v>0</v>
      </c>
      <c r="AN51" s="54">
        <v>0</v>
      </c>
      <c r="AO51" s="54">
        <v>0</v>
      </c>
      <c r="AP51" s="249"/>
      <c r="AQ51" s="48"/>
      <c r="AR51" s="48"/>
      <c r="AS51" s="48"/>
      <c r="AT51" s="48"/>
      <c r="AU51" s="48"/>
      <c r="AV51" s="48"/>
      <c r="AW51" s="48"/>
      <c r="AX51" s="12" t="str">
        <f t="shared" si="63"/>
        <v>Lineman</v>
      </c>
      <c r="AY51" s="12" t="str">
        <f>IFERROR((VLOOKUP($BO$1&amp;B48,Teams!D:S,12,0)),0)</f>
        <v>P</v>
      </c>
      <c r="AZ51" s="12" t="str">
        <f>IFERROR((VLOOKUP($BO$1&amp;B48,Teams!D:S,13,0)),0)</f>
        <v>S</v>
      </c>
      <c r="BA51" s="12" t="str">
        <f>IFERROR((VLOOKUP($BO$1&amp;B48,Teams!D:S,14,0)),0)</f>
        <v>S</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
      </c>
      <c r="C52" s="261"/>
      <c r="D52" s="246"/>
      <c r="E52" s="261"/>
      <c r="F52" s="246"/>
      <c r="G52" s="261"/>
      <c r="H52" s="245"/>
      <c r="I52" s="245"/>
      <c r="J52" s="246"/>
      <c r="K52" s="258"/>
      <c r="L52" s="246"/>
      <c r="M52" s="261"/>
      <c r="N52" s="246"/>
      <c r="O52" s="258"/>
      <c r="P52" s="246"/>
      <c r="Q52" s="261"/>
      <c r="R52" s="246"/>
      <c r="S52" s="258"/>
      <c r="T52" s="246"/>
      <c r="U52" s="261"/>
      <c r="V52" s="246"/>
      <c r="W52" s="258"/>
      <c r="X52" s="246"/>
      <c r="Y52" s="261"/>
      <c r="Z52" s="246"/>
      <c r="AA52" s="258"/>
      <c r="AB52" s="246"/>
      <c r="AC52" s="259"/>
      <c r="AD52" s="246"/>
      <c r="AE52" s="259"/>
      <c r="AF52" s="246"/>
      <c r="AG52" s="260">
        <f t="shared" si="61"/>
        <v>0</v>
      </c>
      <c r="AH52" s="265"/>
      <c r="AI52" s="34">
        <f t="shared" si="62"/>
        <v>0</v>
      </c>
      <c r="AJ52" s="56">
        <v>0</v>
      </c>
      <c r="AK52" s="54">
        <v>0</v>
      </c>
      <c r="AL52" s="54">
        <v>0</v>
      </c>
      <c r="AM52" s="54">
        <v>0</v>
      </c>
      <c r="AN52" s="54">
        <v>0</v>
      </c>
      <c r="AO52" s="54">
        <v>0</v>
      </c>
      <c r="AP52" s="249"/>
      <c r="AQ52" s="48"/>
      <c r="AR52" s="48"/>
      <c r="AS52" s="48"/>
      <c r="AT52" s="48"/>
      <c r="AU52" s="48"/>
      <c r="AV52" s="48"/>
      <c r="AW52" s="48"/>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30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4"/>
      <c r="AP53" s="250"/>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M</v>
      </c>
      <c r="CH57" s="12" t="str">
        <f>VLOOKUP(CH58,Teams!$D:$T,17,FALSE)</f>
        <v>M</v>
      </c>
      <c r="CI57" s="12" t="str">
        <f>VLOOKUP(CI58,Teams!$D:$T,17,FALSE)</f>
        <v>M</v>
      </c>
      <c r="CJ57" s="12" t="str">
        <f>VLOOKUP(CJ58,Teams!$D:$T,17,FALSE)</f>
        <v>M</v>
      </c>
      <c r="CK57" s="12" t="str">
        <f>VLOOKUP(CK58,Teams!$D:$T,17,FALSE)</f>
        <v>M</v>
      </c>
      <c r="CL57" s="12" t="str">
        <f>VLOOKUP(CL58,Teams!$D:$T,17,FALSE)</f>
        <v>PM</v>
      </c>
      <c r="CM57" s="12" t="str">
        <f>VLOOKUP(CM58,Teams!$D:$T,17,FALSE)</f>
        <v>PM</v>
      </c>
      <c r="CN57" s="12" t="str">
        <f>VLOOKUP(CN58,Teams!$D:$T,17,FALSE)</f>
        <v>PM</v>
      </c>
      <c r="CO57" s="12" t="str">
        <f>VLOOKUP(CO58,Teams!$D:$T,17,FALSE)</f>
        <v>PM</v>
      </c>
      <c r="CP57" s="12" t="str">
        <f>VLOOKUP(CP58,Teams!$D:$T,17,FALSE)</f>
        <v>PM</v>
      </c>
      <c r="CQ57" s="12" t="str">
        <f>VLOOKUP(CQ58,Teams!$D:$T,17,FALSE)</f>
        <v>PM</v>
      </c>
      <c r="CR57" s="12" t="str">
        <f>VLOOKUP(CR58,Teams!$D:$T,17,FALSE)</f>
        <v>PM</v>
      </c>
      <c r="CS57" s="12">
        <f>VLOOKUP(CS58,Teams!$D:$T,17,FALSE)</f>
        <v>0</v>
      </c>
      <c r="CT57" s="12">
        <f>VLOOKUP(CT58,Teams!$D:$T,17,FALSE)</f>
        <v>0</v>
      </c>
      <c r="CU57" s="12">
        <f>VLOOKUP(CU58,Teams!$D:$T,17,FALSE)</f>
        <v>0</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OrcThrower</v>
      </c>
      <c r="CH58" s="66" t="str">
        <f>$BO$1&amp;$C3</f>
        <v>OrcBlitzer</v>
      </c>
      <c r="CI58" s="67" t="str">
        <f>$BO$1&amp;$C4</f>
        <v>OrcBlitzer</v>
      </c>
      <c r="CJ58" s="68" t="str">
        <f>$BO$1&amp;$C5</f>
        <v>OrcBlitzer</v>
      </c>
      <c r="CK58" s="68" t="str">
        <f>$BO$1&amp;$C6</f>
        <v>OrcBlitzer</v>
      </c>
      <c r="CL58" s="68" t="str">
        <f>$BO$1&amp;$C7</f>
        <v>OrcBig Un</v>
      </c>
      <c r="CM58" s="67" t="str">
        <f>$BO$1&amp;$C8</f>
        <v>OrcBig Un</v>
      </c>
      <c r="CN58" s="68" t="str">
        <f>$BO$1&amp;$C9</f>
        <v>OrcBig Un</v>
      </c>
      <c r="CO58" s="68" t="str">
        <f>$BO$1&amp;$C10</f>
        <v>OrcBig Un</v>
      </c>
      <c r="CP58" s="68" t="str">
        <f>$BO$1&amp;$C11</f>
        <v>OrcLineman</v>
      </c>
      <c r="CQ58" s="67" t="str">
        <f>$BO$1&amp;$C12</f>
        <v>OrcLineman</v>
      </c>
      <c r="CR58" s="68" t="str">
        <f>$BO$1&amp;$C13</f>
        <v>OrcLineman</v>
      </c>
      <c r="CS58" s="68" t="str">
        <f>$BO$1&amp;$C14</f>
        <v>Orc</v>
      </c>
      <c r="CT58" s="68" t="str">
        <f>$BO$1&amp;$C15</f>
        <v>Orc</v>
      </c>
      <c r="CU58" s="67" t="str">
        <f>$BO$1&amp;$C16</f>
        <v>Orc</v>
      </c>
      <c r="CV58" s="68" t="str">
        <f>$BO$1&amp;$C17</f>
        <v>Orc</v>
      </c>
      <c r="CW58" s="2"/>
      <c r="CX58" s="2"/>
      <c r="CY58" s="2"/>
      <c r="CZ58" s="12"/>
      <c r="DA58" s="2"/>
      <c r="DB58" s="2"/>
    </row>
    <row r="59" spans="1:106" ht="15" hidden="1" customHeight="1">
      <c r="A59" s="12"/>
      <c r="B59" s="280" t="s">
        <v>241</v>
      </c>
      <c r="C59" s="279"/>
      <c r="D59" s="279"/>
      <c r="E59" s="279"/>
      <c r="F59" s="279"/>
      <c r="G59" s="12"/>
      <c r="H59" s="12"/>
      <c r="I59" s="12"/>
      <c r="J59" s="12"/>
      <c r="K59" s="280" t="s">
        <v>242</v>
      </c>
      <c r="L59" s="279"/>
      <c r="M59" s="279"/>
      <c r="N59" s="279"/>
      <c r="O59" s="279"/>
      <c r="P59" s="12"/>
      <c r="Q59" s="280" t="s">
        <v>243</v>
      </c>
      <c r="R59" s="279"/>
      <c r="S59" s="279"/>
      <c r="T59" s="279"/>
      <c r="U59" s="279"/>
      <c r="V59" s="12"/>
      <c r="W59" s="280" t="s">
        <v>244</v>
      </c>
      <c r="X59" s="279"/>
      <c r="Y59" s="279"/>
      <c r="Z59" s="279"/>
      <c r="AA59" s="279"/>
      <c r="AB59" s="12"/>
      <c r="AC59" s="280" t="s">
        <v>245</v>
      </c>
      <c r="AD59" s="279"/>
      <c r="AE59" s="279"/>
      <c r="AF59" s="279"/>
      <c r="AG59" s="279"/>
      <c r="AH59" s="12"/>
      <c r="AI59" s="12"/>
      <c r="AJ59" s="12"/>
      <c r="AK59" s="280" t="s">
        <v>246</v>
      </c>
      <c r="AL59" s="279"/>
      <c r="AM59" s="279"/>
      <c r="AN59" s="279"/>
      <c r="AO59" s="279"/>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278" t="s">
        <v>253</v>
      </c>
      <c r="BT59" s="279"/>
      <c r="BU59" s="278" t="s">
        <v>227</v>
      </c>
      <c r="BV59" s="279"/>
      <c r="BW59" s="278" t="s">
        <v>228</v>
      </c>
      <c r="BX59" s="279"/>
      <c r="BY59" s="278" t="s">
        <v>254</v>
      </c>
      <c r="BZ59" s="279"/>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304" t="str">
        <f>IF(J31&lt;0,(IF(J25="Italiano","AVETE SPESO TROPPO!   ",IF(J25="Español","¡HAS GASTADO DEMASIADO!   ",(IF(J25="Deutsch","ZU VIEL AUSGEGEBEN!   ",(IF(J25="Français","TU DÉPENSES TROP!   ","YOU HAVE EXPENT TOO MUCH!   "))))))),"")</f>
        <v/>
      </c>
      <c r="C60" s="279"/>
      <c r="D60" s="279"/>
      <c r="E60" s="279"/>
      <c r="F60" s="279"/>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9</v>
      </c>
      <c r="AY60" s="12">
        <f>COUNTIF(BS40:BX55,"S")</f>
        <v>0</v>
      </c>
      <c r="AZ60" s="12">
        <f>AX60+AY60</f>
        <v>9</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50000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str">
        <f t="shared" ref="CR60:CR139" si="133">IFERROR((IF($CR$57="M",BW60,IF($CR$57="PM",BY60,IF($CR$57="P",BU60,IF($CR$57="FULL",BS60))))),"")</f>
        <v/>
      </c>
      <c r="CS60" s="68" t="b">
        <f t="shared" ref="CS60:CS139" si="134">IFERROR((IF($CS$57="M",BW60,IF($CS$57="PM",BY60,IF($CS$57="P",BU60,IF($CS$57="FULL",BS60))))),"")</f>
        <v>0</v>
      </c>
      <c r="CT60" s="68" t="b">
        <f t="shared" ref="CT60:CT139" si="135">IFERROR((IF($CT$57="M",BW60,IF($CT$57="PM",BY60,IF($CT$57="P",BU60,IF($CT$57="FULL",BS60))))),"")</f>
        <v>0</v>
      </c>
      <c r="CU60" s="68" t="b">
        <f t="shared" ref="CU60:CU139" si="136">IFERROR((IF($CU$57="M",BW60,IF($CU$57="PM",BY60,IF($CU$57="P",BU60,IF($CU$57="FULL",BS60))))),"")</f>
        <v>0</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5</v>
      </c>
      <c r="L61" s="11">
        <f t="shared" ref="L61:L76" si="139">IF(R61=0,0,(IF(R61&gt;8,8,(IF(R61&lt;1,1,R61)))))</f>
        <v>3</v>
      </c>
      <c r="M61" s="11">
        <f t="shared" ref="M61:N61" si="140">IF(S61=0,0,(IF(S61&gt;6,6,(IF(S61&lt;1,1,S61)))))</f>
        <v>3</v>
      </c>
      <c r="N61" s="11">
        <f t="shared" si="140"/>
        <v>3</v>
      </c>
      <c r="O61" s="11">
        <f t="shared" ref="O61:O76" si="141">IF(U61=0,0,(IF(U61&gt;11,11,(IF(U61&lt;3,3,U61)))))</f>
        <v>9</v>
      </c>
      <c r="P61" s="12"/>
      <c r="Q61" s="11">
        <f>IFERROR((VLOOKUP($BO$1&amp;C2,Teams!D:M,2,0)+AK61+AC61),0)</f>
        <v>5</v>
      </c>
      <c r="R61" s="11">
        <f>IFERROR((VLOOKUP($BO$1&amp;C2,Teams!D:M,3,0)+AL61+AD61),0)</f>
        <v>3</v>
      </c>
      <c r="S61" s="11">
        <f>IFERROR((VLOOKUP($BO$1&amp;C2,Teams!D:M,4,0)+AM61-AE61),0)</f>
        <v>3</v>
      </c>
      <c r="T61" s="11">
        <f>IFERROR((VLOOKUP($BO$1&amp;C2,Teams!D:M,5,0)+AN61-AF61),0)</f>
        <v>3</v>
      </c>
      <c r="U61" s="11">
        <f>IFERROR((VLOOKUP($BO$1&amp;C2,Teams!D:M,6,0)+AO61+AG61),0)</f>
        <v>9</v>
      </c>
      <c r="V61" s="12"/>
      <c r="W61" s="12">
        <f>IFERROR((VLOOKUP($BO$1&amp;C2,Teams!D:M,2,0)),0)</f>
        <v>5</v>
      </c>
      <c r="X61" s="12">
        <f>IFERROR((VLOOKUP($BO$1&amp;C2,Teams!D:M,3,0)),0)</f>
        <v>3</v>
      </c>
      <c r="Y61" s="12">
        <f>IFERROR((VLOOKUP($BO$1&amp;C2,Teams!D:M,4,0)),0)</f>
        <v>3</v>
      </c>
      <c r="Z61" s="12">
        <f>IFERROR((VLOOKUP($BO$1&amp;C2,Teams!D:M,5,0)),0)</f>
        <v>3</v>
      </c>
      <c r="AA61" s="12">
        <f>IFERROR((VLOOKUP($BO$1&amp;C2,Teams!D:M,6,0)),0)</f>
        <v>9</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0</v>
      </c>
      <c r="BF61" s="72"/>
      <c r="BG61" s="2"/>
      <c r="BH61" s="71" t="s">
        <v>276</v>
      </c>
      <c r="BI61" s="72">
        <f>IFERROR((IF(OR(COUNTIF($BU$2,"*Favouredof*"),COUNTIF($BU$2,"*UnderworldChallenge*")),150000,0)),0)</f>
        <v>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str">
        <f t="shared" si="130"/>
        <v>MA+</v>
      </c>
      <c r="CP61" s="68" t="str">
        <f t="shared" si="131"/>
        <v>MA+</v>
      </c>
      <c r="CQ61" s="68" t="str">
        <f t="shared" si="132"/>
        <v>MA+</v>
      </c>
      <c r="CR61" s="68" t="str">
        <f t="shared" si="133"/>
        <v>MA+</v>
      </c>
      <c r="CS61" s="68" t="b">
        <f t="shared" si="134"/>
        <v>0</v>
      </c>
      <c r="CT61" s="68" t="b">
        <f t="shared" si="135"/>
        <v>0</v>
      </c>
      <c r="CU61" s="68" t="b">
        <f t="shared" si="136"/>
        <v>0</v>
      </c>
      <c r="CV61" s="68" t="b">
        <f t="shared" si="137"/>
        <v>0</v>
      </c>
      <c r="CW61" s="2"/>
      <c r="CX61" s="2"/>
      <c r="CY61" s="2"/>
      <c r="CZ61" s="12"/>
      <c r="DA61" s="2"/>
      <c r="DB61" s="2"/>
    </row>
    <row r="62" spans="1:106" ht="15" hidden="1" customHeight="1">
      <c r="A62" s="12"/>
      <c r="B62" s="46"/>
      <c r="C62" s="46"/>
      <c r="D62" s="46"/>
      <c r="E62" s="46"/>
      <c r="F62" s="46"/>
      <c r="G62" s="12"/>
      <c r="H62" s="12"/>
      <c r="I62" s="12"/>
      <c r="J62" s="12"/>
      <c r="K62" s="12">
        <f t="shared" si="138"/>
        <v>6</v>
      </c>
      <c r="L62" s="12">
        <f t="shared" si="139"/>
        <v>3</v>
      </c>
      <c r="M62" s="12">
        <f t="shared" ref="M62:N62" si="151">IF(S62=0,0,(IF(S62&gt;6,6,(IF(S62&lt;1,1,S62)))))</f>
        <v>3</v>
      </c>
      <c r="N62" s="12">
        <f t="shared" si="151"/>
        <v>4</v>
      </c>
      <c r="O62" s="12">
        <f t="shared" si="141"/>
        <v>10</v>
      </c>
      <c r="P62" s="12"/>
      <c r="Q62" s="11">
        <f>IFERROR((VLOOKUP($BO$1&amp;C3,Teams!D:M,2,0)+AK62+AC62),0)</f>
        <v>6</v>
      </c>
      <c r="R62" s="11">
        <f>IFERROR((VLOOKUP($BO$1&amp;C3,Teams!D:M,3,0)+AL62+AD62),0)</f>
        <v>3</v>
      </c>
      <c r="S62" s="11">
        <f>IFERROR((VLOOKUP($BO$1&amp;C3,Teams!D:M,4,0)+AM62-AE62),0)</f>
        <v>3</v>
      </c>
      <c r="T62" s="11">
        <f>IFERROR((VLOOKUP($BO$1&amp;C3,Teams!D:M,5,0)+AN62-AF62),0)</f>
        <v>4</v>
      </c>
      <c r="U62" s="11">
        <f>IFERROR((VLOOKUP($BO$1&amp;C3,Teams!D:M,6,0)+AO62+AG62),0)</f>
        <v>10</v>
      </c>
      <c r="V62" s="12"/>
      <c r="W62" s="12">
        <f>IFERROR((VLOOKUP($BO$1&amp;C3,Teams!D:M,2,0)),0)</f>
        <v>6</v>
      </c>
      <c r="X62" s="12">
        <f>IFERROR((VLOOKUP($BO$1&amp;C3,Teams!D:M,3,0)),0)</f>
        <v>3</v>
      </c>
      <c r="Y62" s="12">
        <f>IFERROR((VLOOKUP($BO$1&amp;C3,Teams!D:M,4,0)),0)</f>
        <v>3</v>
      </c>
      <c r="Z62" s="12">
        <f>IFERROR((VLOOKUP($BO$1&amp;C3,Teams!D:M,5,0)),0)</f>
        <v>4</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0</v>
      </c>
      <c r="BF62" s="2"/>
      <c r="BG62" s="2"/>
      <c r="BH62" s="71" t="s">
        <v>281</v>
      </c>
      <c r="BI62" s="72">
        <f>IFERROR((IF(OR(COUNTIF($BU$2,"*Favouredof*"),COUNTIF($BU$2,"*ElvenKingdomsLeague*")),150000,0)),0)</f>
        <v>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str">
        <f t="shared" si="130"/>
        <v>AV+</v>
      </c>
      <c r="CP62" s="68" t="str">
        <f t="shared" si="131"/>
        <v>AV+</v>
      </c>
      <c r="CQ62" s="68" t="str">
        <f t="shared" si="132"/>
        <v>AV+</v>
      </c>
      <c r="CR62" s="68" t="str">
        <f t="shared" si="133"/>
        <v>AV+</v>
      </c>
      <c r="CS62" s="68" t="b">
        <f t="shared" si="134"/>
        <v>0</v>
      </c>
      <c r="CT62" s="68" t="b">
        <f t="shared" si="135"/>
        <v>0</v>
      </c>
      <c r="CU62" s="68" t="b">
        <f t="shared" si="136"/>
        <v>0</v>
      </c>
      <c r="CV62" s="68" t="b">
        <f t="shared" si="137"/>
        <v>0</v>
      </c>
      <c r="CW62" s="2"/>
      <c r="CX62" s="2"/>
      <c r="CY62" s="2"/>
      <c r="CZ62" s="12"/>
      <c r="DA62" s="2"/>
      <c r="DB62" s="2"/>
    </row>
    <row r="63" spans="1:106" ht="15" hidden="1" customHeight="1">
      <c r="A63" s="12"/>
      <c r="B63" s="46"/>
      <c r="C63" s="46"/>
      <c r="D63" s="46"/>
      <c r="E63" s="46"/>
      <c r="F63" s="46"/>
      <c r="G63" s="12"/>
      <c r="H63" s="12"/>
      <c r="I63" s="12"/>
      <c r="J63" s="12"/>
      <c r="K63" s="12">
        <f t="shared" si="138"/>
        <v>6</v>
      </c>
      <c r="L63" s="12">
        <f t="shared" si="139"/>
        <v>3</v>
      </c>
      <c r="M63" s="12">
        <f t="shared" ref="M63:N63" si="153">IF(S63=0,0,(IF(S63&gt;6,6,(IF(S63&lt;1,1,S63)))))</f>
        <v>3</v>
      </c>
      <c r="N63" s="12">
        <f t="shared" si="153"/>
        <v>4</v>
      </c>
      <c r="O63" s="12">
        <f t="shared" si="141"/>
        <v>10</v>
      </c>
      <c r="P63" s="12"/>
      <c r="Q63" s="11">
        <f>IFERROR((VLOOKUP($BO$1&amp;C4,Teams!D:M,2,0)+AK63+AC63),0)</f>
        <v>6</v>
      </c>
      <c r="R63" s="11">
        <f>IFERROR((VLOOKUP($BO$1&amp;C4,Teams!D:M,3,0)+AL63+AD63),0)</f>
        <v>3</v>
      </c>
      <c r="S63" s="11">
        <f>IFERROR((VLOOKUP($BO$1&amp;C4,Teams!D:M,4,0)+AM63-AE63),0)</f>
        <v>3</v>
      </c>
      <c r="T63" s="11">
        <f>IFERROR((VLOOKUP($BO$1&amp;C4,Teams!D:M,5,0)+AN63-AF63),0)</f>
        <v>4</v>
      </c>
      <c r="U63" s="11">
        <f>IFERROR((VLOOKUP($BO$1&amp;C4,Teams!D:M,6,0)+AO63+AG63),0)</f>
        <v>10</v>
      </c>
      <c r="V63" s="12"/>
      <c r="W63" s="12">
        <f>IFERROR((VLOOKUP($BO$1&amp;C4,Teams!D:M,2,0)),0)</f>
        <v>6</v>
      </c>
      <c r="X63" s="12">
        <f>IFERROR((VLOOKUP($BO$1&amp;C4,Teams!D:M,3,0)),0)</f>
        <v>3</v>
      </c>
      <c r="Y63" s="12">
        <f>IFERROR((VLOOKUP($BO$1&amp;C4,Teams!D:M,4,0)),0)</f>
        <v>3</v>
      </c>
      <c r="Z63" s="12">
        <f>IFERROR((VLOOKUP($BO$1&amp;C4,Teams!D:M,5,0)),0)</f>
        <v>4</v>
      </c>
      <c r="AA63" s="12">
        <f>IFERROR((VLOOKUP($BO$1&amp;C4,Teams!D:M,6,0)),0)</f>
        <v>10</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str">
        <f t="shared" si="130"/>
        <v>AG-</v>
      </c>
      <c r="CP63" s="68" t="str">
        <f t="shared" si="131"/>
        <v>AG-</v>
      </c>
      <c r="CQ63" s="68" t="str">
        <f t="shared" si="132"/>
        <v>AG-</v>
      </c>
      <c r="CR63" s="68" t="str">
        <f t="shared" si="133"/>
        <v>AG-</v>
      </c>
      <c r="CS63" s="68" t="b">
        <f t="shared" si="134"/>
        <v>0</v>
      </c>
      <c r="CT63" s="68" t="b">
        <f t="shared" si="135"/>
        <v>0</v>
      </c>
      <c r="CU63" s="68" t="b">
        <f t="shared" si="136"/>
        <v>0</v>
      </c>
      <c r="CV63" s="68" t="b">
        <f t="shared" si="137"/>
        <v>0</v>
      </c>
      <c r="CW63" s="2"/>
      <c r="CX63" s="2"/>
      <c r="CY63" s="2"/>
      <c r="CZ63" s="12"/>
      <c r="DA63" s="2"/>
      <c r="DB63" s="2"/>
    </row>
    <row r="64" spans="1:106" ht="15" hidden="1" customHeight="1">
      <c r="A64" s="12"/>
      <c r="B64" s="46"/>
      <c r="C64" s="46"/>
      <c r="D64" s="46"/>
      <c r="E64" s="46"/>
      <c r="F64" s="46"/>
      <c r="G64" s="12"/>
      <c r="H64" s="12"/>
      <c r="I64" s="12"/>
      <c r="J64" s="12"/>
      <c r="K64" s="12">
        <f t="shared" si="138"/>
        <v>6</v>
      </c>
      <c r="L64" s="12">
        <f t="shared" si="139"/>
        <v>3</v>
      </c>
      <c r="M64" s="12">
        <f t="shared" ref="M64:N64" si="155">IF(S64=0,0,(IF(S64&gt;6,6,(IF(S64&lt;1,1,S64)))))</f>
        <v>3</v>
      </c>
      <c r="N64" s="12">
        <f t="shared" si="155"/>
        <v>4</v>
      </c>
      <c r="O64" s="12">
        <f t="shared" si="141"/>
        <v>10</v>
      </c>
      <c r="P64" s="12" t="s">
        <v>291</v>
      </c>
      <c r="Q64" s="11">
        <f>IFERROR((VLOOKUP($BO$1&amp;C5,Teams!D:M,2,0)+AK64+AC64),0)</f>
        <v>6</v>
      </c>
      <c r="R64" s="11">
        <f>IFERROR((VLOOKUP($BO$1&amp;C5,Teams!D:M,3,0)+AL64+AD64),0)</f>
        <v>3</v>
      </c>
      <c r="S64" s="11">
        <f>IFERROR((VLOOKUP($BO$1&amp;C5,Teams!D:M,4,0)+AM64-AE64),0)</f>
        <v>3</v>
      </c>
      <c r="T64" s="11">
        <f>IFERROR((VLOOKUP($BO$1&amp;C5,Teams!D:M,5,0)+AN64-AF64),0)</f>
        <v>4</v>
      </c>
      <c r="U64" s="11">
        <f>IFERROR((VLOOKUP($BO$1&amp;C5,Teams!D:M,6,0)+AO64+AG64),0)</f>
        <v>10</v>
      </c>
      <c r="V64" s="12"/>
      <c r="W64" s="12">
        <f>IFERROR((VLOOKUP($BO$1&amp;C5,Teams!D:M,2,0)),0)</f>
        <v>6</v>
      </c>
      <c r="X64" s="12">
        <f>IFERROR((VLOOKUP($BO$1&amp;C5,Teams!D:M,3,0)),0)</f>
        <v>3</v>
      </c>
      <c r="Y64" s="12">
        <f>IFERROR((VLOOKUP($BO$1&amp;C5,Teams!D:M,4,0)),0)</f>
        <v>3</v>
      </c>
      <c r="Z64" s="12">
        <f>IFERROR((VLOOKUP($BO$1&amp;C5,Teams!D:M,5,0)),0)</f>
        <v>4</v>
      </c>
      <c r="AA64" s="12">
        <f>IFERROR((VLOOKUP($BO$1&amp;C5,Teams!D:M,6,0)),0)</f>
        <v>10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str">
        <f t="shared" si="130"/>
        <v>PA-</v>
      </c>
      <c r="CP64" s="68" t="str">
        <f t="shared" si="131"/>
        <v>PA-</v>
      </c>
      <c r="CQ64" s="68" t="str">
        <f t="shared" si="132"/>
        <v>PA-</v>
      </c>
      <c r="CR64" s="68" t="str">
        <f t="shared" si="133"/>
        <v>PA-</v>
      </c>
      <c r="CS64" s="68" t="b">
        <f t="shared" si="134"/>
        <v>0</v>
      </c>
      <c r="CT64" s="68" t="b">
        <f t="shared" si="135"/>
        <v>0</v>
      </c>
      <c r="CU64" s="68" t="b">
        <f t="shared" si="136"/>
        <v>0</v>
      </c>
      <c r="CV64" s="68" t="b">
        <f t="shared" si="137"/>
        <v>0</v>
      </c>
      <c r="CW64" s="2"/>
      <c r="CX64" s="2"/>
      <c r="CY64" s="2"/>
      <c r="CZ64" s="12"/>
      <c r="DA64" s="2"/>
      <c r="DB64" s="2"/>
    </row>
    <row r="65" spans="1:106" ht="15" hidden="1" customHeight="1">
      <c r="A65" s="12"/>
      <c r="B65" s="46"/>
      <c r="C65" s="46"/>
      <c r="D65" s="46"/>
      <c r="E65" s="46"/>
      <c r="F65" s="46"/>
      <c r="G65" s="12"/>
      <c r="H65" s="12"/>
      <c r="I65" s="12"/>
      <c r="J65" s="12"/>
      <c r="K65" s="12">
        <f t="shared" si="138"/>
        <v>6</v>
      </c>
      <c r="L65" s="12">
        <f t="shared" si="139"/>
        <v>3</v>
      </c>
      <c r="M65" s="12">
        <f t="shared" ref="M65:N65" si="157">IF(S65=0,0,(IF(S65&gt;6,6,(IF(S65&lt;1,1,S65)))))</f>
        <v>3</v>
      </c>
      <c r="N65" s="12">
        <f t="shared" si="157"/>
        <v>4</v>
      </c>
      <c r="O65" s="12">
        <f t="shared" si="141"/>
        <v>10</v>
      </c>
      <c r="P65" s="12"/>
      <c r="Q65" s="11">
        <f>IFERROR((VLOOKUP($BO$1&amp;C6,Teams!D:M,2,0)+AK65+AC65),0)</f>
        <v>6</v>
      </c>
      <c r="R65" s="11">
        <f>IFERROR((VLOOKUP($BO$1&amp;C6,Teams!D:M,3,0)+AL65+AD65),0)</f>
        <v>3</v>
      </c>
      <c r="S65" s="11">
        <f>IFERROR((VLOOKUP($BO$1&amp;C6,Teams!D:M,4,0)+AM65-AE65),0)</f>
        <v>3</v>
      </c>
      <c r="T65" s="11">
        <f>IFERROR((VLOOKUP($BO$1&amp;C6,Teams!D:M,5,0)+AN65-AF65),0)</f>
        <v>4</v>
      </c>
      <c r="U65" s="11">
        <f>IFERROR((VLOOKUP($BO$1&amp;C6,Teams!D:M,6,0)+AO65+AG65),0)</f>
        <v>10</v>
      </c>
      <c r="V65" s="12"/>
      <c r="W65" s="12">
        <f>IFERROR((VLOOKUP($BO$1&amp;C6,Teams!D:M,2,0)),0)</f>
        <v>6</v>
      </c>
      <c r="X65" s="12">
        <f>IFERROR((VLOOKUP($BO$1&amp;C6,Teams!D:M,3,0)),0)</f>
        <v>3</v>
      </c>
      <c r="Y65" s="12">
        <f>IFERROR((VLOOKUP($BO$1&amp;C6,Teams!D:M,4,0)),0)</f>
        <v>3</v>
      </c>
      <c r="Z65" s="12">
        <f>IFERROR((VLOOKUP($BO$1&amp;C6,Teams!D:M,5,0)),0)</f>
        <v>4</v>
      </c>
      <c r="AA65" s="12">
        <f>IFERROR((VLOOKUP($BO$1&amp;C6,Teams!D:M,6,0)),0)</f>
        <v>10</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str">
        <f t="shared" si="130"/>
        <v>ST+</v>
      </c>
      <c r="CP65" s="68" t="str">
        <f t="shared" si="131"/>
        <v>ST+</v>
      </c>
      <c r="CQ65" s="68" t="str">
        <f t="shared" si="132"/>
        <v>ST+</v>
      </c>
      <c r="CR65" s="68" t="str">
        <f t="shared" si="133"/>
        <v>ST+</v>
      </c>
      <c r="CS65" s="68" t="b">
        <f t="shared" si="134"/>
        <v>0</v>
      </c>
      <c r="CT65" s="68" t="b">
        <f t="shared" si="135"/>
        <v>0</v>
      </c>
      <c r="CU65" s="68" t="b">
        <f t="shared" si="136"/>
        <v>0</v>
      </c>
      <c r="CV65" s="68" t="b">
        <f t="shared" si="137"/>
        <v>0</v>
      </c>
      <c r="CW65" s="2"/>
      <c r="CX65" s="2"/>
      <c r="CY65" s="2"/>
      <c r="CZ65" s="12"/>
      <c r="DA65" s="2"/>
      <c r="DB65" s="2"/>
    </row>
    <row r="66" spans="1:106" ht="15" hidden="1" customHeight="1">
      <c r="A66" s="12"/>
      <c r="B66" s="46"/>
      <c r="C66" s="46"/>
      <c r="D66" s="46"/>
      <c r="E66" s="46"/>
      <c r="F66" s="46"/>
      <c r="G66" s="12"/>
      <c r="H66" s="12"/>
      <c r="I66" s="12"/>
      <c r="J66" s="12"/>
      <c r="K66" s="12">
        <f t="shared" si="138"/>
        <v>5</v>
      </c>
      <c r="L66" s="12">
        <f t="shared" si="139"/>
        <v>4</v>
      </c>
      <c r="M66" s="12">
        <f t="shared" ref="M66:N66" si="159">IF(S66=0,0,(IF(S66&gt;6,6,(IF(S66&lt;1,1,S66)))))</f>
        <v>4</v>
      </c>
      <c r="N66" s="12">
        <f t="shared" si="159"/>
        <v>0</v>
      </c>
      <c r="O66" s="12">
        <f t="shared" si="141"/>
        <v>10</v>
      </c>
      <c r="P66" s="12"/>
      <c r="Q66" s="11">
        <f>IFERROR((VLOOKUP($BO$1&amp;C7,Teams!D:M,2,0)+AK66+AC66),0)</f>
        <v>5</v>
      </c>
      <c r="R66" s="11">
        <f>IFERROR((VLOOKUP($BO$1&amp;C7,Teams!D:M,3,0)+AL66+AD66),0)</f>
        <v>4</v>
      </c>
      <c r="S66" s="11">
        <f>IFERROR((VLOOKUP($BO$1&amp;C7,Teams!D:M,4,0)+AM66-AE66),0)</f>
        <v>4</v>
      </c>
      <c r="T66" s="11">
        <f>IFERROR((VLOOKUP($BO$1&amp;C7,Teams!D:M,5,0)+AN66-AF66),0)</f>
        <v>0</v>
      </c>
      <c r="U66" s="11">
        <f>IFERROR((VLOOKUP($BO$1&amp;C7,Teams!D:M,6,0)+AO66+AG66),0)</f>
        <v>10</v>
      </c>
      <c r="V66" s="12"/>
      <c r="W66" s="12">
        <f>IFERROR((VLOOKUP($BO$1&amp;C7,Teams!D:M,2,0)),0)</f>
        <v>5</v>
      </c>
      <c r="X66" s="12">
        <f>IFERROR((VLOOKUP($BO$1&amp;C7,Teams!D:M,3,0)),0)</f>
        <v>4</v>
      </c>
      <c r="Y66" s="12">
        <f>IFERROR((VLOOKUP($BO$1&amp;C7,Teams!D:M,4,0)),0)</f>
        <v>4</v>
      </c>
      <c r="Z66" s="12">
        <f>IFERROR((VLOOKUP($BO$1&amp;C7,Teams!D:M,5,0)),0)</f>
        <v>0</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str">
        <f t="shared" si="130"/>
        <v>Block</v>
      </c>
      <c r="CP66" s="68" t="str">
        <f t="shared" si="131"/>
        <v>Block</v>
      </c>
      <c r="CQ66" s="68" t="str">
        <f t="shared" si="132"/>
        <v>Block</v>
      </c>
      <c r="CR66" s="68" t="str">
        <f t="shared" si="133"/>
        <v>Block</v>
      </c>
      <c r="CS66" s="68" t="b">
        <f t="shared" si="134"/>
        <v>0</v>
      </c>
      <c r="CT66" s="68" t="b">
        <f t="shared" si="135"/>
        <v>0</v>
      </c>
      <c r="CU66" s="68" t="b">
        <f t="shared" si="136"/>
        <v>0</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5</v>
      </c>
      <c r="L67" s="12">
        <f t="shared" si="139"/>
        <v>4</v>
      </c>
      <c r="M67" s="12">
        <f t="shared" ref="M67:N67" si="161">IF(S67=0,0,(IF(S67&gt;6,6,(IF(S67&lt;1,1,S67)))))</f>
        <v>4</v>
      </c>
      <c r="N67" s="12">
        <f t="shared" si="161"/>
        <v>0</v>
      </c>
      <c r="O67" s="12">
        <f t="shared" si="141"/>
        <v>10</v>
      </c>
      <c r="P67" s="12"/>
      <c r="Q67" s="11">
        <f>IFERROR((VLOOKUP($BO$1&amp;C8,Teams!D:M,2,0)+AK67+AC67),0)</f>
        <v>5</v>
      </c>
      <c r="R67" s="11">
        <f>IFERROR((VLOOKUP($BO$1&amp;C8,Teams!D:M,3,0)+AL67+AD67),0)</f>
        <v>4</v>
      </c>
      <c r="S67" s="11">
        <f>IFERROR((VLOOKUP($BO$1&amp;C8,Teams!D:M,4,0)+AM67-AE67),0)</f>
        <v>4</v>
      </c>
      <c r="T67" s="11">
        <f>IFERROR((VLOOKUP($BO$1&amp;C8,Teams!D:M,5,0)+AN67-AF67),0)</f>
        <v>0</v>
      </c>
      <c r="U67" s="11">
        <f>IFERROR((VLOOKUP($BO$1&amp;C8,Teams!D:M,6,0)+AO67+AG67),0)</f>
        <v>10</v>
      </c>
      <c r="V67" s="12"/>
      <c r="W67" s="12">
        <f>IFERROR((VLOOKUP($BO$1&amp;C8,Teams!D:M,2,0)),0)</f>
        <v>5</v>
      </c>
      <c r="X67" s="12">
        <f>IFERROR((VLOOKUP($BO$1&amp;C8,Teams!D:M,3,0)),0)</f>
        <v>4</v>
      </c>
      <c r="Y67" s="12">
        <f>IFERROR((VLOOKUP($BO$1&amp;C8,Teams!D:M,4,0)),0)</f>
        <v>4</v>
      </c>
      <c r="Z67" s="12">
        <f>IFERROR((VLOOKUP($BO$1&amp;C8,Teams!D:M,5,0)),0)</f>
        <v>0</v>
      </c>
      <c r="AA67" s="12">
        <f>IFERROR((VLOOKUP($BO$1&amp;C8,Teams!D:M,6,0)),0)</f>
        <v>10</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80000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str">
        <f t="shared" si="133"/>
        <v>Dauntless</v>
      </c>
      <c r="CS67" s="68" t="b">
        <f t="shared" si="134"/>
        <v>0</v>
      </c>
      <c r="CT67" s="68" t="b">
        <f t="shared" si="135"/>
        <v>0</v>
      </c>
      <c r="CU67" s="68" t="b">
        <f t="shared" si="136"/>
        <v>0</v>
      </c>
      <c r="CV67" s="68" t="b">
        <f t="shared" si="137"/>
        <v>0</v>
      </c>
      <c r="CW67" s="2"/>
      <c r="CX67" s="2"/>
      <c r="CY67" s="2"/>
      <c r="CZ67" s="12"/>
      <c r="DA67" s="2"/>
      <c r="DB67" s="2"/>
    </row>
    <row r="68" spans="1:106" ht="15" hidden="1" customHeight="1">
      <c r="A68" s="12"/>
      <c r="B68" s="46"/>
      <c r="C68" s="46"/>
      <c r="D68" s="46"/>
      <c r="E68" s="46"/>
      <c r="F68" s="46"/>
      <c r="G68" s="12"/>
      <c r="H68" s="12"/>
      <c r="I68" s="12"/>
      <c r="J68" s="12"/>
      <c r="K68" s="12">
        <f t="shared" si="138"/>
        <v>5</v>
      </c>
      <c r="L68" s="12">
        <f t="shared" si="139"/>
        <v>4</v>
      </c>
      <c r="M68" s="12">
        <f t="shared" ref="M68:N68" si="163">IF(S68=0,0,(IF(S68&gt;6,6,(IF(S68&lt;1,1,S68)))))</f>
        <v>4</v>
      </c>
      <c r="N68" s="12">
        <f t="shared" si="163"/>
        <v>0</v>
      </c>
      <c r="O68" s="12">
        <f t="shared" si="141"/>
        <v>10</v>
      </c>
      <c r="P68" s="12"/>
      <c r="Q68" s="11">
        <f>IFERROR((VLOOKUP($BO$1&amp;C9,Teams!D:M,2,0)+AK68+AC68),0)</f>
        <v>5</v>
      </c>
      <c r="R68" s="11">
        <f>IFERROR((VLOOKUP($BO$1&amp;C9,Teams!D:M,3,0)+AL68+AD68),0)</f>
        <v>4</v>
      </c>
      <c r="S68" s="11">
        <f>IFERROR((VLOOKUP($BO$1&amp;C9,Teams!D:M,4,0)+AM68-AE68),0)</f>
        <v>4</v>
      </c>
      <c r="T68" s="11">
        <f>IFERROR((VLOOKUP($BO$1&amp;C9,Teams!D:M,5,0)+AN68-AF68),0)</f>
        <v>0</v>
      </c>
      <c r="U68" s="11">
        <f>IFERROR((VLOOKUP($BO$1&amp;C9,Teams!D:M,6,0)+AO68+AG68),0)</f>
        <v>10</v>
      </c>
      <c r="V68" s="12"/>
      <c r="W68" s="12">
        <f>IFERROR((VLOOKUP($BO$1&amp;C9,Teams!D:M,2,0)),0)</f>
        <v>5</v>
      </c>
      <c r="X68" s="12">
        <f>IFERROR((VLOOKUP($BO$1&amp;C9,Teams!D:M,3,0)),0)</f>
        <v>4</v>
      </c>
      <c r="Y68" s="12">
        <f>IFERROR((VLOOKUP($BO$1&amp;C9,Teams!D:M,4,0)),0)</f>
        <v>4</v>
      </c>
      <c r="Z68" s="12">
        <f>IFERROR((VLOOKUP($BO$1&amp;C9,Teams!D:M,5,0)),0)</f>
        <v>0</v>
      </c>
      <c r="AA68" s="12">
        <f>IFERROR((VLOOKUP($BO$1&amp;C9,Teams!D:M,6,0)),0)</f>
        <v>10</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90000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str">
        <f t="shared" si="133"/>
        <v>Dirty Player (+1)</v>
      </c>
      <c r="CS68" s="68" t="b">
        <f t="shared" si="134"/>
        <v>0</v>
      </c>
      <c r="CT68" s="68" t="b">
        <f t="shared" si="135"/>
        <v>0</v>
      </c>
      <c r="CU68" s="68" t="b">
        <f t="shared" si="136"/>
        <v>0</v>
      </c>
      <c r="CV68" s="68" t="b">
        <f t="shared" si="137"/>
        <v>0</v>
      </c>
      <c r="CW68" s="2"/>
      <c r="CX68" s="2"/>
      <c r="CY68" s="2"/>
      <c r="CZ68" s="12"/>
      <c r="DA68" s="2"/>
      <c r="DB68" s="2"/>
    </row>
    <row r="69" spans="1:106" ht="15" hidden="1" customHeight="1">
      <c r="A69" s="12"/>
      <c r="B69" s="46"/>
      <c r="C69" s="46"/>
      <c r="D69" s="46"/>
      <c r="E69" s="46"/>
      <c r="F69" s="46"/>
      <c r="G69" s="12"/>
      <c r="H69" s="12"/>
      <c r="I69" s="12"/>
      <c r="J69" s="12"/>
      <c r="K69" s="12">
        <f t="shared" si="138"/>
        <v>5</v>
      </c>
      <c r="L69" s="12">
        <f t="shared" si="139"/>
        <v>4</v>
      </c>
      <c r="M69" s="12">
        <f t="shared" ref="M69:N69" si="165">IF(S69=0,0,(IF(S69&gt;6,6,(IF(S69&lt;1,1,S69)))))</f>
        <v>4</v>
      </c>
      <c r="N69" s="12">
        <f t="shared" si="165"/>
        <v>0</v>
      </c>
      <c r="O69" s="12">
        <f t="shared" si="141"/>
        <v>10</v>
      </c>
      <c r="P69" s="12"/>
      <c r="Q69" s="11">
        <f>IFERROR((VLOOKUP($BO$1&amp;C10,Teams!D:M,2,0)+AK69+AC69),0)</f>
        <v>5</v>
      </c>
      <c r="R69" s="11">
        <f>IFERROR((VLOOKUP($BO$1&amp;C10,Teams!D:M,3,0)+AL69+AD69),0)</f>
        <v>4</v>
      </c>
      <c r="S69" s="11">
        <f>IFERROR((VLOOKUP($BO$1&amp;C10,Teams!D:M,4,0)+AM69-AE69),0)</f>
        <v>4</v>
      </c>
      <c r="T69" s="11">
        <f>IFERROR((VLOOKUP($BO$1&amp;C10,Teams!D:M,5,0)+AN69-AF69),0)</f>
        <v>0</v>
      </c>
      <c r="U69" s="11">
        <f>IFERROR((VLOOKUP($BO$1&amp;C10,Teams!D:M,6,0)+AO69+AG69),0)</f>
        <v>10</v>
      </c>
      <c r="V69" s="12"/>
      <c r="W69" s="12">
        <f>IFERROR((VLOOKUP($BO$1&amp;C10,Teams!D:M,2,0)),0)</f>
        <v>5</v>
      </c>
      <c r="X69" s="12">
        <f>IFERROR((VLOOKUP($BO$1&amp;C10,Teams!D:M,3,0)),0)</f>
        <v>4</v>
      </c>
      <c r="Y69" s="12">
        <f>IFERROR((VLOOKUP($BO$1&amp;C10,Teams!D:M,4,0)),0)</f>
        <v>4</v>
      </c>
      <c r="Z69" s="12">
        <f>IFERROR((VLOOKUP($BO$1&amp;C10,Teams!D:M,5,0)),0)</f>
        <v>0</v>
      </c>
      <c r="AA69" s="12">
        <f>IFERROR((VLOOKUP($BO$1&amp;C10,Teams!D:M,6,0)),0)</f>
        <v>10</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150000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str">
        <f t="shared" si="130"/>
        <v>Fend</v>
      </c>
      <c r="CP69" s="68" t="str">
        <f t="shared" si="131"/>
        <v>Fend</v>
      </c>
      <c r="CQ69" s="68" t="str">
        <f t="shared" si="132"/>
        <v>Fend</v>
      </c>
      <c r="CR69" s="68" t="str">
        <f t="shared" si="133"/>
        <v>Fend</v>
      </c>
      <c r="CS69" s="68" t="b">
        <f t="shared" si="134"/>
        <v>0</v>
      </c>
      <c r="CT69" s="68" t="b">
        <f t="shared" si="135"/>
        <v>0</v>
      </c>
      <c r="CU69" s="68" t="b">
        <f t="shared" si="136"/>
        <v>0</v>
      </c>
      <c r="CV69" s="68" t="b">
        <f t="shared" si="137"/>
        <v>0</v>
      </c>
      <c r="CW69" s="2"/>
      <c r="CX69" s="2"/>
      <c r="CY69" s="2"/>
      <c r="CZ69" s="12"/>
      <c r="DA69" s="2"/>
      <c r="DB69" s="2"/>
    </row>
    <row r="70" spans="1:106" ht="15" hidden="1" customHeight="1">
      <c r="A70" s="12"/>
      <c r="B70" s="12"/>
      <c r="C70" s="46"/>
      <c r="D70" s="46"/>
      <c r="E70" s="46"/>
      <c r="F70" s="46"/>
      <c r="G70" s="12"/>
      <c r="H70" s="12"/>
      <c r="I70" s="12"/>
      <c r="J70" s="12"/>
      <c r="K70" s="12">
        <f t="shared" si="138"/>
        <v>5</v>
      </c>
      <c r="L70" s="12">
        <f t="shared" si="139"/>
        <v>3</v>
      </c>
      <c r="M70" s="12">
        <f t="shared" ref="M70:N70" si="167">IF(S70=0,0,(IF(S70&gt;6,6,(IF(S70&lt;1,1,S70)))))</f>
        <v>3</v>
      </c>
      <c r="N70" s="12">
        <f t="shared" si="167"/>
        <v>4</v>
      </c>
      <c r="O70" s="12">
        <f t="shared" si="141"/>
        <v>10</v>
      </c>
      <c r="P70" s="12"/>
      <c r="Q70" s="11">
        <f>IFERROR((VLOOKUP($BO$1&amp;C11,Teams!D:M,2,0)+AK70+AC70),0)</f>
        <v>5</v>
      </c>
      <c r="R70" s="11">
        <f>IFERROR((VLOOKUP($BO$1&amp;C11,Teams!D:M,3,0)+AL70+AD70),0)</f>
        <v>3</v>
      </c>
      <c r="S70" s="11">
        <f>IFERROR((VLOOKUP($BO$1&amp;C11,Teams!D:M,4,0)+AM70-AE70),0)</f>
        <v>3</v>
      </c>
      <c r="T70" s="11">
        <f>IFERROR((VLOOKUP($BO$1&amp;C11,Teams!D:M,5,0)+AN70-AF70),0)</f>
        <v>4</v>
      </c>
      <c r="U70" s="11">
        <f>IFERROR((VLOOKUP($BO$1&amp;C11,Teams!D:M,6,0)+AO70+AG70),0)</f>
        <v>10</v>
      </c>
      <c r="V70" s="12"/>
      <c r="W70" s="12">
        <f>IFERROR((VLOOKUP($BO$1&amp;C11,Teams!D:M,2,0)),0)</f>
        <v>5</v>
      </c>
      <c r="X70" s="12">
        <f>IFERROR((VLOOKUP($BO$1&amp;C11,Teams!D:M,3,0)),0)</f>
        <v>3</v>
      </c>
      <c r="Y70" s="12">
        <f>IFERROR((VLOOKUP($BO$1&amp;C11,Teams!D:M,4,0)),0)</f>
        <v>3</v>
      </c>
      <c r="Z70" s="12">
        <f>IFERROR((VLOOKUP($BO$1&amp;C11,Teams!D:M,5,0)),0)</f>
        <v>4</v>
      </c>
      <c r="AA70" s="12">
        <f>IFERROR((VLOOKUP($BO$1&amp;C11,Teams!D:M,6,0)),0)</f>
        <v>10</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150000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str">
        <f t="shared" si="133"/>
        <v>Frenzy</v>
      </c>
      <c r="CS70" s="68" t="b">
        <f t="shared" si="134"/>
        <v>0</v>
      </c>
      <c r="CT70" s="68" t="b">
        <f t="shared" si="135"/>
        <v>0</v>
      </c>
      <c r="CU70" s="68" t="b">
        <f t="shared" si="136"/>
        <v>0</v>
      </c>
      <c r="CV70" s="68" t="b">
        <f t="shared" si="137"/>
        <v>0</v>
      </c>
      <c r="CW70" s="2"/>
      <c r="CX70" s="2"/>
      <c r="CY70" s="2"/>
      <c r="CZ70" s="12"/>
      <c r="DA70" s="2"/>
      <c r="DB70" s="2"/>
    </row>
    <row r="71" spans="1:106" ht="15" hidden="1" customHeight="1">
      <c r="A71" s="12"/>
      <c r="B71" s="46"/>
      <c r="C71" s="46"/>
      <c r="D71" s="46"/>
      <c r="E71" s="46"/>
      <c r="F71" s="46"/>
      <c r="G71" s="12"/>
      <c r="H71" s="12"/>
      <c r="I71" s="12"/>
      <c r="J71" s="12"/>
      <c r="K71" s="12">
        <f t="shared" si="138"/>
        <v>5</v>
      </c>
      <c r="L71" s="12">
        <f t="shared" si="139"/>
        <v>3</v>
      </c>
      <c r="M71" s="12">
        <f t="shared" ref="M71:N71" si="169">IF(S71=0,0,(IF(S71&gt;6,6,(IF(S71&lt;1,1,S71)))))</f>
        <v>3</v>
      </c>
      <c r="N71" s="12">
        <f t="shared" si="169"/>
        <v>4</v>
      </c>
      <c r="O71" s="12">
        <f t="shared" si="141"/>
        <v>10</v>
      </c>
      <c r="P71" s="12"/>
      <c r="Q71" s="11">
        <f>IFERROR((VLOOKUP($BO$1&amp;C12,Teams!D:M,2,0)+AK71+AC71),0)</f>
        <v>5</v>
      </c>
      <c r="R71" s="11">
        <f>IFERROR((VLOOKUP($BO$1&amp;C12,Teams!D:M,3,0)+AL71+AD71),0)</f>
        <v>3</v>
      </c>
      <c r="S71" s="11">
        <f>IFERROR((VLOOKUP($BO$1&amp;C12,Teams!D:M,4,0)+AM71-AE71),0)</f>
        <v>3</v>
      </c>
      <c r="T71" s="11">
        <f>IFERROR((VLOOKUP($BO$1&amp;C12,Teams!D:M,5,0)+AN71-AF71),0)</f>
        <v>4</v>
      </c>
      <c r="U71" s="11">
        <f>IFERROR((VLOOKUP($BO$1&amp;C12,Teams!D:M,6,0)+AO71+AG71),0)</f>
        <v>10</v>
      </c>
      <c r="V71" s="12"/>
      <c r="W71" s="12">
        <f>IFERROR((VLOOKUP($BO$1&amp;C12,Teams!D:M,2,0)),0)</f>
        <v>5</v>
      </c>
      <c r="X71" s="12">
        <f>IFERROR((VLOOKUP($BO$1&amp;C12,Teams!D:M,3,0)),0)</f>
        <v>3</v>
      </c>
      <c r="Y71" s="12">
        <f>IFERROR((VLOOKUP($BO$1&amp;C12,Teams!D:M,4,0)),0)</f>
        <v>3</v>
      </c>
      <c r="Z71" s="12">
        <f>IFERROR((VLOOKUP($BO$1&amp;C12,Teams!D:M,5,0)),0)</f>
        <v>4</v>
      </c>
      <c r="AA71" s="12">
        <f>IFERROR((VLOOKUP($BO$1&amp;C12,Teams!D:M,6,0)),0)</f>
        <v>10</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str">
        <f t="shared" si="130"/>
        <v>Kick</v>
      </c>
      <c r="CP71" s="68" t="str">
        <f t="shared" si="131"/>
        <v>Kick</v>
      </c>
      <c r="CQ71" s="68" t="str">
        <f t="shared" si="132"/>
        <v>Kick</v>
      </c>
      <c r="CR71" s="68" t="str">
        <f t="shared" si="133"/>
        <v>Kick</v>
      </c>
      <c r="CS71" s="68" t="b">
        <f t="shared" si="134"/>
        <v>0</v>
      </c>
      <c r="CT71" s="68" t="b">
        <f t="shared" si="135"/>
        <v>0</v>
      </c>
      <c r="CU71" s="68" t="b">
        <f t="shared" si="136"/>
        <v>0</v>
      </c>
      <c r="CV71" s="68" t="b">
        <f t="shared" si="137"/>
        <v>0</v>
      </c>
      <c r="CW71" s="2"/>
      <c r="CX71" s="2"/>
      <c r="CY71" s="2"/>
      <c r="CZ71" s="12"/>
      <c r="DA71" s="2"/>
      <c r="DB71" s="2"/>
    </row>
    <row r="72" spans="1:106" ht="15" hidden="1" customHeight="1">
      <c r="A72" s="12"/>
      <c r="B72" s="76"/>
      <c r="C72" s="76"/>
      <c r="D72" s="76"/>
      <c r="E72" s="76"/>
      <c r="F72" s="76"/>
      <c r="G72" s="12"/>
      <c r="H72" s="12"/>
      <c r="I72" s="12"/>
      <c r="J72" s="12"/>
      <c r="K72" s="12">
        <f t="shared" si="138"/>
        <v>5</v>
      </c>
      <c r="L72" s="12">
        <f t="shared" si="139"/>
        <v>3</v>
      </c>
      <c r="M72" s="12">
        <f t="shared" ref="M72:N72" si="171">IF(S72=0,0,(IF(S72&gt;6,6,(IF(S72&lt;1,1,S72)))))</f>
        <v>3</v>
      </c>
      <c r="N72" s="12">
        <f t="shared" si="171"/>
        <v>4</v>
      </c>
      <c r="O72" s="12">
        <f t="shared" si="141"/>
        <v>10</v>
      </c>
      <c r="P72" s="12"/>
      <c r="Q72" s="11">
        <f>IFERROR((VLOOKUP($BO$1&amp;C13,Teams!D:M,2,0)+AK72+AC72),0)</f>
        <v>5</v>
      </c>
      <c r="R72" s="11">
        <f>IFERROR((VLOOKUP($BO$1&amp;C13,Teams!D:M,3,0)+AL72+AD72),0)</f>
        <v>3</v>
      </c>
      <c r="S72" s="11">
        <f>IFERROR((VLOOKUP($BO$1&amp;C13,Teams!D:M,4,0)+AM72-AE72),0)</f>
        <v>3</v>
      </c>
      <c r="T72" s="11">
        <f>IFERROR((VLOOKUP($BO$1&amp;C13,Teams!D:M,5,0)+AN72-AF72),0)</f>
        <v>4</v>
      </c>
      <c r="U72" s="11">
        <f>IFERROR((VLOOKUP($BO$1&amp;C13,Teams!D:M,6,0)+AO72+AG72),0)</f>
        <v>10</v>
      </c>
      <c r="V72" s="12"/>
      <c r="W72" s="12">
        <f>IFERROR((VLOOKUP($BO$1&amp;C13,Teams!D:M,2,0)),0)</f>
        <v>5</v>
      </c>
      <c r="X72" s="12">
        <f>IFERROR((VLOOKUP($BO$1&amp;C13,Teams!D:M,3,0)),0)</f>
        <v>3</v>
      </c>
      <c r="Y72" s="12">
        <f>IFERROR((VLOOKUP($BO$1&amp;C13,Teams!D:M,4,0)),0)</f>
        <v>3</v>
      </c>
      <c r="Z72" s="12">
        <f>IFERROR((VLOOKUP($BO$1&amp;C13,Teams!D:M,5,0)),0)</f>
        <v>4</v>
      </c>
      <c r="AA72" s="12">
        <f>IFERROR((VLOOKUP($BO$1&amp;C13,Teams!D:M,6,0)),0)</f>
        <v>10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0</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str">
        <f t="shared" si="130"/>
        <v>Pro</v>
      </c>
      <c r="CP72" s="68" t="str">
        <f t="shared" si="131"/>
        <v>Pro</v>
      </c>
      <c r="CQ72" s="68" t="str">
        <f t="shared" si="132"/>
        <v>Pro</v>
      </c>
      <c r="CR72" s="68" t="str">
        <f t="shared" si="133"/>
        <v>Pro</v>
      </c>
      <c r="CS72" s="68" t="b">
        <f t="shared" si="134"/>
        <v>0</v>
      </c>
      <c r="CT72" s="68" t="b">
        <f t="shared" si="135"/>
        <v>0</v>
      </c>
      <c r="CU72" s="68" t="b">
        <f t="shared" si="136"/>
        <v>0</v>
      </c>
      <c r="CV72" s="68" t="b">
        <f t="shared" si="137"/>
        <v>0</v>
      </c>
      <c r="CW72" s="2"/>
      <c r="CX72" s="2"/>
      <c r="CY72" s="2"/>
      <c r="CZ72" s="12"/>
      <c r="DA72" s="2"/>
      <c r="DB72" s="2"/>
    </row>
    <row r="73" spans="1:106" ht="15" hidden="1" customHeight="1">
      <c r="A73" s="12"/>
      <c r="B73" s="46"/>
      <c r="C73" s="46"/>
      <c r="D73" s="46"/>
      <c r="E73" s="46"/>
      <c r="F73" s="46"/>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str">
        <f t="shared" si="133"/>
        <v>Shadowing</v>
      </c>
      <c r="CS73" s="68" t="b">
        <f t="shared" si="134"/>
        <v>0</v>
      </c>
      <c r="CT73" s="68" t="b">
        <f t="shared" si="135"/>
        <v>0</v>
      </c>
      <c r="CU73" s="68" t="b">
        <f t="shared" si="136"/>
        <v>0</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str">
        <f t="shared" si="133"/>
        <v>Strip Ball</v>
      </c>
      <c r="CS74" s="68" t="b">
        <f t="shared" si="134"/>
        <v>0</v>
      </c>
      <c r="CT74" s="68" t="b">
        <f t="shared" si="135"/>
        <v>0</v>
      </c>
      <c r="CU74" s="68" t="b">
        <f t="shared" si="136"/>
        <v>0</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str">
        <f t="shared" si="133"/>
        <v>Sure Hands</v>
      </c>
      <c r="CS75" s="68" t="b">
        <f t="shared" si="134"/>
        <v>0</v>
      </c>
      <c r="CT75" s="68" t="b">
        <f t="shared" si="135"/>
        <v>0</v>
      </c>
      <c r="CU75" s="68" t="b">
        <f t="shared" si="136"/>
        <v>0</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str">
        <f t="shared" si="133"/>
        <v>Tackle</v>
      </c>
      <c r="CS76" s="68" t="b">
        <f t="shared" si="134"/>
        <v>0</v>
      </c>
      <c r="CT76" s="68" t="b">
        <f t="shared" si="135"/>
        <v>0</v>
      </c>
      <c r="CU76" s="68" t="b">
        <f t="shared" si="136"/>
        <v>0</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str">
        <f t="shared" si="133"/>
        <v>Wrestle</v>
      </c>
      <c r="CS77" s="68" t="b">
        <f t="shared" si="134"/>
        <v>0</v>
      </c>
      <c r="CT77" s="68" t="b">
        <f t="shared" si="135"/>
        <v>0</v>
      </c>
      <c r="CU77" s="68" t="b">
        <f t="shared" si="136"/>
        <v>0</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150000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str">
        <f t="shared" si="130"/>
        <v>Catch</v>
      </c>
      <c r="CP78" s="68" t="str">
        <f t="shared" si="131"/>
        <v>Catch</v>
      </c>
      <c r="CQ78" s="68" t="str">
        <f t="shared" si="132"/>
        <v>Catch</v>
      </c>
      <c r="CR78" s="68" t="str">
        <f t="shared" si="133"/>
        <v>Catch</v>
      </c>
      <c r="CS78" s="68" t="b">
        <f t="shared" si="134"/>
        <v>0</v>
      </c>
      <c r="CT78" s="68" t="b">
        <f t="shared" si="135"/>
        <v>0</v>
      </c>
      <c r="CU78" s="68" t="b">
        <f t="shared" si="136"/>
        <v>0</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str">
        <f t="shared" si="133"/>
        <v>Diving Catch</v>
      </c>
      <c r="CS79" s="68" t="b">
        <f t="shared" si="134"/>
        <v>0</v>
      </c>
      <c r="CT79" s="68" t="b">
        <f t="shared" si="135"/>
        <v>0</v>
      </c>
      <c r="CU79" s="68" t="b">
        <f t="shared" si="136"/>
        <v>0</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str">
        <f t="shared" si="133"/>
        <v>Diving Tackle</v>
      </c>
      <c r="CS80" s="68" t="b">
        <f t="shared" si="134"/>
        <v>0</v>
      </c>
      <c r="CT80" s="68" t="b">
        <f t="shared" si="135"/>
        <v>0</v>
      </c>
      <c r="CU80" s="68" t="b">
        <f t="shared" si="136"/>
        <v>0</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str">
        <f t="shared" si="130"/>
        <v>Dodge</v>
      </c>
      <c r="CP81" s="68" t="str">
        <f t="shared" si="131"/>
        <v>Dodge</v>
      </c>
      <c r="CQ81" s="68" t="str">
        <f t="shared" si="132"/>
        <v>Dodge</v>
      </c>
      <c r="CR81" s="68" t="str">
        <f t="shared" si="133"/>
        <v>Dodge</v>
      </c>
      <c r="CS81" s="68" t="b">
        <f t="shared" si="134"/>
        <v>0</v>
      </c>
      <c r="CT81" s="68" t="b">
        <f t="shared" si="135"/>
        <v>0</v>
      </c>
      <c r="CU81" s="68" t="b">
        <f t="shared" si="136"/>
        <v>0</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str">
        <f t="shared" si="133"/>
        <v>Defensive</v>
      </c>
      <c r="CS82" s="68" t="b">
        <f t="shared" si="134"/>
        <v>0</v>
      </c>
      <c r="CT82" s="68" t="b">
        <f t="shared" si="135"/>
        <v>0</v>
      </c>
      <c r="CU82" s="68" t="b">
        <f t="shared" si="136"/>
        <v>0</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str">
        <f t="shared" si="133"/>
        <v>Jump Up</v>
      </c>
      <c r="CS83" s="68" t="b">
        <f t="shared" si="134"/>
        <v>0</v>
      </c>
      <c r="CT83" s="68" t="b">
        <f t="shared" si="135"/>
        <v>0</v>
      </c>
      <c r="CU83" s="68" t="b">
        <f t="shared" si="136"/>
        <v>0</v>
      </c>
      <c r="CV83" s="68" t="b">
        <f t="shared" si="137"/>
        <v>0</v>
      </c>
      <c r="CW83" s="2"/>
      <c r="CX83" s="2"/>
      <c r="CY83" s="2"/>
      <c r="CZ83" s="12"/>
      <c r="DA83" s="2"/>
      <c r="DB83" s="2"/>
    </row>
    <row r="84" spans="1:106" ht="15" hidden="1" customHeight="1">
      <c r="A84" s="12"/>
      <c r="B84" s="304"/>
      <c r="C84" s="279"/>
      <c r="D84" s="279"/>
      <c r="E84" s="279"/>
      <c r="F84" s="27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str">
        <f t="shared" si="130"/>
        <v>Leap</v>
      </c>
      <c r="CP84" s="68" t="str">
        <f t="shared" si="131"/>
        <v>Leap</v>
      </c>
      <c r="CQ84" s="68" t="str">
        <f t="shared" si="132"/>
        <v>Leap</v>
      </c>
      <c r="CR84" s="68" t="str">
        <f t="shared" si="133"/>
        <v>Leap</v>
      </c>
      <c r="CS84" s="68" t="b">
        <f t="shared" si="134"/>
        <v>0</v>
      </c>
      <c r="CT84" s="68" t="b">
        <f t="shared" si="135"/>
        <v>0</v>
      </c>
      <c r="CU84" s="68" t="b">
        <f t="shared" si="136"/>
        <v>0</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str">
        <f t="shared" si="133"/>
        <v>Safe Pair of Hands</v>
      </c>
      <c r="CS85" s="68" t="b">
        <f t="shared" si="134"/>
        <v>0</v>
      </c>
      <c r="CT85" s="68" t="b">
        <f t="shared" si="135"/>
        <v>0</v>
      </c>
      <c r="CU85" s="68" t="b">
        <f t="shared" si="136"/>
        <v>0</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str">
        <f t="shared" si="133"/>
        <v>Sidestep</v>
      </c>
      <c r="CS86" s="68" t="b">
        <f t="shared" si="134"/>
        <v>0</v>
      </c>
      <c r="CT86" s="68" t="b">
        <f t="shared" si="135"/>
        <v>0</v>
      </c>
      <c r="CU86" s="68" t="b">
        <f t="shared" si="136"/>
        <v>0</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str">
        <f t="shared" si="133"/>
        <v>Sneaky Git</v>
      </c>
      <c r="CS87" s="68" t="b">
        <f t="shared" si="134"/>
        <v>0</v>
      </c>
      <c r="CT87" s="68" t="b">
        <f t="shared" si="135"/>
        <v>0</v>
      </c>
      <c r="CU87" s="68" t="b">
        <f t="shared" si="136"/>
        <v>0</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str">
        <f t="shared" si="133"/>
        <v>Sprint</v>
      </c>
      <c r="CS88" s="68" t="b">
        <f t="shared" si="134"/>
        <v>0</v>
      </c>
      <c r="CT88" s="68" t="b">
        <f t="shared" si="135"/>
        <v>0</v>
      </c>
      <c r="CU88" s="68" t="b">
        <f t="shared" si="136"/>
        <v>0</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str">
        <f t="shared" si="133"/>
        <v>Sure Feet</v>
      </c>
      <c r="CS89" s="68" t="b">
        <f t="shared" si="134"/>
        <v>0</v>
      </c>
      <c r="CT89" s="68" t="b">
        <f t="shared" si="135"/>
        <v>0</v>
      </c>
      <c r="CU89" s="68" t="b">
        <f t="shared" si="136"/>
        <v>0</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Accurate</v>
      </c>
      <c r="CH90" s="66" t="str">
        <f t="shared" si="123"/>
        <v>Accurate</v>
      </c>
      <c r="CI90" s="68" t="str">
        <f t="shared" si="124"/>
        <v>Accurate</v>
      </c>
      <c r="CJ90" s="68" t="str">
        <f t="shared" si="125"/>
        <v>Accurate</v>
      </c>
      <c r="CK90" s="68" t="str">
        <f t="shared" si="126"/>
        <v>Accurate</v>
      </c>
      <c r="CL90" s="68" t="str">
        <f t="shared" si="127"/>
        <v>Arm Bar</v>
      </c>
      <c r="CM90" s="68" t="str">
        <f t="shared" si="128"/>
        <v>Arm Bar</v>
      </c>
      <c r="CN90" s="68" t="str">
        <f t="shared" si="129"/>
        <v>Arm Bar</v>
      </c>
      <c r="CO90" s="68" t="str">
        <f t="shared" si="130"/>
        <v>Arm Bar</v>
      </c>
      <c r="CP90" s="68" t="str">
        <f t="shared" si="131"/>
        <v>Arm Bar</v>
      </c>
      <c r="CQ90" s="68" t="str">
        <f t="shared" si="132"/>
        <v>Arm Bar</v>
      </c>
      <c r="CR90" s="68" t="str">
        <f t="shared" si="133"/>
        <v>Arm Bar</v>
      </c>
      <c r="CS90" s="68" t="b">
        <f t="shared" si="134"/>
        <v>0</v>
      </c>
      <c r="CT90" s="68" t="b">
        <f t="shared" si="135"/>
        <v>0</v>
      </c>
      <c r="CU90" s="68" t="b">
        <f t="shared" si="136"/>
        <v>0</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Cannoneer</v>
      </c>
      <c r="CH91" s="66" t="str">
        <f t="shared" si="123"/>
        <v>Cannoneer</v>
      </c>
      <c r="CI91" s="68" t="str">
        <f t="shared" si="124"/>
        <v>Cannoneer</v>
      </c>
      <c r="CJ91" s="68" t="str">
        <f t="shared" si="125"/>
        <v>Cannoneer</v>
      </c>
      <c r="CK91" s="68" t="str">
        <f t="shared" si="126"/>
        <v>Cannoneer</v>
      </c>
      <c r="CL91" s="68" t="str">
        <f t="shared" si="127"/>
        <v>Brawler</v>
      </c>
      <c r="CM91" s="68" t="str">
        <f t="shared" si="128"/>
        <v>Brawler</v>
      </c>
      <c r="CN91" s="68" t="str">
        <f t="shared" si="129"/>
        <v>Brawler</v>
      </c>
      <c r="CO91" s="68" t="str">
        <f t="shared" si="130"/>
        <v>Brawler</v>
      </c>
      <c r="CP91" s="68" t="str">
        <f t="shared" si="131"/>
        <v>Brawler</v>
      </c>
      <c r="CQ91" s="68" t="str">
        <f t="shared" si="132"/>
        <v>Brawler</v>
      </c>
      <c r="CR91" s="68" t="str">
        <f t="shared" si="133"/>
        <v>Brawler</v>
      </c>
      <c r="CS91" s="68" t="b">
        <f t="shared" si="134"/>
        <v>0</v>
      </c>
      <c r="CT91" s="68" t="b">
        <f t="shared" si="135"/>
        <v>0</v>
      </c>
      <c r="CU91" s="68" t="b">
        <f t="shared" si="136"/>
        <v>0</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Cloud Burster</v>
      </c>
      <c r="CH92" s="66" t="str">
        <f t="shared" si="123"/>
        <v>Cloud Burster</v>
      </c>
      <c r="CI92" s="68" t="str">
        <f t="shared" si="124"/>
        <v>Cloud Burster</v>
      </c>
      <c r="CJ92" s="68" t="str">
        <f t="shared" si="125"/>
        <v>Cloud Burster</v>
      </c>
      <c r="CK92" s="68" t="str">
        <f t="shared" si="126"/>
        <v>Cloud Burster</v>
      </c>
      <c r="CL92" s="68" t="str">
        <f t="shared" si="127"/>
        <v>Break Tackle</v>
      </c>
      <c r="CM92" s="68" t="str">
        <f t="shared" si="128"/>
        <v>Break Tackle</v>
      </c>
      <c r="CN92" s="68" t="str">
        <f t="shared" si="129"/>
        <v>Break Tackle</v>
      </c>
      <c r="CO92" s="68" t="str">
        <f t="shared" si="130"/>
        <v>Break Tackle</v>
      </c>
      <c r="CP92" s="68" t="str">
        <f t="shared" si="131"/>
        <v>Break Tackle</v>
      </c>
      <c r="CQ92" s="68" t="str">
        <f t="shared" si="132"/>
        <v>Break Tackle</v>
      </c>
      <c r="CR92" s="68" t="str">
        <f t="shared" si="133"/>
        <v>Break Tackle</v>
      </c>
      <c r="CS92" s="68" t="b">
        <f t="shared" si="134"/>
        <v>0</v>
      </c>
      <c r="CT92" s="68" t="b">
        <f t="shared" si="135"/>
        <v>0</v>
      </c>
      <c r="CU92" s="68" t="b">
        <f t="shared" si="136"/>
        <v>0</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Dump-Off</v>
      </c>
      <c r="CH93" s="66" t="str">
        <f t="shared" si="123"/>
        <v>Dump-Off</v>
      </c>
      <c r="CI93" s="68" t="str">
        <f t="shared" si="124"/>
        <v>Dump-Off</v>
      </c>
      <c r="CJ93" s="68" t="str">
        <f t="shared" si="125"/>
        <v>Dump-Off</v>
      </c>
      <c r="CK93" s="68" t="str">
        <f t="shared" si="126"/>
        <v>Dump-Off</v>
      </c>
      <c r="CL93" s="68" t="str">
        <f t="shared" si="127"/>
        <v>Grab</v>
      </c>
      <c r="CM93" s="68" t="str">
        <f t="shared" si="128"/>
        <v>Grab</v>
      </c>
      <c r="CN93" s="68" t="str">
        <f t="shared" si="129"/>
        <v>Grab</v>
      </c>
      <c r="CO93" s="68" t="str">
        <f t="shared" si="130"/>
        <v>Grab</v>
      </c>
      <c r="CP93" s="68" t="str">
        <f t="shared" si="131"/>
        <v>Grab</v>
      </c>
      <c r="CQ93" s="68" t="str">
        <f t="shared" si="132"/>
        <v>Grab</v>
      </c>
      <c r="CR93" s="68" t="str">
        <f t="shared" si="133"/>
        <v>Grab</v>
      </c>
      <c r="CS93" s="68" t="b">
        <f t="shared" si="134"/>
        <v>0</v>
      </c>
      <c r="CT93" s="68" t="b">
        <f t="shared" si="135"/>
        <v>0</v>
      </c>
      <c r="CU93" s="68" t="b">
        <f t="shared" si="136"/>
        <v>0</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Fumblerooskie</v>
      </c>
      <c r="CH94" s="66" t="str">
        <f t="shared" si="123"/>
        <v>Fumblerooskie</v>
      </c>
      <c r="CI94" s="68" t="str">
        <f t="shared" si="124"/>
        <v>Fumblerooskie</v>
      </c>
      <c r="CJ94" s="68" t="str">
        <f t="shared" si="125"/>
        <v>Fumblerooskie</v>
      </c>
      <c r="CK94" s="68" t="str">
        <f t="shared" si="126"/>
        <v>Fumblerooskie</v>
      </c>
      <c r="CL94" s="68" t="str">
        <f t="shared" si="127"/>
        <v>Guard</v>
      </c>
      <c r="CM94" s="68" t="str">
        <f t="shared" si="128"/>
        <v>Guard</v>
      </c>
      <c r="CN94" s="68" t="str">
        <f t="shared" si="129"/>
        <v>Guard</v>
      </c>
      <c r="CO94" s="68" t="str">
        <f t="shared" si="130"/>
        <v>Guard</v>
      </c>
      <c r="CP94" s="68" t="str">
        <f t="shared" si="131"/>
        <v>Guard</v>
      </c>
      <c r="CQ94" s="68" t="str">
        <f t="shared" si="132"/>
        <v>Guard</v>
      </c>
      <c r="CR94" s="68" t="str">
        <f t="shared" si="133"/>
        <v>Guard</v>
      </c>
      <c r="CS94" s="68" t="b">
        <f t="shared" si="134"/>
        <v>0</v>
      </c>
      <c r="CT94" s="68" t="b">
        <f t="shared" si="135"/>
        <v>0</v>
      </c>
      <c r="CU94" s="68" t="b">
        <f t="shared" si="136"/>
        <v>0</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Hail Mary Pass</v>
      </c>
      <c r="CH95" s="66" t="str">
        <f t="shared" si="123"/>
        <v>Hail Mary Pass</v>
      </c>
      <c r="CI95" s="68" t="str">
        <f t="shared" si="124"/>
        <v>Hail Mary Pass</v>
      </c>
      <c r="CJ95" s="68" t="str">
        <f t="shared" si="125"/>
        <v>Hail Mary Pass</v>
      </c>
      <c r="CK95" s="68" t="str">
        <f t="shared" si="126"/>
        <v>Hail Mary Pass</v>
      </c>
      <c r="CL95" s="68" t="str">
        <f t="shared" si="127"/>
        <v>Juggernaut</v>
      </c>
      <c r="CM95" s="68" t="str">
        <f t="shared" si="128"/>
        <v>Juggernaut</v>
      </c>
      <c r="CN95" s="68" t="str">
        <f t="shared" si="129"/>
        <v>Juggernaut</v>
      </c>
      <c r="CO95" s="68" t="str">
        <f t="shared" si="130"/>
        <v>Juggernaut</v>
      </c>
      <c r="CP95" s="68" t="str">
        <f t="shared" si="131"/>
        <v>Juggernaut</v>
      </c>
      <c r="CQ95" s="68" t="str">
        <f t="shared" si="132"/>
        <v>Juggernaut</v>
      </c>
      <c r="CR95" s="68" t="str">
        <f t="shared" si="133"/>
        <v>Juggernaut</v>
      </c>
      <c r="CS95" s="68" t="b">
        <f t="shared" si="134"/>
        <v>0</v>
      </c>
      <c r="CT95" s="68" t="b">
        <f t="shared" si="135"/>
        <v>0</v>
      </c>
      <c r="CU95" s="68" t="b">
        <f t="shared" si="136"/>
        <v>0</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Leader</v>
      </c>
      <c r="CH96" s="66" t="str">
        <f t="shared" si="123"/>
        <v>Leader</v>
      </c>
      <c r="CI96" s="68" t="str">
        <f t="shared" si="124"/>
        <v>Leader</v>
      </c>
      <c r="CJ96" s="68" t="str">
        <f t="shared" si="125"/>
        <v>Leader</v>
      </c>
      <c r="CK96" s="68" t="str">
        <f t="shared" si="126"/>
        <v>Leader</v>
      </c>
      <c r="CL96" s="68" t="str">
        <f t="shared" si="127"/>
        <v>Mighty Blow (+1)</v>
      </c>
      <c r="CM96" s="68" t="str">
        <f t="shared" si="128"/>
        <v>Mighty Blow (+1)</v>
      </c>
      <c r="CN96" s="68" t="str">
        <f t="shared" si="129"/>
        <v>Mighty Blow (+1)</v>
      </c>
      <c r="CO96" s="68" t="str">
        <f t="shared" si="130"/>
        <v>Mighty Blow (+1)</v>
      </c>
      <c r="CP96" s="68" t="str">
        <f t="shared" si="131"/>
        <v>Mighty Blow (+1)</v>
      </c>
      <c r="CQ96" s="68" t="str">
        <f t="shared" si="132"/>
        <v>Mighty Blow (+1)</v>
      </c>
      <c r="CR96" s="68" t="str">
        <f t="shared" si="133"/>
        <v>Mighty Blow (+1)</v>
      </c>
      <c r="CS96" s="68" t="b">
        <f t="shared" si="134"/>
        <v>0</v>
      </c>
      <c r="CT96" s="68" t="b">
        <f t="shared" si="135"/>
        <v>0</v>
      </c>
      <c r="CU96" s="68" t="b">
        <f t="shared" si="136"/>
        <v>0</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Nerves of Steel</v>
      </c>
      <c r="CH97" s="66" t="str">
        <f t="shared" si="123"/>
        <v>Nerves of Steel</v>
      </c>
      <c r="CI97" s="68" t="str">
        <f t="shared" si="124"/>
        <v>Nerves of Steel</v>
      </c>
      <c r="CJ97" s="68" t="str">
        <f t="shared" si="125"/>
        <v>Nerves of Steel</v>
      </c>
      <c r="CK97" s="68" t="str">
        <f t="shared" si="126"/>
        <v>Nerves of Steel</v>
      </c>
      <c r="CL97" s="68" t="str">
        <f t="shared" si="127"/>
        <v>Multiple Blocks</v>
      </c>
      <c r="CM97" s="68" t="str">
        <f t="shared" si="128"/>
        <v>Multiple Blocks</v>
      </c>
      <c r="CN97" s="68" t="str">
        <f t="shared" si="129"/>
        <v>Multiple Blocks</v>
      </c>
      <c r="CO97" s="68" t="str">
        <f t="shared" si="130"/>
        <v>Multiple Blocks</v>
      </c>
      <c r="CP97" s="68" t="str">
        <f t="shared" si="131"/>
        <v>Multiple Blocks</v>
      </c>
      <c r="CQ97" s="68" t="str">
        <f t="shared" si="132"/>
        <v>Multiple Blocks</v>
      </c>
      <c r="CR97" s="68" t="str">
        <f t="shared" si="133"/>
        <v>Multiple Blocks</v>
      </c>
      <c r="CS97" s="68" t="b">
        <f t="shared" si="134"/>
        <v>0</v>
      </c>
      <c r="CT97" s="68" t="b">
        <f t="shared" si="135"/>
        <v>0</v>
      </c>
      <c r="CU97" s="68" t="b">
        <f t="shared" si="136"/>
        <v>0</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On the Ball</v>
      </c>
      <c r="CH98" s="66" t="str">
        <f t="shared" si="123"/>
        <v>On the Ball</v>
      </c>
      <c r="CI98" s="68" t="str">
        <f t="shared" si="124"/>
        <v>On the Ball</v>
      </c>
      <c r="CJ98" s="68" t="str">
        <f t="shared" si="125"/>
        <v>On the Ball</v>
      </c>
      <c r="CK98" s="68" t="str">
        <f t="shared" si="126"/>
        <v>On the Ball</v>
      </c>
      <c r="CL98" s="68" t="str">
        <f t="shared" si="127"/>
        <v>Pile Diver</v>
      </c>
      <c r="CM98" s="68" t="str">
        <f t="shared" si="128"/>
        <v>Pile Diver</v>
      </c>
      <c r="CN98" s="68" t="str">
        <f t="shared" si="129"/>
        <v>Pile Diver</v>
      </c>
      <c r="CO98" s="68" t="str">
        <f t="shared" si="130"/>
        <v>Pile Diver</v>
      </c>
      <c r="CP98" s="68" t="str">
        <f t="shared" si="131"/>
        <v>Pile Diver</v>
      </c>
      <c r="CQ98" s="68" t="str">
        <f t="shared" si="132"/>
        <v>Pile Diver</v>
      </c>
      <c r="CR98" s="68" t="str">
        <f t="shared" si="133"/>
        <v>Pile Diver</v>
      </c>
      <c r="CS98" s="68" t="b">
        <f t="shared" si="134"/>
        <v>0</v>
      </c>
      <c r="CT98" s="68" t="b">
        <f t="shared" si="135"/>
        <v>0</v>
      </c>
      <c r="CU98" s="68" t="b">
        <f t="shared" si="136"/>
        <v>0</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Pass</v>
      </c>
      <c r="CH99" s="66" t="str">
        <f t="shared" si="123"/>
        <v>Pass</v>
      </c>
      <c r="CI99" s="68" t="str">
        <f t="shared" si="124"/>
        <v>Pass</v>
      </c>
      <c r="CJ99" s="68" t="str">
        <f t="shared" si="125"/>
        <v>Pass</v>
      </c>
      <c r="CK99" s="68" t="str">
        <f t="shared" si="126"/>
        <v>Pass</v>
      </c>
      <c r="CL99" s="68" t="str">
        <f t="shared" si="127"/>
        <v>Stand Firm</v>
      </c>
      <c r="CM99" s="68" t="str">
        <f t="shared" si="128"/>
        <v>Stand Firm</v>
      </c>
      <c r="CN99" s="68" t="str">
        <f t="shared" si="129"/>
        <v>Stand Firm</v>
      </c>
      <c r="CO99" s="68" t="str">
        <f t="shared" si="130"/>
        <v>Stand Firm</v>
      </c>
      <c r="CP99" s="68" t="str">
        <f t="shared" si="131"/>
        <v>Stand Firm</v>
      </c>
      <c r="CQ99" s="68" t="str">
        <f t="shared" si="132"/>
        <v>Stand Firm</v>
      </c>
      <c r="CR99" s="68" t="str">
        <f t="shared" si="133"/>
        <v>Stand Firm</v>
      </c>
      <c r="CS99" s="68" t="b">
        <f t="shared" si="134"/>
        <v>0</v>
      </c>
      <c r="CT99" s="68" t="b">
        <f t="shared" si="135"/>
        <v>0</v>
      </c>
      <c r="CU99" s="68" t="b">
        <f t="shared" si="136"/>
        <v>0</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Running Pass</v>
      </c>
      <c r="CH100" s="66" t="str">
        <f t="shared" si="123"/>
        <v>Running Pass</v>
      </c>
      <c r="CI100" s="68" t="str">
        <f t="shared" si="124"/>
        <v>Running Pass</v>
      </c>
      <c r="CJ100" s="68" t="str">
        <f t="shared" si="125"/>
        <v>Running Pass</v>
      </c>
      <c r="CK100" s="68" t="str">
        <f t="shared" si="126"/>
        <v>Running Pass</v>
      </c>
      <c r="CL100" s="68" t="str">
        <f t="shared" si="127"/>
        <v>Strong Arm</v>
      </c>
      <c r="CM100" s="68" t="str">
        <f t="shared" si="128"/>
        <v>Strong Arm</v>
      </c>
      <c r="CN100" s="68" t="str">
        <f t="shared" si="129"/>
        <v>Strong Arm</v>
      </c>
      <c r="CO100" s="68" t="str">
        <f t="shared" si="130"/>
        <v>Strong Arm</v>
      </c>
      <c r="CP100" s="68" t="str">
        <f t="shared" si="131"/>
        <v>Strong Arm</v>
      </c>
      <c r="CQ100" s="68" t="str">
        <f t="shared" si="132"/>
        <v>Strong Arm</v>
      </c>
      <c r="CR100" s="68" t="str">
        <f t="shared" si="133"/>
        <v>Strong Arm</v>
      </c>
      <c r="CS100" s="68" t="b">
        <f t="shared" si="134"/>
        <v>0</v>
      </c>
      <c r="CT100" s="68" t="b">
        <f t="shared" si="135"/>
        <v>0</v>
      </c>
      <c r="CU100" s="68" t="b">
        <f t="shared" si="136"/>
        <v>0</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Safe Pass</v>
      </c>
      <c r="CH101" s="66" t="str">
        <f t="shared" si="123"/>
        <v>Safe Pass</v>
      </c>
      <c r="CI101" s="68" t="str">
        <f t="shared" si="124"/>
        <v>Safe Pass</v>
      </c>
      <c r="CJ101" s="68" t="str">
        <f t="shared" si="125"/>
        <v>Safe Pass</v>
      </c>
      <c r="CK101" s="68" t="str">
        <f t="shared" si="126"/>
        <v>Safe Pass</v>
      </c>
      <c r="CL101" s="68" t="str">
        <f t="shared" si="127"/>
        <v>Thick Skull</v>
      </c>
      <c r="CM101" s="68" t="str">
        <f t="shared" si="128"/>
        <v>Thick Skull</v>
      </c>
      <c r="CN101" s="68" t="str">
        <f t="shared" si="129"/>
        <v>Thick Skull</v>
      </c>
      <c r="CO101" s="68" t="str">
        <f t="shared" si="130"/>
        <v>Thick Skull</v>
      </c>
      <c r="CP101" s="68" t="str">
        <f t="shared" si="131"/>
        <v>Thick Skull</v>
      </c>
      <c r="CQ101" s="68" t="str">
        <f t="shared" si="132"/>
        <v>Thick Skull</v>
      </c>
      <c r="CR101" s="68" t="str">
        <f t="shared" si="133"/>
        <v>Thick Skull</v>
      </c>
      <c r="CS101" s="68" t="b">
        <f t="shared" si="134"/>
        <v>0</v>
      </c>
      <c r="CT101" s="68" t="b">
        <f t="shared" si="135"/>
        <v>0</v>
      </c>
      <c r="CU101" s="68" t="b">
        <f t="shared" si="136"/>
        <v>0</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Arm Bar</v>
      </c>
      <c r="CH102" s="66" t="str">
        <f t="shared" si="123"/>
        <v>Arm Bar</v>
      </c>
      <c r="CI102" s="68" t="str">
        <f t="shared" si="124"/>
        <v>Arm Bar</v>
      </c>
      <c r="CJ102" s="68" t="str">
        <f t="shared" si="125"/>
        <v>Arm Bar</v>
      </c>
      <c r="CK102" s="68" t="str">
        <f t="shared" si="126"/>
        <v>Arm Bar</v>
      </c>
      <c r="CL102" s="68" t="str">
        <f t="shared" si="127"/>
        <v/>
      </c>
      <c r="CM102" s="68" t="str">
        <f t="shared" si="128"/>
        <v/>
      </c>
      <c r="CN102" s="68" t="str">
        <f t="shared" si="129"/>
        <v/>
      </c>
      <c r="CO102" s="68" t="str">
        <f t="shared" si="130"/>
        <v/>
      </c>
      <c r="CP102" s="68" t="str">
        <f t="shared" si="131"/>
        <v/>
      </c>
      <c r="CQ102" s="68" t="str">
        <f t="shared" si="132"/>
        <v/>
      </c>
      <c r="CR102" s="68" t="str">
        <f t="shared" si="133"/>
        <v/>
      </c>
      <c r="CS102" s="68" t="b">
        <f t="shared" si="134"/>
        <v>0</v>
      </c>
      <c r="CT102" s="68" t="b">
        <f t="shared" si="135"/>
        <v>0</v>
      </c>
      <c r="CU102" s="68" t="b">
        <f t="shared" si="136"/>
        <v>0</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Brawler</v>
      </c>
      <c r="CH103" s="66" t="str">
        <f t="shared" si="123"/>
        <v>Brawler</v>
      </c>
      <c r="CI103" s="68" t="str">
        <f t="shared" si="124"/>
        <v>Brawler</v>
      </c>
      <c r="CJ103" s="68" t="str">
        <f t="shared" si="125"/>
        <v>Brawler</v>
      </c>
      <c r="CK103" s="68" t="str">
        <f t="shared" si="126"/>
        <v>Brawler</v>
      </c>
      <c r="CL103" s="68" t="str">
        <f t="shared" si="127"/>
        <v/>
      </c>
      <c r="CM103" s="68" t="str">
        <f t="shared" si="128"/>
        <v/>
      </c>
      <c r="CN103" s="68" t="str">
        <f t="shared" si="129"/>
        <v/>
      </c>
      <c r="CO103" s="68" t="str">
        <f t="shared" si="130"/>
        <v/>
      </c>
      <c r="CP103" s="68" t="str">
        <f t="shared" si="131"/>
        <v/>
      </c>
      <c r="CQ103" s="68" t="str">
        <f t="shared" si="132"/>
        <v/>
      </c>
      <c r="CR103" s="68" t="str">
        <f t="shared" si="133"/>
        <v/>
      </c>
      <c r="CS103" s="68" t="b">
        <f t="shared" si="134"/>
        <v>0</v>
      </c>
      <c r="CT103" s="68" t="b">
        <f t="shared" si="135"/>
        <v>0</v>
      </c>
      <c r="CU103" s="68" t="b">
        <f t="shared" si="136"/>
        <v>0</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Break Tackle</v>
      </c>
      <c r="CH104" s="66" t="str">
        <f t="shared" si="123"/>
        <v>Break Tackle</v>
      </c>
      <c r="CI104" s="68" t="str">
        <f t="shared" si="124"/>
        <v>Break Tackle</v>
      </c>
      <c r="CJ104" s="68" t="str">
        <f t="shared" si="125"/>
        <v>Break Tackle</v>
      </c>
      <c r="CK104" s="68" t="str">
        <f t="shared" si="126"/>
        <v>Break Tackle</v>
      </c>
      <c r="CL104" s="68" t="str">
        <f t="shared" si="127"/>
        <v/>
      </c>
      <c r="CM104" s="68" t="str">
        <f t="shared" si="128"/>
        <v/>
      </c>
      <c r="CN104" s="68" t="str">
        <f t="shared" si="129"/>
        <v/>
      </c>
      <c r="CO104" s="68" t="str">
        <f t="shared" si="130"/>
        <v/>
      </c>
      <c r="CP104" s="68" t="str">
        <f t="shared" si="131"/>
        <v/>
      </c>
      <c r="CQ104" s="68" t="str">
        <f t="shared" si="132"/>
        <v/>
      </c>
      <c r="CR104" s="68" t="str">
        <f t="shared" si="133"/>
        <v/>
      </c>
      <c r="CS104" s="68" t="b">
        <f t="shared" si="134"/>
        <v>0</v>
      </c>
      <c r="CT104" s="68" t="b">
        <f t="shared" si="135"/>
        <v>0</v>
      </c>
      <c r="CU104" s="68" t="b">
        <f t="shared" si="136"/>
        <v>0</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Grab</v>
      </c>
      <c r="CH105" s="66" t="str">
        <f t="shared" si="123"/>
        <v>Grab</v>
      </c>
      <c r="CI105" s="68" t="str">
        <f t="shared" si="124"/>
        <v>Grab</v>
      </c>
      <c r="CJ105" s="68" t="str">
        <f t="shared" si="125"/>
        <v>Grab</v>
      </c>
      <c r="CK105" s="68" t="str">
        <f t="shared" si="126"/>
        <v>Grab</v>
      </c>
      <c r="CL105" s="68" t="str">
        <f t="shared" si="127"/>
        <v/>
      </c>
      <c r="CM105" s="68" t="str">
        <f t="shared" si="128"/>
        <v/>
      </c>
      <c r="CN105" s="68" t="str">
        <f t="shared" si="129"/>
        <v/>
      </c>
      <c r="CO105" s="68" t="str">
        <f t="shared" si="130"/>
        <v/>
      </c>
      <c r="CP105" s="68" t="str">
        <f t="shared" si="131"/>
        <v/>
      </c>
      <c r="CQ105" s="68" t="str">
        <f t="shared" si="132"/>
        <v/>
      </c>
      <c r="CR105" s="68" t="str">
        <f t="shared" si="133"/>
        <v/>
      </c>
      <c r="CS105" s="68" t="b">
        <f t="shared" si="134"/>
        <v>0</v>
      </c>
      <c r="CT105" s="68" t="b">
        <f t="shared" si="135"/>
        <v>0</v>
      </c>
      <c r="CU105" s="68" t="b">
        <f t="shared" si="136"/>
        <v>0</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Guard</v>
      </c>
      <c r="CH106" s="66" t="str">
        <f t="shared" si="123"/>
        <v>Guard</v>
      </c>
      <c r="CI106" s="68" t="str">
        <f t="shared" si="124"/>
        <v>Guard</v>
      </c>
      <c r="CJ106" s="68" t="str">
        <f t="shared" si="125"/>
        <v>Guard</v>
      </c>
      <c r="CK106" s="68" t="str">
        <f t="shared" si="126"/>
        <v>Guard</v>
      </c>
      <c r="CL106" s="68" t="str">
        <f t="shared" si="127"/>
        <v/>
      </c>
      <c r="CM106" s="68" t="str">
        <f t="shared" si="128"/>
        <v/>
      </c>
      <c r="CN106" s="68" t="str">
        <f t="shared" si="129"/>
        <v/>
      </c>
      <c r="CO106" s="68" t="str">
        <f t="shared" si="130"/>
        <v/>
      </c>
      <c r="CP106" s="68" t="str">
        <f t="shared" si="131"/>
        <v/>
      </c>
      <c r="CQ106" s="68" t="str">
        <f t="shared" si="132"/>
        <v/>
      </c>
      <c r="CR106" s="68" t="str">
        <f t="shared" si="133"/>
        <v/>
      </c>
      <c r="CS106" s="68" t="b">
        <f t="shared" si="134"/>
        <v>0</v>
      </c>
      <c r="CT106" s="68" t="b">
        <f t="shared" si="135"/>
        <v>0</v>
      </c>
      <c r="CU106" s="68" t="b">
        <f t="shared" si="136"/>
        <v>0</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Juggernaut</v>
      </c>
      <c r="CH107" s="66" t="str">
        <f t="shared" si="123"/>
        <v>Juggernaut</v>
      </c>
      <c r="CI107" s="68" t="str">
        <f t="shared" si="124"/>
        <v>Juggernaut</v>
      </c>
      <c r="CJ107" s="68" t="str">
        <f t="shared" si="125"/>
        <v>Juggernaut</v>
      </c>
      <c r="CK107" s="68" t="str">
        <f t="shared" si="126"/>
        <v>Juggernaut</v>
      </c>
      <c r="CL107" s="68" t="str">
        <f t="shared" si="127"/>
        <v/>
      </c>
      <c r="CM107" s="68" t="str">
        <f t="shared" si="128"/>
        <v/>
      </c>
      <c r="CN107" s="68" t="str">
        <f t="shared" si="129"/>
        <v/>
      </c>
      <c r="CO107" s="68" t="str">
        <f t="shared" si="130"/>
        <v/>
      </c>
      <c r="CP107" s="68" t="str">
        <f t="shared" si="131"/>
        <v/>
      </c>
      <c r="CQ107" s="68" t="str">
        <f t="shared" si="132"/>
        <v/>
      </c>
      <c r="CR107" s="68" t="str">
        <f t="shared" si="133"/>
        <v/>
      </c>
      <c r="CS107" s="68" t="b">
        <f t="shared" si="134"/>
        <v>0</v>
      </c>
      <c r="CT107" s="68" t="b">
        <f t="shared" si="135"/>
        <v>0</v>
      </c>
      <c r="CU107" s="68" t="b">
        <f t="shared" si="136"/>
        <v>0</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Mighty Blow (+1)</v>
      </c>
      <c r="CH108" s="66" t="str">
        <f t="shared" si="123"/>
        <v>Mighty Blow (+1)</v>
      </c>
      <c r="CI108" s="68" t="str">
        <f t="shared" si="124"/>
        <v>Mighty Blow (+1)</v>
      </c>
      <c r="CJ108" s="68" t="str">
        <f t="shared" si="125"/>
        <v>Mighty Blow (+1)</v>
      </c>
      <c r="CK108" s="68" t="str">
        <f t="shared" si="126"/>
        <v>Mighty Blow (+1)</v>
      </c>
      <c r="CL108" s="68" t="str">
        <f t="shared" si="127"/>
        <v/>
      </c>
      <c r="CM108" s="68" t="str">
        <f t="shared" si="128"/>
        <v/>
      </c>
      <c r="CN108" s="68" t="str">
        <f t="shared" si="129"/>
        <v/>
      </c>
      <c r="CO108" s="68" t="str">
        <f t="shared" si="130"/>
        <v/>
      </c>
      <c r="CP108" s="68" t="str">
        <f t="shared" si="131"/>
        <v/>
      </c>
      <c r="CQ108" s="68" t="str">
        <f t="shared" si="132"/>
        <v/>
      </c>
      <c r="CR108" s="68" t="str">
        <f t="shared" si="133"/>
        <v/>
      </c>
      <c r="CS108" s="68" t="b">
        <f t="shared" si="134"/>
        <v>0</v>
      </c>
      <c r="CT108" s="68" t="b">
        <f t="shared" si="135"/>
        <v>0</v>
      </c>
      <c r="CU108" s="68" t="b">
        <f t="shared" si="136"/>
        <v>0</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Multiple Blocks</v>
      </c>
      <c r="CH109" s="66" t="str">
        <f t="shared" si="123"/>
        <v>Multiple Blocks</v>
      </c>
      <c r="CI109" s="68" t="str">
        <f t="shared" si="124"/>
        <v>Multiple Blocks</v>
      </c>
      <c r="CJ109" s="68" t="str">
        <f t="shared" si="125"/>
        <v>Multiple Blocks</v>
      </c>
      <c r="CK109" s="68" t="str">
        <f t="shared" si="126"/>
        <v>Multiple Blocks</v>
      </c>
      <c r="CL109" s="68" t="str">
        <f t="shared" si="127"/>
        <v/>
      </c>
      <c r="CM109" s="68" t="str">
        <f t="shared" si="128"/>
        <v/>
      </c>
      <c r="CN109" s="68" t="str">
        <f t="shared" si="129"/>
        <v/>
      </c>
      <c r="CO109" s="68" t="str">
        <f t="shared" si="130"/>
        <v/>
      </c>
      <c r="CP109" s="68" t="str">
        <f t="shared" si="131"/>
        <v/>
      </c>
      <c r="CQ109" s="68" t="str">
        <f t="shared" si="132"/>
        <v/>
      </c>
      <c r="CR109" s="68" t="str">
        <f t="shared" si="133"/>
        <v/>
      </c>
      <c r="CS109" s="68" t="b">
        <f t="shared" si="134"/>
        <v>0</v>
      </c>
      <c r="CT109" s="68" t="b">
        <f t="shared" si="135"/>
        <v>0</v>
      </c>
      <c r="CU109" s="68" t="b">
        <f t="shared" si="136"/>
        <v>0</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Pile Diver</v>
      </c>
      <c r="CH110" s="66" t="str">
        <f t="shared" si="123"/>
        <v>Pile Diver</v>
      </c>
      <c r="CI110" s="68" t="str">
        <f t="shared" si="124"/>
        <v>Pile Diver</v>
      </c>
      <c r="CJ110" s="68" t="str">
        <f t="shared" si="125"/>
        <v>Pile Diver</v>
      </c>
      <c r="CK110" s="68" t="str">
        <f t="shared" si="126"/>
        <v>Pile Diver</v>
      </c>
      <c r="CL110" s="68" t="str">
        <f t="shared" si="127"/>
        <v/>
      </c>
      <c r="CM110" s="68" t="str">
        <f t="shared" si="128"/>
        <v/>
      </c>
      <c r="CN110" s="68" t="str">
        <f t="shared" si="129"/>
        <v/>
      </c>
      <c r="CO110" s="68" t="str">
        <f t="shared" si="130"/>
        <v/>
      </c>
      <c r="CP110" s="68" t="str">
        <f t="shared" si="131"/>
        <v/>
      </c>
      <c r="CQ110" s="68" t="str">
        <f t="shared" si="132"/>
        <v/>
      </c>
      <c r="CR110" s="68" t="str">
        <f t="shared" si="133"/>
        <v/>
      </c>
      <c r="CS110" s="68" t="b">
        <f t="shared" si="134"/>
        <v>0</v>
      </c>
      <c r="CT110" s="68" t="b">
        <f t="shared" si="135"/>
        <v>0</v>
      </c>
      <c r="CU110" s="68" t="b">
        <f t="shared" si="136"/>
        <v>0</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Stand Firm</v>
      </c>
      <c r="CH111" s="66" t="str">
        <f t="shared" si="123"/>
        <v>Stand Firm</v>
      </c>
      <c r="CI111" s="68" t="str">
        <f t="shared" si="124"/>
        <v>Stand Firm</v>
      </c>
      <c r="CJ111" s="68" t="str">
        <f t="shared" si="125"/>
        <v>Stand Firm</v>
      </c>
      <c r="CK111" s="68" t="str">
        <f t="shared" si="126"/>
        <v>Stand Firm</v>
      </c>
      <c r="CL111" s="68" t="str">
        <f t="shared" si="127"/>
        <v/>
      </c>
      <c r="CM111" s="68" t="str">
        <f t="shared" si="128"/>
        <v/>
      </c>
      <c r="CN111" s="68" t="str">
        <f t="shared" si="129"/>
        <v/>
      </c>
      <c r="CO111" s="68" t="str">
        <f t="shared" si="130"/>
        <v/>
      </c>
      <c r="CP111" s="68" t="str">
        <f t="shared" si="131"/>
        <v/>
      </c>
      <c r="CQ111" s="68" t="str">
        <f t="shared" si="132"/>
        <v/>
      </c>
      <c r="CR111" s="68" t="str">
        <f t="shared" si="133"/>
        <v/>
      </c>
      <c r="CS111" s="68" t="b">
        <f t="shared" si="134"/>
        <v>0</v>
      </c>
      <c r="CT111" s="68" t="b">
        <f t="shared" si="135"/>
        <v>0</v>
      </c>
      <c r="CU111" s="68" t="b">
        <f t="shared" si="136"/>
        <v>0</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Strong Arm</v>
      </c>
      <c r="CH112" s="66" t="str">
        <f t="shared" si="123"/>
        <v>Strong Arm</v>
      </c>
      <c r="CI112" s="68" t="str">
        <f t="shared" si="124"/>
        <v>Strong Arm</v>
      </c>
      <c r="CJ112" s="68" t="str">
        <f t="shared" si="125"/>
        <v>Strong Arm</v>
      </c>
      <c r="CK112" s="68" t="str">
        <f t="shared" si="126"/>
        <v>Strong Arm</v>
      </c>
      <c r="CL112" s="68" t="str">
        <f t="shared" si="127"/>
        <v/>
      </c>
      <c r="CM112" s="68" t="str">
        <f t="shared" si="128"/>
        <v/>
      </c>
      <c r="CN112" s="68" t="str">
        <f t="shared" si="129"/>
        <v/>
      </c>
      <c r="CO112" s="68" t="str">
        <f t="shared" si="130"/>
        <v/>
      </c>
      <c r="CP112" s="68" t="str">
        <f t="shared" si="131"/>
        <v/>
      </c>
      <c r="CQ112" s="68" t="str">
        <f t="shared" si="132"/>
        <v/>
      </c>
      <c r="CR112" s="68" t="str">
        <f t="shared" si="133"/>
        <v/>
      </c>
      <c r="CS112" s="68" t="b">
        <f t="shared" si="134"/>
        <v>0</v>
      </c>
      <c r="CT112" s="68" t="b">
        <f t="shared" si="135"/>
        <v>0</v>
      </c>
      <c r="CU112" s="68" t="b">
        <f t="shared" si="136"/>
        <v>0</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Thick Skull</v>
      </c>
      <c r="CH113" s="66" t="str">
        <f t="shared" si="123"/>
        <v>Thick Skull</v>
      </c>
      <c r="CI113" s="68" t="str">
        <f t="shared" si="124"/>
        <v>Thick Skull</v>
      </c>
      <c r="CJ113" s="68" t="str">
        <f t="shared" si="125"/>
        <v>Thick Skull</v>
      </c>
      <c r="CK113" s="68" t="str">
        <f t="shared" si="126"/>
        <v>Thick Skull</v>
      </c>
      <c r="CL113" s="68" t="str">
        <f t="shared" si="127"/>
        <v/>
      </c>
      <c r="CM113" s="68" t="str">
        <f t="shared" si="128"/>
        <v/>
      </c>
      <c r="CN113" s="68" t="str">
        <f t="shared" si="129"/>
        <v/>
      </c>
      <c r="CO113" s="68" t="str">
        <f t="shared" si="130"/>
        <v/>
      </c>
      <c r="CP113" s="68" t="str">
        <f t="shared" si="131"/>
        <v/>
      </c>
      <c r="CQ113" s="68" t="str">
        <f t="shared" si="132"/>
        <v/>
      </c>
      <c r="CR113" s="68" t="str">
        <f t="shared" si="133"/>
        <v/>
      </c>
      <c r="CS113" s="68" t="b">
        <f t="shared" si="134"/>
        <v>0</v>
      </c>
      <c r="CT113" s="68" t="b">
        <f t="shared" si="135"/>
        <v>0</v>
      </c>
      <c r="CU113" s="68" t="b">
        <f t="shared" si="136"/>
        <v>0</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str">
        <f t="shared" si="130"/>
        <v/>
      </c>
      <c r="CP114" s="68" t="str">
        <f t="shared" si="131"/>
        <v/>
      </c>
      <c r="CQ114" s="68" t="str">
        <f t="shared" si="132"/>
        <v/>
      </c>
      <c r="CR114" s="68" t="str">
        <f t="shared" si="133"/>
        <v/>
      </c>
      <c r="CS114" s="68" t="b">
        <f t="shared" si="134"/>
        <v>0</v>
      </c>
      <c r="CT114" s="68" t="b">
        <f t="shared" si="135"/>
        <v>0</v>
      </c>
      <c r="CU114" s="68" t="b">
        <f t="shared" si="136"/>
        <v>0</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str">
        <f t="shared" si="130"/>
        <v/>
      </c>
      <c r="CP115" s="68" t="str">
        <f t="shared" si="131"/>
        <v/>
      </c>
      <c r="CQ115" s="68" t="str">
        <f t="shared" si="132"/>
        <v/>
      </c>
      <c r="CR115" s="68" t="str">
        <f t="shared" si="133"/>
        <v/>
      </c>
      <c r="CS115" s="68" t="b">
        <f t="shared" si="134"/>
        <v>0</v>
      </c>
      <c r="CT115" s="68" t="b">
        <f t="shared" si="135"/>
        <v>0</v>
      </c>
      <c r="CU115" s="68" t="b">
        <f t="shared" si="136"/>
        <v>0</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str">
        <f t="shared" si="130"/>
        <v/>
      </c>
      <c r="CP116" s="68" t="str">
        <f t="shared" si="131"/>
        <v/>
      </c>
      <c r="CQ116" s="68" t="str">
        <f t="shared" si="132"/>
        <v/>
      </c>
      <c r="CR116" s="68" t="str">
        <f t="shared" si="133"/>
        <v/>
      </c>
      <c r="CS116" s="68" t="b">
        <f t="shared" si="134"/>
        <v>0</v>
      </c>
      <c r="CT116" s="68" t="b">
        <f t="shared" si="135"/>
        <v>0</v>
      </c>
      <c r="CU116" s="68" t="b">
        <f t="shared" si="136"/>
        <v>0</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str">
        <f t="shared" si="130"/>
        <v/>
      </c>
      <c r="CP117" s="68" t="str">
        <f t="shared" si="131"/>
        <v/>
      </c>
      <c r="CQ117" s="68" t="str">
        <f t="shared" si="132"/>
        <v/>
      </c>
      <c r="CR117" s="68" t="str">
        <f t="shared" si="133"/>
        <v/>
      </c>
      <c r="CS117" s="68" t="b">
        <f t="shared" si="134"/>
        <v>0</v>
      </c>
      <c r="CT117" s="68" t="b">
        <f t="shared" si="135"/>
        <v>0</v>
      </c>
      <c r="CU117" s="68" t="b">
        <f t="shared" si="136"/>
        <v>0</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str">
        <f t="shared" si="130"/>
        <v/>
      </c>
      <c r="CP118" s="68" t="str">
        <f t="shared" si="131"/>
        <v/>
      </c>
      <c r="CQ118" s="68" t="str">
        <f t="shared" si="132"/>
        <v/>
      </c>
      <c r="CR118" s="68" t="str">
        <f t="shared" si="133"/>
        <v/>
      </c>
      <c r="CS118" s="68" t="b">
        <f t="shared" si="134"/>
        <v>0</v>
      </c>
      <c r="CT118" s="68" t="b">
        <f t="shared" si="135"/>
        <v>0</v>
      </c>
      <c r="CU118" s="68" t="b">
        <f t="shared" si="136"/>
        <v>0</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str">
        <f t="shared" si="130"/>
        <v/>
      </c>
      <c r="CP119" s="68" t="str">
        <f t="shared" si="131"/>
        <v/>
      </c>
      <c r="CQ119" s="68" t="str">
        <f t="shared" si="132"/>
        <v/>
      </c>
      <c r="CR119" s="68" t="str">
        <f t="shared" si="133"/>
        <v/>
      </c>
      <c r="CS119" s="68" t="b">
        <f t="shared" si="134"/>
        <v>0</v>
      </c>
      <c r="CT119" s="68" t="b">
        <f t="shared" si="135"/>
        <v>0</v>
      </c>
      <c r="CU119" s="68" t="b">
        <f t="shared" si="136"/>
        <v>0</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str">
        <f t="shared" si="130"/>
        <v/>
      </c>
      <c r="CP120" s="68" t="str">
        <f t="shared" si="131"/>
        <v/>
      </c>
      <c r="CQ120" s="68" t="str">
        <f t="shared" si="132"/>
        <v/>
      </c>
      <c r="CR120" s="68" t="str">
        <f t="shared" si="133"/>
        <v/>
      </c>
      <c r="CS120" s="68" t="b">
        <f t="shared" si="134"/>
        <v>0</v>
      </c>
      <c r="CT120" s="68" t="b">
        <f t="shared" si="135"/>
        <v>0</v>
      </c>
      <c r="CU120" s="68" t="b">
        <f t="shared" si="136"/>
        <v>0</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str">
        <f t="shared" si="130"/>
        <v/>
      </c>
      <c r="CP121" s="68" t="str">
        <f t="shared" si="131"/>
        <v/>
      </c>
      <c r="CQ121" s="68" t="str">
        <f t="shared" si="132"/>
        <v/>
      </c>
      <c r="CR121" s="68" t="str">
        <f t="shared" si="133"/>
        <v/>
      </c>
      <c r="CS121" s="68" t="b">
        <f t="shared" si="134"/>
        <v>0</v>
      </c>
      <c r="CT121" s="68" t="b">
        <f t="shared" si="135"/>
        <v>0</v>
      </c>
      <c r="CU121" s="68" t="b">
        <f t="shared" si="136"/>
        <v>0</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str">
        <f t="shared" si="130"/>
        <v/>
      </c>
      <c r="CP122" s="68" t="str">
        <f t="shared" si="131"/>
        <v/>
      </c>
      <c r="CQ122" s="68" t="str">
        <f t="shared" si="132"/>
        <v/>
      </c>
      <c r="CR122" s="68" t="str">
        <f t="shared" si="133"/>
        <v/>
      </c>
      <c r="CS122" s="68" t="b">
        <f t="shared" si="134"/>
        <v>0</v>
      </c>
      <c r="CT122" s="68" t="b">
        <f t="shared" si="135"/>
        <v>0</v>
      </c>
      <c r="CU122" s="68" t="b">
        <f t="shared" si="136"/>
        <v>0</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str">
        <f t="shared" si="130"/>
        <v/>
      </c>
      <c r="CP123" s="68" t="str">
        <f t="shared" si="131"/>
        <v/>
      </c>
      <c r="CQ123" s="68" t="str">
        <f t="shared" si="132"/>
        <v/>
      </c>
      <c r="CR123" s="68" t="str">
        <f t="shared" si="133"/>
        <v/>
      </c>
      <c r="CS123" s="68" t="b">
        <f t="shared" si="134"/>
        <v>0</v>
      </c>
      <c r="CT123" s="68" t="b">
        <f t="shared" si="135"/>
        <v>0</v>
      </c>
      <c r="CU123" s="68" t="b">
        <f t="shared" si="136"/>
        <v>0</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str">
        <f t="shared" si="130"/>
        <v/>
      </c>
      <c r="CP124" s="68" t="str">
        <f t="shared" si="131"/>
        <v/>
      </c>
      <c r="CQ124" s="68" t="str">
        <f t="shared" si="132"/>
        <v/>
      </c>
      <c r="CR124" s="68" t="str">
        <f t="shared" si="133"/>
        <v/>
      </c>
      <c r="CS124" s="68" t="b">
        <f t="shared" si="134"/>
        <v>0</v>
      </c>
      <c r="CT124" s="68" t="b">
        <f t="shared" si="135"/>
        <v>0</v>
      </c>
      <c r="CU124" s="68" t="b">
        <f t="shared" si="136"/>
        <v>0</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str">
        <f t="shared" si="130"/>
        <v/>
      </c>
      <c r="CP125" s="68" t="str">
        <f t="shared" si="131"/>
        <v/>
      </c>
      <c r="CQ125" s="68" t="str">
        <f t="shared" si="132"/>
        <v/>
      </c>
      <c r="CR125" s="68" t="str">
        <f t="shared" si="133"/>
        <v/>
      </c>
      <c r="CS125" s="68" t="b">
        <f t="shared" si="134"/>
        <v>0</v>
      </c>
      <c r="CT125" s="68" t="b">
        <f t="shared" si="135"/>
        <v>0</v>
      </c>
      <c r="CU125" s="68" t="b">
        <f t="shared" si="136"/>
        <v>0</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str">
        <f t="shared" si="130"/>
        <v/>
      </c>
      <c r="CP126" s="68" t="str">
        <f t="shared" si="131"/>
        <v/>
      </c>
      <c r="CQ126" s="68" t="str">
        <f t="shared" si="132"/>
        <v/>
      </c>
      <c r="CR126" s="68" t="str">
        <f t="shared" si="133"/>
        <v/>
      </c>
      <c r="CS126" s="68" t="b">
        <f t="shared" si="134"/>
        <v>0</v>
      </c>
      <c r="CT126" s="68" t="b">
        <f t="shared" si="135"/>
        <v>0</v>
      </c>
      <c r="CU126" s="68"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str">
        <f t="shared" si="130"/>
        <v/>
      </c>
      <c r="CP127" s="68" t="str">
        <f t="shared" si="131"/>
        <v/>
      </c>
      <c r="CQ127" s="68" t="str">
        <f t="shared" si="132"/>
        <v/>
      </c>
      <c r="CR127" s="68" t="str">
        <f t="shared" si="133"/>
        <v/>
      </c>
      <c r="CS127" s="68" t="b">
        <f t="shared" si="134"/>
        <v>0</v>
      </c>
      <c r="CT127" s="68" t="b">
        <f t="shared" si="135"/>
        <v>0</v>
      </c>
      <c r="CU127" s="68"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str">
        <f t="shared" si="130"/>
        <v/>
      </c>
      <c r="CP128" s="68" t="str">
        <f t="shared" si="131"/>
        <v/>
      </c>
      <c r="CQ128" s="68" t="str">
        <f t="shared" si="132"/>
        <v/>
      </c>
      <c r="CR128" s="68" t="str">
        <f t="shared" si="133"/>
        <v/>
      </c>
      <c r="CS128" s="68" t="b">
        <f t="shared" si="134"/>
        <v>0</v>
      </c>
      <c r="CT128" s="68" t="b">
        <f t="shared" si="135"/>
        <v>0</v>
      </c>
      <c r="CU128" s="68"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str">
        <f t="shared" si="130"/>
        <v/>
      </c>
      <c r="CP129" s="68" t="str">
        <f t="shared" si="131"/>
        <v/>
      </c>
      <c r="CQ129" s="68" t="str">
        <f t="shared" si="132"/>
        <v/>
      </c>
      <c r="CR129" s="68" t="str">
        <f t="shared" si="133"/>
        <v/>
      </c>
      <c r="CS129" s="68" t="b">
        <f t="shared" si="134"/>
        <v>0</v>
      </c>
      <c r="CT129" s="68" t="b">
        <f t="shared" si="135"/>
        <v>0</v>
      </c>
      <c r="CU129" s="68"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str">
        <f t="shared" si="130"/>
        <v/>
      </c>
      <c r="CP130" s="68" t="str">
        <f t="shared" si="131"/>
        <v/>
      </c>
      <c r="CQ130" s="68" t="str">
        <f t="shared" si="132"/>
        <v/>
      </c>
      <c r="CR130" s="68" t="str">
        <f t="shared" si="133"/>
        <v/>
      </c>
      <c r="CS130" s="68" t="b">
        <f t="shared" si="134"/>
        <v>0</v>
      </c>
      <c r="CT130" s="68" t="b">
        <f t="shared" si="135"/>
        <v>0</v>
      </c>
      <c r="CU130" s="68"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str">
        <f t="shared" si="130"/>
        <v/>
      </c>
      <c r="CP131" s="68" t="str">
        <f t="shared" si="131"/>
        <v/>
      </c>
      <c r="CQ131" s="68" t="str">
        <f t="shared" si="132"/>
        <v/>
      </c>
      <c r="CR131" s="68" t="str">
        <f t="shared" si="133"/>
        <v/>
      </c>
      <c r="CS131" s="68" t="b">
        <f t="shared" si="134"/>
        <v>0</v>
      </c>
      <c r="CT131" s="68" t="b">
        <f t="shared" si="135"/>
        <v>0</v>
      </c>
      <c r="CU131" s="68"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str">
        <f t="shared" si="130"/>
        <v/>
      </c>
      <c r="CP132" s="68" t="str">
        <f t="shared" si="131"/>
        <v/>
      </c>
      <c r="CQ132" s="68" t="str">
        <f t="shared" si="132"/>
        <v/>
      </c>
      <c r="CR132" s="68" t="str">
        <f t="shared" si="133"/>
        <v/>
      </c>
      <c r="CS132" s="68" t="b">
        <f t="shared" si="134"/>
        <v>0</v>
      </c>
      <c r="CT132" s="68" t="b">
        <f t="shared" si="135"/>
        <v>0</v>
      </c>
      <c r="CU132" s="68"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str">
        <f t="shared" si="130"/>
        <v/>
      </c>
      <c r="CP133" s="68" t="str">
        <f t="shared" si="131"/>
        <v/>
      </c>
      <c r="CQ133" s="68" t="str">
        <f t="shared" si="132"/>
        <v/>
      </c>
      <c r="CR133" s="68" t="str">
        <f t="shared" si="133"/>
        <v/>
      </c>
      <c r="CS133" s="68" t="b">
        <f t="shared" si="134"/>
        <v>0</v>
      </c>
      <c r="CT133" s="68" t="b">
        <f t="shared" si="135"/>
        <v>0</v>
      </c>
      <c r="CU133" s="68"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str">
        <f t="shared" si="130"/>
        <v/>
      </c>
      <c r="CP134" s="68" t="str">
        <f t="shared" si="131"/>
        <v/>
      </c>
      <c r="CQ134" s="68" t="str">
        <f t="shared" si="132"/>
        <v/>
      </c>
      <c r="CR134" s="68" t="str">
        <f t="shared" si="133"/>
        <v/>
      </c>
      <c r="CS134" s="68" t="b">
        <f t="shared" si="134"/>
        <v>0</v>
      </c>
      <c r="CT134" s="68" t="b">
        <f t="shared" si="135"/>
        <v>0</v>
      </c>
      <c r="CU134" s="68"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str">
        <f t="shared" si="130"/>
        <v/>
      </c>
      <c r="CP135" s="68" t="str">
        <f t="shared" si="131"/>
        <v/>
      </c>
      <c r="CQ135" s="68" t="str">
        <f t="shared" si="132"/>
        <v/>
      </c>
      <c r="CR135" s="68" t="str">
        <f t="shared" si="133"/>
        <v/>
      </c>
      <c r="CS135" s="68" t="b">
        <f t="shared" si="134"/>
        <v>0</v>
      </c>
      <c r="CT135" s="68" t="b">
        <f t="shared" si="135"/>
        <v>0</v>
      </c>
      <c r="CU135" s="68"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str">
        <f t="shared" si="130"/>
        <v/>
      </c>
      <c r="CP136" s="68" t="str">
        <f t="shared" si="131"/>
        <v/>
      </c>
      <c r="CQ136" s="68" t="str">
        <f t="shared" si="132"/>
        <v/>
      </c>
      <c r="CR136" s="68" t="str">
        <f t="shared" si="133"/>
        <v/>
      </c>
      <c r="CS136" s="68" t="b">
        <f t="shared" si="134"/>
        <v>0</v>
      </c>
      <c r="CT136" s="68" t="b">
        <f t="shared" si="135"/>
        <v>0</v>
      </c>
      <c r="CU136" s="68"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str">
        <f t="shared" si="130"/>
        <v/>
      </c>
      <c r="CP137" s="68" t="str">
        <f t="shared" si="131"/>
        <v/>
      </c>
      <c r="CQ137" s="68" t="str">
        <f t="shared" si="132"/>
        <v/>
      </c>
      <c r="CR137" s="68" t="str">
        <f t="shared" si="133"/>
        <v/>
      </c>
      <c r="CS137" s="68" t="b">
        <f t="shared" si="134"/>
        <v>0</v>
      </c>
      <c r="CT137" s="68" t="b">
        <f t="shared" si="135"/>
        <v>0</v>
      </c>
      <c r="CU137" s="68"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f t="shared" si="130"/>
        <v>0</v>
      </c>
      <c r="CP138" s="68">
        <f t="shared" si="131"/>
        <v>0</v>
      </c>
      <c r="CQ138" s="68">
        <f t="shared" si="132"/>
        <v>0</v>
      </c>
      <c r="CR138" s="68">
        <f t="shared" si="133"/>
        <v>0</v>
      </c>
      <c r="CS138" s="68" t="b">
        <f t="shared" si="134"/>
        <v>0</v>
      </c>
      <c r="CT138" s="68" t="b">
        <f t="shared" si="135"/>
        <v>0</v>
      </c>
      <c r="CU138" s="68"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f t="shared" si="130"/>
        <v>0</v>
      </c>
      <c r="CP139" s="68">
        <f t="shared" si="131"/>
        <v>0</v>
      </c>
      <c r="CQ139" s="68">
        <f t="shared" si="132"/>
        <v>0</v>
      </c>
      <c r="CR139" s="68">
        <f t="shared" si="133"/>
        <v>0</v>
      </c>
      <c r="CS139" s="68" t="b">
        <f t="shared" si="134"/>
        <v>0</v>
      </c>
      <c r="CT139" s="68" t="b">
        <f t="shared" si="135"/>
        <v>0</v>
      </c>
      <c r="CU139" s="68"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51" priority="6" operator="equal">
      <formula>0</formula>
    </cfRule>
  </conditionalFormatting>
  <conditionalFormatting sqref="AG37:AH52">
    <cfRule type="cellIs" dxfId="350" priority="7" operator="equal">
      <formula>0</formula>
    </cfRule>
  </conditionalFormatting>
  <conditionalFormatting sqref="B9 G9:H9">
    <cfRule type="expression" dxfId="349" priority="8">
      <formula>$AR$64="MNG"</formula>
    </cfRule>
  </conditionalFormatting>
  <conditionalFormatting sqref="B9 G9:H9">
    <cfRule type="cellIs" dxfId="348" priority="9" operator="equal">
      <formula>0</formula>
    </cfRule>
  </conditionalFormatting>
  <conditionalFormatting sqref="B10 G10:H10">
    <cfRule type="expression" dxfId="347" priority="10">
      <formula>$AR$65="MNG"</formula>
    </cfRule>
  </conditionalFormatting>
  <conditionalFormatting sqref="B10 G10:H10">
    <cfRule type="cellIs" dxfId="346" priority="11" operator="equal">
      <formula>0</formula>
    </cfRule>
  </conditionalFormatting>
  <conditionalFormatting sqref="G2:N19 O18:AM19">
    <cfRule type="cellIs" dxfId="345" priority="12" operator="equal">
      <formula>0</formula>
    </cfRule>
  </conditionalFormatting>
  <conditionalFormatting sqref="L2:N2 L3:M17 N3:N14 N16:N17">
    <cfRule type="cellIs" dxfId="344" priority="13" operator="equal">
      <formula>"0+"</formula>
    </cfRule>
  </conditionalFormatting>
  <conditionalFormatting sqref="W32">
    <cfRule type="cellIs" dxfId="343" priority="14" operator="equal">
      <formula>0</formula>
    </cfRule>
  </conditionalFormatting>
  <conditionalFormatting sqref="G3:H3">
    <cfRule type="expression" dxfId="342" priority="15">
      <formula>#REF!="MNG"</formula>
    </cfRule>
  </conditionalFormatting>
  <conditionalFormatting sqref="G3:H3">
    <cfRule type="cellIs" dxfId="341" priority="16" operator="equal">
      <formula>0</formula>
    </cfRule>
  </conditionalFormatting>
  <conditionalFormatting sqref="G4:H4">
    <cfRule type="expression" dxfId="340" priority="17">
      <formula>#REF!="MNG"</formula>
    </cfRule>
  </conditionalFormatting>
  <conditionalFormatting sqref="G4:H4">
    <cfRule type="cellIs" dxfId="339" priority="18" operator="equal">
      <formula>0</formula>
    </cfRule>
  </conditionalFormatting>
  <conditionalFormatting sqref="G5:H5">
    <cfRule type="expression" dxfId="338" priority="19">
      <formula>$BJ$39="MNG"</formula>
    </cfRule>
  </conditionalFormatting>
  <conditionalFormatting sqref="G5:H5">
    <cfRule type="cellIs" dxfId="337" priority="20" operator="equal">
      <formula>0</formula>
    </cfRule>
  </conditionalFormatting>
  <conditionalFormatting sqref="B11 G11:H11">
    <cfRule type="expression" dxfId="336" priority="21">
      <formula>$BJ$45="MNG"</formula>
    </cfRule>
  </conditionalFormatting>
  <conditionalFormatting sqref="B11 G11:H11">
    <cfRule type="cellIs" dxfId="335" priority="22" operator="equal">
      <formula>0</formula>
    </cfRule>
  </conditionalFormatting>
  <conditionalFormatting sqref="B12 G12:H12">
    <cfRule type="expression" dxfId="334" priority="23">
      <formula>$BJ$46="MNG"</formula>
    </cfRule>
  </conditionalFormatting>
  <conditionalFormatting sqref="B12 G12:H12">
    <cfRule type="cellIs" dxfId="333" priority="24" operator="equal">
      <formula>0</formula>
    </cfRule>
  </conditionalFormatting>
  <conditionalFormatting sqref="B13 G13:H13">
    <cfRule type="expression" dxfId="332" priority="25">
      <formula>$BJ$47="MNG"</formula>
    </cfRule>
  </conditionalFormatting>
  <conditionalFormatting sqref="B13 G13:H13">
    <cfRule type="cellIs" dxfId="331" priority="26" operator="equal">
      <formula>0</formula>
    </cfRule>
  </conditionalFormatting>
  <conditionalFormatting sqref="B14 G14:H14">
    <cfRule type="expression" dxfId="330" priority="27">
      <formula>$BJ$48="MNG"</formula>
    </cfRule>
  </conditionalFormatting>
  <conditionalFormatting sqref="B14 G14:H14">
    <cfRule type="cellIs" dxfId="329" priority="28" operator="equal">
      <formula>0</formula>
    </cfRule>
  </conditionalFormatting>
  <conditionalFormatting sqref="J3">
    <cfRule type="cellIs" dxfId="328" priority="29" operator="lessThan">
      <formula>W62</formula>
    </cfRule>
  </conditionalFormatting>
  <conditionalFormatting sqref="J3">
    <cfRule type="cellIs" dxfId="327" priority="30" operator="greaterThan">
      <formula>W62</formula>
    </cfRule>
  </conditionalFormatting>
  <conditionalFormatting sqref="J4">
    <cfRule type="cellIs" dxfId="326" priority="31" operator="lessThan">
      <formula>W63</formula>
    </cfRule>
  </conditionalFormatting>
  <conditionalFormatting sqref="J4">
    <cfRule type="cellIs" dxfId="325" priority="32" operator="greaterThan">
      <formula>W63</formula>
    </cfRule>
  </conditionalFormatting>
  <conditionalFormatting sqref="J5">
    <cfRule type="cellIs" dxfId="324" priority="33" operator="lessThan">
      <formula>W64</formula>
    </cfRule>
  </conditionalFormatting>
  <conditionalFormatting sqref="J5">
    <cfRule type="cellIs" dxfId="323" priority="34" operator="greaterThan">
      <formula>W64</formula>
    </cfRule>
  </conditionalFormatting>
  <conditionalFormatting sqref="J6">
    <cfRule type="cellIs" dxfId="322" priority="35" operator="lessThan">
      <formula>W65</formula>
    </cfRule>
  </conditionalFormatting>
  <conditionalFormatting sqref="J6">
    <cfRule type="cellIs" dxfId="321" priority="36" operator="greaterThan">
      <formula>W65</formula>
    </cfRule>
  </conditionalFormatting>
  <conditionalFormatting sqref="J7">
    <cfRule type="cellIs" dxfId="320" priority="37" operator="lessThan">
      <formula>W66</formula>
    </cfRule>
  </conditionalFormatting>
  <conditionalFormatting sqref="J7">
    <cfRule type="cellIs" dxfId="319" priority="38" operator="greaterThan">
      <formula>W66</formula>
    </cfRule>
  </conditionalFormatting>
  <conditionalFormatting sqref="J8">
    <cfRule type="cellIs" dxfId="318" priority="39" operator="lessThan">
      <formula>W67</formula>
    </cfRule>
  </conditionalFormatting>
  <conditionalFormatting sqref="J8">
    <cfRule type="cellIs" dxfId="317" priority="40" operator="greaterThan">
      <formula>W67</formula>
    </cfRule>
  </conditionalFormatting>
  <conditionalFormatting sqref="J9">
    <cfRule type="cellIs" dxfId="316" priority="41" operator="lessThan">
      <formula>W68</formula>
    </cfRule>
  </conditionalFormatting>
  <conditionalFormatting sqref="J9">
    <cfRule type="cellIs" dxfId="315" priority="42" operator="greaterThan">
      <formula>W68</formula>
    </cfRule>
  </conditionalFormatting>
  <conditionalFormatting sqref="J10">
    <cfRule type="cellIs" dxfId="314" priority="43" operator="lessThan">
      <formula>W69</formula>
    </cfRule>
  </conditionalFormatting>
  <conditionalFormatting sqref="J10">
    <cfRule type="cellIs" dxfId="313" priority="44" operator="greaterThan">
      <formula>W69</formula>
    </cfRule>
  </conditionalFormatting>
  <conditionalFormatting sqref="J11">
    <cfRule type="cellIs" dxfId="312" priority="45" operator="lessThan">
      <formula>W70</formula>
    </cfRule>
  </conditionalFormatting>
  <conditionalFormatting sqref="J11">
    <cfRule type="cellIs" dxfId="311" priority="46" operator="greaterThan">
      <formula>W70</formula>
    </cfRule>
  </conditionalFormatting>
  <conditionalFormatting sqref="J12">
    <cfRule type="cellIs" dxfId="310" priority="47" operator="lessThan">
      <formula>W71</formula>
    </cfRule>
  </conditionalFormatting>
  <conditionalFormatting sqref="J12">
    <cfRule type="cellIs" dxfId="309" priority="48" operator="greaterThan">
      <formula>W71</formula>
    </cfRule>
  </conditionalFormatting>
  <conditionalFormatting sqref="J13">
    <cfRule type="cellIs" dxfId="308" priority="49" operator="lessThan">
      <formula>W72</formula>
    </cfRule>
  </conditionalFormatting>
  <conditionalFormatting sqref="J13">
    <cfRule type="cellIs" dxfId="307" priority="50" operator="greaterThan">
      <formula>W72</formula>
    </cfRule>
  </conditionalFormatting>
  <conditionalFormatting sqref="J14">
    <cfRule type="cellIs" dxfId="306" priority="51" operator="lessThan">
      <formula>W73</formula>
    </cfRule>
  </conditionalFormatting>
  <conditionalFormatting sqref="J14">
    <cfRule type="cellIs" dxfId="305" priority="52" operator="greaterThan">
      <formula>W73</formula>
    </cfRule>
  </conditionalFormatting>
  <conditionalFormatting sqref="J16">
    <cfRule type="cellIs" dxfId="304" priority="53" operator="lessThan">
      <formula>W75</formula>
    </cfRule>
  </conditionalFormatting>
  <conditionalFormatting sqref="J16">
    <cfRule type="cellIs" dxfId="303" priority="54" operator="greaterThan">
      <formula>W75</formula>
    </cfRule>
  </conditionalFormatting>
  <conditionalFormatting sqref="J17">
    <cfRule type="cellIs" dxfId="302" priority="55" operator="lessThan">
      <formula>W76</formula>
    </cfRule>
  </conditionalFormatting>
  <conditionalFormatting sqref="J17">
    <cfRule type="cellIs" dxfId="301" priority="56" operator="greaterThan">
      <formula>W76</formula>
    </cfRule>
  </conditionalFormatting>
  <conditionalFormatting sqref="K3">
    <cfRule type="cellIs" dxfId="300" priority="57" operator="lessThan">
      <formula>X62</formula>
    </cfRule>
  </conditionalFormatting>
  <conditionalFormatting sqref="K3">
    <cfRule type="cellIs" dxfId="299" priority="58" operator="greaterThan">
      <formula>X62</formula>
    </cfRule>
  </conditionalFormatting>
  <conditionalFormatting sqref="N3">
    <cfRule type="cellIs" dxfId="298" priority="59" operator="equal">
      <formula>"0+"</formula>
    </cfRule>
  </conditionalFormatting>
  <conditionalFormatting sqref="N3">
    <cfRule type="expression" dxfId="297" priority="60">
      <formula>O62&lt;AA62</formula>
    </cfRule>
  </conditionalFormatting>
  <conditionalFormatting sqref="N3">
    <cfRule type="expression" dxfId="296" priority="61">
      <formula>O62&gt;AA62</formula>
    </cfRule>
  </conditionalFormatting>
  <conditionalFormatting sqref="K4">
    <cfRule type="cellIs" dxfId="295" priority="62" operator="lessThan">
      <formula>X63</formula>
    </cfRule>
  </conditionalFormatting>
  <conditionalFormatting sqref="K4">
    <cfRule type="cellIs" dxfId="294" priority="63" operator="greaterThan">
      <formula>X63</formula>
    </cfRule>
  </conditionalFormatting>
  <conditionalFormatting sqref="N4">
    <cfRule type="cellIs" dxfId="293" priority="64" operator="equal">
      <formula>"0+"</formula>
    </cfRule>
  </conditionalFormatting>
  <conditionalFormatting sqref="N4">
    <cfRule type="expression" dxfId="292" priority="65">
      <formula>O63&lt;AA63</formula>
    </cfRule>
  </conditionalFormatting>
  <conditionalFormatting sqref="N4">
    <cfRule type="expression" dxfId="291" priority="66">
      <formula>O63&gt;AA63</formula>
    </cfRule>
  </conditionalFormatting>
  <conditionalFormatting sqref="K5">
    <cfRule type="cellIs" dxfId="290" priority="67" operator="lessThan">
      <formula>X64</formula>
    </cfRule>
  </conditionalFormatting>
  <conditionalFormatting sqref="K5">
    <cfRule type="cellIs" dxfId="289" priority="68" operator="greaterThan">
      <formula>X64</formula>
    </cfRule>
  </conditionalFormatting>
  <conditionalFormatting sqref="N5">
    <cfRule type="cellIs" dxfId="288" priority="69" operator="equal">
      <formula>"0+"</formula>
    </cfRule>
  </conditionalFormatting>
  <conditionalFormatting sqref="N5">
    <cfRule type="expression" dxfId="287" priority="70">
      <formula>O64&lt;AA64</formula>
    </cfRule>
  </conditionalFormatting>
  <conditionalFormatting sqref="N5">
    <cfRule type="expression" dxfId="286" priority="71">
      <formula>O64&gt;AA64</formula>
    </cfRule>
  </conditionalFormatting>
  <conditionalFormatting sqref="K6">
    <cfRule type="cellIs" dxfId="285" priority="72" operator="lessThan">
      <formula>X65</formula>
    </cfRule>
  </conditionalFormatting>
  <conditionalFormatting sqref="K6">
    <cfRule type="cellIs" dxfId="284" priority="73" operator="greaterThan">
      <formula>X65</formula>
    </cfRule>
  </conditionalFormatting>
  <conditionalFormatting sqref="N6">
    <cfRule type="cellIs" dxfId="283" priority="74" operator="equal">
      <formula>"0+"</formula>
    </cfRule>
  </conditionalFormatting>
  <conditionalFormatting sqref="N6">
    <cfRule type="expression" dxfId="282" priority="75">
      <formula>O65&lt;AA65</formula>
    </cfRule>
  </conditionalFormatting>
  <conditionalFormatting sqref="N6">
    <cfRule type="expression" dxfId="281" priority="76">
      <formula>O65&gt;AA65</formula>
    </cfRule>
  </conditionalFormatting>
  <conditionalFormatting sqref="K7">
    <cfRule type="cellIs" dxfId="280" priority="77" operator="lessThan">
      <formula>X66</formula>
    </cfRule>
  </conditionalFormatting>
  <conditionalFormatting sqref="K7">
    <cfRule type="cellIs" dxfId="279" priority="78" operator="greaterThan">
      <formula>X66</formula>
    </cfRule>
  </conditionalFormatting>
  <conditionalFormatting sqref="N7">
    <cfRule type="cellIs" dxfId="278" priority="79" operator="equal">
      <formula>"0+"</formula>
    </cfRule>
  </conditionalFormatting>
  <conditionalFormatting sqref="N7">
    <cfRule type="expression" dxfId="277" priority="80">
      <formula>O66&lt;AA66</formula>
    </cfRule>
  </conditionalFormatting>
  <conditionalFormatting sqref="N7">
    <cfRule type="expression" dxfId="276" priority="81">
      <formula>O66&gt;AA66</formula>
    </cfRule>
  </conditionalFormatting>
  <conditionalFormatting sqref="K8">
    <cfRule type="cellIs" dxfId="275" priority="82" operator="lessThan">
      <formula>X67</formula>
    </cfRule>
  </conditionalFormatting>
  <conditionalFormatting sqref="K8">
    <cfRule type="cellIs" dxfId="274" priority="83" operator="greaterThan">
      <formula>X67</formula>
    </cfRule>
  </conditionalFormatting>
  <conditionalFormatting sqref="N8">
    <cfRule type="cellIs" dxfId="273" priority="84" operator="equal">
      <formula>"0+"</formula>
    </cfRule>
  </conditionalFormatting>
  <conditionalFormatting sqref="N8">
    <cfRule type="expression" dxfId="272" priority="85">
      <formula>O67&lt;AA67</formula>
    </cfRule>
  </conditionalFormatting>
  <conditionalFormatting sqref="N8">
    <cfRule type="expression" dxfId="271" priority="86">
      <formula>O67&gt;AA67</formula>
    </cfRule>
  </conditionalFormatting>
  <conditionalFormatting sqref="K9">
    <cfRule type="cellIs" dxfId="270" priority="87" operator="lessThan">
      <formula>X68</formula>
    </cfRule>
  </conditionalFormatting>
  <conditionalFormatting sqref="K9">
    <cfRule type="cellIs" dxfId="269" priority="88" operator="greaterThan">
      <formula>X68</formula>
    </cfRule>
  </conditionalFormatting>
  <conditionalFormatting sqref="N9">
    <cfRule type="cellIs" dxfId="268" priority="89" operator="equal">
      <formula>"0+"</formula>
    </cfRule>
  </conditionalFormatting>
  <conditionalFormatting sqref="N9">
    <cfRule type="expression" dxfId="267" priority="90">
      <formula>O68&lt;AA68</formula>
    </cfRule>
  </conditionalFormatting>
  <conditionalFormatting sqref="N9">
    <cfRule type="expression" dxfId="266" priority="91">
      <formula>O68&gt;AA68</formula>
    </cfRule>
  </conditionalFormatting>
  <conditionalFormatting sqref="K10">
    <cfRule type="cellIs" dxfId="265" priority="92" operator="lessThan">
      <formula>X69</formula>
    </cfRule>
  </conditionalFormatting>
  <conditionalFormatting sqref="K10">
    <cfRule type="cellIs" dxfId="264" priority="93" operator="greaterThan">
      <formula>X69</formula>
    </cfRule>
  </conditionalFormatting>
  <conditionalFormatting sqref="N10">
    <cfRule type="cellIs" dxfId="263" priority="94" operator="equal">
      <formula>"0+"</formula>
    </cfRule>
  </conditionalFormatting>
  <conditionalFormatting sqref="N10">
    <cfRule type="expression" dxfId="262" priority="95">
      <formula>O69&lt;AA69</formula>
    </cfRule>
  </conditionalFormatting>
  <conditionalFormatting sqref="N10">
    <cfRule type="expression" dxfId="261" priority="96">
      <formula>O69&gt;AA69</formula>
    </cfRule>
  </conditionalFormatting>
  <conditionalFormatting sqref="K11">
    <cfRule type="cellIs" dxfId="260" priority="97" operator="lessThan">
      <formula>X70</formula>
    </cfRule>
  </conditionalFormatting>
  <conditionalFormatting sqref="K11">
    <cfRule type="cellIs" dxfId="259" priority="98" operator="greaterThan">
      <formula>X70</formula>
    </cfRule>
  </conditionalFormatting>
  <conditionalFormatting sqref="N11">
    <cfRule type="cellIs" dxfId="258" priority="99" operator="equal">
      <formula>"0+"</formula>
    </cfRule>
  </conditionalFormatting>
  <conditionalFormatting sqref="N11">
    <cfRule type="expression" dxfId="257" priority="100">
      <formula>O70&lt;AA70</formula>
    </cfRule>
  </conditionalFormatting>
  <conditionalFormatting sqref="N11">
    <cfRule type="expression" dxfId="256" priority="101">
      <formula>O70&gt;AA70</formula>
    </cfRule>
  </conditionalFormatting>
  <conditionalFormatting sqref="K12">
    <cfRule type="cellIs" dxfId="255" priority="102" operator="lessThan">
      <formula>X71</formula>
    </cfRule>
  </conditionalFormatting>
  <conditionalFormatting sqref="K12">
    <cfRule type="cellIs" dxfId="254" priority="103" operator="greaterThan">
      <formula>X71</formula>
    </cfRule>
  </conditionalFormatting>
  <conditionalFormatting sqref="N12">
    <cfRule type="cellIs" dxfId="253" priority="104" operator="equal">
      <formula>"0+"</formula>
    </cfRule>
  </conditionalFormatting>
  <conditionalFormatting sqref="N12">
    <cfRule type="expression" dxfId="252" priority="105">
      <formula>O71&lt;AA71</formula>
    </cfRule>
  </conditionalFormatting>
  <conditionalFormatting sqref="N12">
    <cfRule type="expression" dxfId="251" priority="106">
      <formula>O71&gt;AA71</formula>
    </cfRule>
  </conditionalFormatting>
  <conditionalFormatting sqref="K13">
    <cfRule type="cellIs" dxfId="250" priority="107" operator="lessThan">
      <formula>X72</formula>
    </cfRule>
  </conditionalFormatting>
  <conditionalFormatting sqref="K13">
    <cfRule type="cellIs" dxfId="249" priority="108" operator="greaterThan">
      <formula>X72</formula>
    </cfRule>
  </conditionalFormatting>
  <conditionalFormatting sqref="N13">
    <cfRule type="cellIs" dxfId="248" priority="109" operator="equal">
      <formula>"0+"</formula>
    </cfRule>
  </conditionalFormatting>
  <conditionalFormatting sqref="N13">
    <cfRule type="expression" dxfId="247" priority="110">
      <formula>O72&lt;AA72</formula>
    </cfRule>
  </conditionalFormatting>
  <conditionalFormatting sqref="N13">
    <cfRule type="expression" dxfId="246" priority="111">
      <formula>O72&gt;AA72</formula>
    </cfRule>
  </conditionalFormatting>
  <conditionalFormatting sqref="K14">
    <cfRule type="cellIs" dxfId="245" priority="112" operator="lessThan">
      <formula>X73</formula>
    </cfRule>
  </conditionalFormatting>
  <conditionalFormatting sqref="K14">
    <cfRule type="cellIs" dxfId="244" priority="113" operator="greaterThan">
      <formula>X73</formula>
    </cfRule>
  </conditionalFormatting>
  <conditionalFormatting sqref="N14">
    <cfRule type="cellIs" dxfId="243" priority="114" operator="equal">
      <formula>"0+"</formula>
    </cfRule>
  </conditionalFormatting>
  <conditionalFormatting sqref="N14">
    <cfRule type="expression" dxfId="242" priority="115">
      <formula>O73&lt;AA73</formula>
    </cfRule>
  </conditionalFormatting>
  <conditionalFormatting sqref="N14">
    <cfRule type="expression" dxfId="241" priority="116">
      <formula>O73&gt;AA73</formula>
    </cfRule>
  </conditionalFormatting>
  <conditionalFormatting sqref="K16">
    <cfRule type="cellIs" dxfId="240" priority="117" operator="lessThan">
      <formula>X75</formula>
    </cfRule>
  </conditionalFormatting>
  <conditionalFormatting sqref="K16">
    <cfRule type="cellIs" dxfId="239" priority="118" operator="greaterThan">
      <formula>X75</formula>
    </cfRule>
  </conditionalFormatting>
  <conditionalFormatting sqref="N16">
    <cfRule type="cellIs" dxfId="238" priority="119" operator="equal">
      <formula>"0+"</formula>
    </cfRule>
  </conditionalFormatting>
  <conditionalFormatting sqref="N16">
    <cfRule type="expression" dxfId="237" priority="120">
      <formula>O75&lt;AA75</formula>
    </cfRule>
  </conditionalFormatting>
  <conditionalFormatting sqref="N16">
    <cfRule type="expression" dxfId="236" priority="121">
      <formula>O75&gt;AA75</formula>
    </cfRule>
  </conditionalFormatting>
  <conditionalFormatting sqref="K17">
    <cfRule type="cellIs" dxfId="235" priority="122" operator="lessThan">
      <formula>X76</formula>
    </cfRule>
  </conditionalFormatting>
  <conditionalFormatting sqref="K17">
    <cfRule type="cellIs" dxfId="234" priority="123" operator="greaterThan">
      <formula>X76</formula>
    </cfRule>
  </conditionalFormatting>
  <conditionalFormatting sqref="N17">
    <cfRule type="cellIs" dxfId="233" priority="124" operator="equal">
      <formula>"0+"</formula>
    </cfRule>
  </conditionalFormatting>
  <conditionalFormatting sqref="N17">
    <cfRule type="expression" dxfId="232" priority="125">
      <formula>O76&lt;AA76</formula>
    </cfRule>
  </conditionalFormatting>
  <conditionalFormatting sqref="N17">
    <cfRule type="expression" dxfId="231" priority="126">
      <formula>O76&gt;AA76</formula>
    </cfRule>
  </conditionalFormatting>
  <conditionalFormatting sqref="C3:AO3">
    <cfRule type="expression" dxfId="230" priority="127">
      <formula>$Z$3&lt;&gt;""</formula>
    </cfRule>
  </conditionalFormatting>
  <conditionalFormatting sqref="C4:AO4">
    <cfRule type="expression" dxfId="229" priority="128">
      <formula>$Z$4&lt;&gt;""</formula>
    </cfRule>
  </conditionalFormatting>
  <conditionalFormatting sqref="C5:AO5">
    <cfRule type="expression" dxfId="228" priority="129">
      <formula>$Z$5&lt;&gt;""</formula>
    </cfRule>
  </conditionalFormatting>
  <conditionalFormatting sqref="C6:AO6">
    <cfRule type="expression" dxfId="227" priority="130">
      <formula>$Z$6&lt;&gt;""</formula>
    </cfRule>
  </conditionalFormatting>
  <conditionalFormatting sqref="B7:AO7">
    <cfRule type="expression" dxfId="226" priority="131">
      <formula>$Z$7&lt;&gt;""</formula>
    </cfRule>
  </conditionalFormatting>
  <conditionalFormatting sqref="B8:AO8">
    <cfRule type="expression" dxfId="225" priority="132">
      <formula>$Z$8&lt;&gt;""</formula>
    </cfRule>
  </conditionalFormatting>
  <conditionalFormatting sqref="B9:AO9">
    <cfRule type="expression" dxfId="224" priority="133">
      <formula>$Z$9&lt;&gt;""</formula>
    </cfRule>
  </conditionalFormatting>
  <conditionalFormatting sqref="B10:AO10">
    <cfRule type="expression" dxfId="223" priority="134">
      <formula>$Z$10&lt;&gt;""</formula>
    </cfRule>
  </conditionalFormatting>
  <conditionalFormatting sqref="B11:AO11">
    <cfRule type="expression" dxfId="222" priority="135">
      <formula>$Z$11&lt;&gt;""</formula>
    </cfRule>
  </conditionalFormatting>
  <conditionalFormatting sqref="B12:AO12">
    <cfRule type="expression" dxfId="221" priority="136">
      <formula>$Z$12&lt;&gt;""</formula>
    </cfRule>
  </conditionalFormatting>
  <conditionalFormatting sqref="B13:AO13">
    <cfRule type="expression" dxfId="220" priority="137">
      <formula>$Z$13&lt;&gt;""</formula>
    </cfRule>
  </conditionalFormatting>
  <conditionalFormatting sqref="B14:AO14">
    <cfRule type="expression" dxfId="219" priority="138">
      <formula>$Z$14&lt;&gt;""</formula>
    </cfRule>
  </conditionalFormatting>
  <conditionalFormatting sqref="B16:AO16">
    <cfRule type="expression" dxfId="218" priority="139">
      <formula>$Z$16&lt;&gt;""</formula>
    </cfRule>
  </conditionalFormatting>
  <conditionalFormatting sqref="B17:AO17">
    <cfRule type="expression" dxfId="217" priority="140">
      <formula>$Z$17&lt;&gt;""</formula>
    </cfRule>
  </conditionalFormatting>
  <conditionalFormatting sqref="G6:H6">
    <cfRule type="expression" dxfId="216" priority="141">
      <formula>$AR$61="MNG"</formula>
    </cfRule>
  </conditionalFormatting>
  <conditionalFormatting sqref="G6:H6">
    <cfRule type="cellIs" dxfId="215" priority="142" operator="equal">
      <formula>0</formula>
    </cfRule>
  </conditionalFormatting>
  <conditionalFormatting sqref="B7 G7:H7">
    <cfRule type="expression" dxfId="214" priority="143">
      <formula>$AR$62="MNG"</formula>
    </cfRule>
  </conditionalFormatting>
  <conditionalFormatting sqref="B7 G7:H7">
    <cfRule type="cellIs" dxfId="213" priority="144" operator="equal">
      <formula>0</formula>
    </cfRule>
  </conditionalFormatting>
  <conditionalFormatting sqref="B8 G8:H8">
    <cfRule type="expression" dxfId="212" priority="145">
      <formula>$AR$63="MNG"</formula>
    </cfRule>
  </conditionalFormatting>
  <conditionalFormatting sqref="B8 G8:H8">
    <cfRule type="cellIs" dxfId="211" priority="146" operator="equal">
      <formula>0</formula>
    </cfRule>
  </conditionalFormatting>
  <conditionalFormatting sqref="X31:AA31">
    <cfRule type="expression" dxfId="210" priority="147">
      <formula>$Y$31=0</formula>
    </cfRule>
  </conditionalFormatting>
  <conditionalFormatting sqref="AB31:AC31">
    <cfRule type="expression" dxfId="209" priority="148">
      <formula>$Y$31=0</formula>
    </cfRule>
  </conditionalFormatting>
  <conditionalFormatting sqref="W31">
    <cfRule type="expression" dxfId="208" priority="149">
      <formula>$Y$31=0</formula>
    </cfRule>
  </conditionalFormatting>
  <conditionalFormatting sqref="AJ31:AM31">
    <cfRule type="expression" dxfId="207" priority="150">
      <formula>$AK$31=0</formula>
    </cfRule>
  </conditionalFormatting>
  <conditionalFormatting sqref="AI31">
    <cfRule type="expression" dxfId="206" priority="151">
      <formula>$AK$31=0</formula>
    </cfRule>
  </conditionalFormatting>
  <conditionalFormatting sqref="B2:AO2">
    <cfRule type="expression" dxfId="205" priority="152">
      <formula>$Z$2&lt;&gt;""</formula>
    </cfRule>
  </conditionalFormatting>
  <conditionalFormatting sqref="O2:O17">
    <cfRule type="cellIs" dxfId="204" priority="153" operator="equal">
      <formula>0&amp;BF2</formula>
    </cfRule>
  </conditionalFormatting>
  <conditionalFormatting sqref="O2:O17">
    <cfRule type="expression" dxfId="203" priority="154">
      <formula>AW2&lt;&gt;""</formula>
    </cfRule>
  </conditionalFormatting>
  <conditionalFormatting sqref="L2:L17">
    <cfRule type="expression" dxfId="202" priority="155">
      <formula>M61&gt;Y61</formula>
    </cfRule>
  </conditionalFormatting>
  <conditionalFormatting sqref="L2:L17">
    <cfRule type="expression" dxfId="201" priority="156">
      <formula>M61&lt;Y61</formula>
    </cfRule>
  </conditionalFormatting>
  <conditionalFormatting sqref="J2">
    <cfRule type="cellIs" dxfId="200" priority="157" operator="lessThan">
      <formula>W61</formula>
    </cfRule>
  </conditionalFormatting>
  <conditionalFormatting sqref="J2">
    <cfRule type="cellIs" dxfId="199" priority="158" operator="greaterThan">
      <formula>W61</formula>
    </cfRule>
  </conditionalFormatting>
  <conditionalFormatting sqref="K2">
    <cfRule type="cellIs" dxfId="198" priority="159" operator="lessThan">
      <formula>X61</formula>
    </cfRule>
  </conditionalFormatting>
  <conditionalFormatting sqref="K2">
    <cfRule type="cellIs" dxfId="197" priority="160" operator="greaterThan">
      <formula>X61</formula>
    </cfRule>
  </conditionalFormatting>
  <conditionalFormatting sqref="N2">
    <cfRule type="expression" dxfId="196" priority="161">
      <formula>O61&lt;AA61</formula>
    </cfRule>
  </conditionalFormatting>
  <conditionalFormatting sqref="N2">
    <cfRule type="expression" dxfId="195" priority="162">
      <formula>O61&gt;AA61</formula>
    </cfRule>
  </conditionalFormatting>
  <conditionalFormatting sqref="G18:I18">
    <cfRule type="expression" dxfId="194" priority="163">
      <formula>$C$18="Star Players"</formula>
    </cfRule>
  </conditionalFormatting>
  <conditionalFormatting sqref="G19:I19">
    <cfRule type="expression" dxfId="193" priority="164">
      <formula>$C$19="Star Players"</formula>
    </cfRule>
  </conditionalFormatting>
  <conditionalFormatting sqref="O18:AM18">
    <cfRule type="expression" dxfId="192" priority="165">
      <formula>$AS$18&lt;&gt;""</formula>
    </cfRule>
  </conditionalFormatting>
  <conditionalFormatting sqref="O19:AM19">
    <cfRule type="expression" dxfId="191" priority="166">
      <formula>$AS$19&lt;&gt;""</formula>
    </cfRule>
  </conditionalFormatting>
  <conditionalFormatting sqref="G15:H15 J15:K15 N15">
    <cfRule type="cellIs" dxfId="190" priority="167" operator="equal">
      <formula>0</formula>
    </cfRule>
  </conditionalFormatting>
  <conditionalFormatting sqref="N15">
    <cfRule type="cellIs" dxfId="189" priority="168" operator="equal">
      <formula>"0+"</formula>
    </cfRule>
  </conditionalFormatting>
  <conditionalFormatting sqref="J15">
    <cfRule type="cellIs" dxfId="188" priority="169" operator="lessThan">
      <formula>W74</formula>
    </cfRule>
  </conditionalFormatting>
  <conditionalFormatting sqref="J15">
    <cfRule type="cellIs" dxfId="187" priority="170" operator="greaterThan">
      <formula>W74</formula>
    </cfRule>
  </conditionalFormatting>
  <conditionalFormatting sqref="K15">
    <cfRule type="cellIs" dxfId="186" priority="171" operator="lessThan">
      <formula>X74</formula>
    </cfRule>
  </conditionalFormatting>
  <conditionalFormatting sqref="K15">
    <cfRule type="cellIs" dxfId="185" priority="172" operator="greaterThan">
      <formula>X74</formula>
    </cfRule>
  </conditionalFormatting>
  <conditionalFormatting sqref="N15">
    <cfRule type="cellIs" dxfId="184" priority="173" operator="equal">
      <formula>"0+"</formula>
    </cfRule>
  </conditionalFormatting>
  <conditionalFormatting sqref="N15">
    <cfRule type="expression" dxfId="183" priority="174">
      <formula>O74&lt;AA74</formula>
    </cfRule>
  </conditionalFormatting>
  <conditionalFormatting sqref="N15">
    <cfRule type="expression" dxfId="182" priority="175">
      <formula>O74&gt;AA74</formula>
    </cfRule>
  </conditionalFormatting>
  <conditionalFormatting sqref="B15:AO15">
    <cfRule type="expression" dxfId="181" priority="176">
      <formula>$Z$15&lt;&gt;""</formula>
    </cfRule>
  </conditionalFormatting>
  <conditionalFormatting sqref="AN18:AO19">
    <cfRule type="cellIs" dxfId="180" priority="177" operator="equal">
      <formula>0</formula>
    </cfRule>
  </conditionalFormatting>
  <conditionalFormatting sqref="M2:M17">
    <cfRule type="expression" dxfId="179" priority="178">
      <formula>N61&gt;Z61</formula>
    </cfRule>
  </conditionalFormatting>
  <conditionalFormatting sqref="M2:M17">
    <cfRule type="expression" dxfId="178" priority="179">
      <formula>N61&lt;Z61</formula>
    </cfRule>
  </conditionalFormatting>
  <conditionalFormatting sqref="AJ25:AM25">
    <cfRule type="expression" dxfId="177" priority="180">
      <formula>$AK$25=0</formula>
    </cfRule>
  </conditionalFormatting>
  <conditionalFormatting sqref="AJ26:AM26">
    <cfRule type="expression" dxfId="176" priority="181">
      <formula>$AK$26=0</formula>
    </cfRule>
  </conditionalFormatting>
  <conditionalFormatting sqref="AJ27:AM27">
    <cfRule type="expression" dxfId="175" priority="182">
      <formula>$AK$27=0</formula>
    </cfRule>
  </conditionalFormatting>
  <conditionalFormatting sqref="AJ28:AM28">
    <cfRule type="expression" dxfId="174" priority="183">
      <formula>$AK$28=0</formula>
    </cfRule>
  </conditionalFormatting>
  <conditionalFormatting sqref="AN25:AO25">
    <cfRule type="expression" dxfId="173" priority="184">
      <formula>$AK$25=0</formula>
    </cfRule>
  </conditionalFormatting>
  <conditionalFormatting sqref="AJ29:AM29">
    <cfRule type="expression" dxfId="172" priority="185">
      <formula>$AK$29=0</formula>
    </cfRule>
  </conditionalFormatting>
  <conditionalFormatting sqref="AN29:AO29">
    <cfRule type="expression" dxfId="171" priority="186">
      <formula>$AK$29=0</formula>
    </cfRule>
  </conditionalFormatting>
  <conditionalFormatting sqref="J18:N19">
    <cfRule type="cellIs" dxfId="170" priority="187" operator="equal">
      <formula>0</formula>
    </cfRule>
  </conditionalFormatting>
  <conditionalFormatting sqref="AN26:AO26">
    <cfRule type="expression" dxfId="169" priority="188">
      <formula>$AK$26=0</formula>
    </cfRule>
  </conditionalFormatting>
  <conditionalFormatting sqref="AN27:AO27">
    <cfRule type="expression" dxfId="168" priority="189">
      <formula>$AK$27=0</formula>
    </cfRule>
  </conditionalFormatting>
  <conditionalFormatting sqref="AN28:AO28">
    <cfRule type="expression" dxfId="167" priority="190">
      <formula>$AK$28=0</formula>
    </cfRule>
  </conditionalFormatting>
  <conditionalFormatting sqref="AN31:AO31">
    <cfRule type="expression" dxfId="166" priority="191">
      <formula>$AK$31=0</formula>
    </cfRule>
  </conditionalFormatting>
  <conditionalFormatting sqref="X22:AA22">
    <cfRule type="expression" dxfId="165" priority="192">
      <formula>$Y$22=0</formula>
    </cfRule>
  </conditionalFormatting>
  <conditionalFormatting sqref="AB22:AC22">
    <cfRule type="expression" dxfId="164" priority="193">
      <formula>$Y$22=0</formula>
    </cfRule>
  </conditionalFormatting>
  <conditionalFormatting sqref="AG38:AH38">
    <cfRule type="cellIs" dxfId="163" priority="194" operator="equal">
      <formula>0</formula>
    </cfRule>
  </conditionalFormatting>
  <conditionalFormatting sqref="AG39:AH39">
    <cfRule type="cellIs" dxfId="162" priority="195" operator="equal">
      <formula>0</formula>
    </cfRule>
  </conditionalFormatting>
  <conditionalFormatting sqref="AG40:AH40">
    <cfRule type="cellIs" dxfId="161" priority="196" operator="equal">
      <formula>0</formula>
    </cfRule>
  </conditionalFormatting>
  <conditionalFormatting sqref="AG41:AH41">
    <cfRule type="cellIs" dxfId="160" priority="197" operator="equal">
      <formula>0</formula>
    </cfRule>
  </conditionalFormatting>
  <conditionalFormatting sqref="AG42:AH42">
    <cfRule type="cellIs" dxfId="159" priority="198" operator="equal">
      <formula>0</formula>
    </cfRule>
  </conditionalFormatting>
  <conditionalFormatting sqref="AG43:AH43">
    <cfRule type="cellIs" dxfId="158" priority="199" operator="equal">
      <formula>0</formula>
    </cfRule>
  </conditionalFormatting>
  <conditionalFormatting sqref="AG44:AH44">
    <cfRule type="cellIs" dxfId="157" priority="200" operator="equal">
      <formula>0</formula>
    </cfRule>
  </conditionalFormatting>
  <conditionalFormatting sqref="AG45:AH45">
    <cfRule type="cellIs" dxfId="156" priority="201" operator="equal">
      <formula>0</formula>
    </cfRule>
  </conditionalFormatting>
  <conditionalFormatting sqref="AG46:AH46">
    <cfRule type="cellIs" dxfId="155" priority="202" operator="equal">
      <formula>0</formula>
    </cfRule>
  </conditionalFormatting>
  <conditionalFormatting sqref="AG47:AH47">
    <cfRule type="cellIs" dxfId="154" priority="203" operator="equal">
      <formula>0</formula>
    </cfRule>
  </conditionalFormatting>
  <conditionalFormatting sqref="AG48:AH48">
    <cfRule type="cellIs" dxfId="153" priority="204" operator="equal">
      <formula>0</formula>
    </cfRule>
  </conditionalFormatting>
  <conditionalFormatting sqref="AG49:AH49">
    <cfRule type="cellIs" dxfId="152" priority="205" operator="equal">
      <formula>0</formula>
    </cfRule>
  </conditionalFormatting>
  <conditionalFormatting sqref="AG50:AH50">
    <cfRule type="cellIs" dxfId="151" priority="206" operator="equal">
      <formula>0</formula>
    </cfRule>
  </conditionalFormatting>
  <conditionalFormatting sqref="AG51:AH51">
    <cfRule type="cellIs" dxfId="150" priority="207" operator="equal">
      <formula>0</formula>
    </cfRule>
  </conditionalFormatting>
  <conditionalFormatting sqref="AG52:AH52">
    <cfRule type="cellIs" dxfId="149" priority="208" operator="equal">
      <formula>0</formula>
    </cfRule>
  </conditionalFormatting>
  <conditionalFormatting sqref="I18">
    <cfRule type="cellIs" dxfId="148" priority="209" operator="equal">
      <formula>2</formula>
    </cfRule>
  </conditionalFormatting>
  <conditionalFormatting sqref="I19">
    <cfRule type="cellIs" dxfId="147" priority="210" operator="equal">
      <formula>2</formula>
    </cfRule>
  </conditionalFormatting>
  <conditionalFormatting sqref="G20:AM20">
    <cfRule type="cellIs" dxfId="146" priority="211" operator="equal">
      <formula>0</formula>
    </cfRule>
  </conditionalFormatting>
  <conditionalFormatting sqref="G20:I20">
    <cfRule type="expression" dxfId="145" priority="212">
      <formula>$C$19="Star Players"</formula>
    </cfRule>
  </conditionalFormatting>
  <conditionalFormatting sqref="O20:AM20">
    <cfRule type="expression" dxfId="144" priority="213">
      <formula>$AS$19&lt;&gt;""</formula>
    </cfRule>
  </conditionalFormatting>
  <conditionalFormatting sqref="AN20:AO20">
    <cfRule type="cellIs" dxfId="143" priority="214" operator="equal">
      <formula>0</formula>
    </cfRule>
  </conditionalFormatting>
  <conditionalFormatting sqref="J20:N20">
    <cfRule type="cellIs" dxfId="142" priority="215" operator="equal">
      <formula>0</formula>
    </cfRule>
  </conditionalFormatting>
  <conditionalFormatting sqref="I20">
    <cfRule type="cellIs" dxfId="141" priority="216" operator="equal">
      <formula>2</formula>
    </cfRule>
  </conditionalFormatting>
  <conditionalFormatting sqref="B3">
    <cfRule type="expression" dxfId="140" priority="5">
      <formula>$Z$2&lt;&gt;""</formula>
    </cfRule>
  </conditionalFormatting>
  <conditionalFormatting sqref="B4">
    <cfRule type="expression" dxfId="139" priority="3">
      <formula>$Z$2&lt;&gt;""</formula>
    </cfRule>
  </conditionalFormatting>
  <conditionalFormatting sqref="B5">
    <cfRule type="expression" dxfId="138" priority="2">
      <formula>$Z$2&lt;&gt;""</formula>
    </cfRule>
  </conditionalFormatting>
  <conditionalFormatting sqref="B6">
    <cfRule type="expression" dxfId="137" priority="1">
      <formula>$Z$2&lt;&gt;""</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X15" sqref="X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35" t="str">
        <f>IF(Roster!$J$25="Italiano","STATISTICHE",(IF(Roster!$J$25="Español","ESTADÍSTICAS",(IF(Roster!$J$25="Deutsch","STATISTIK",(IF(Roster!$J$25="Français","STATISITQUES","STATISTICS")))))))</f>
        <v>STATISTICHE</v>
      </c>
      <c r="E1" s="336"/>
      <c r="F1" s="328" t="s">
        <v>52</v>
      </c>
      <c r="G1" s="329"/>
      <c r="H1" s="330"/>
      <c r="I1" s="328" t="str">
        <f>IF(Roster!$J$25="Español","HER",(IF(Roster!$J$25="Deutsch","VER",(IF(Roster!$J$25="Français","BLES","CAS")))))</f>
        <v>CAS</v>
      </c>
      <c r="J1" s="329"/>
      <c r="K1" s="330"/>
      <c r="L1" s="328" t="str">
        <f>IF(Roster!$J$25="Español","HL",(IF(Roster!$J$25="Deutsch","SV",(IF(Roster!$J$25="Français","COM","BH")))))</f>
        <v>BH</v>
      </c>
      <c r="M1" s="329"/>
      <c r="N1" s="331"/>
      <c r="O1" s="332" t="str">
        <f>IF(Roster!$J$25="Español","HG",(IF(Roster!$J$25="Deutsch","BV",(IF(Roster!$J$25="Français","BS","SI")))))</f>
        <v>SI</v>
      </c>
      <c r="P1" s="329"/>
      <c r="Q1" s="331"/>
      <c r="R1" s="332" t="str">
        <f>IF(Roster!$J$25="Italiano","UCCISIONI",(IF(Roster!$J$25="Español","MUERTOS",(IF(Roster!$J$25="Deutsch","TOT",(IF(Roster!$J$25="Français","MORT","KILLS")))))))</f>
        <v>UCCISIONI</v>
      </c>
      <c r="S1" s="329"/>
      <c r="T1" s="330"/>
      <c r="U1" s="328" t="str">
        <f>IF(Roster!$J$25="Italiano","ESPULSI",(IF(Roster!$J$25="Español","EXPULSADOS",(IF(Roster!$J$25="Deutsch","VOM PLATZ G.",(IF(Roster!$J$25="Français","EXPULSÉ","SENT OFF")))))))</f>
        <v>ESPULSI</v>
      </c>
      <c r="V1" s="329"/>
      <c r="W1" s="330"/>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23"/>
      <c r="AD1" s="2"/>
      <c r="AE1" s="2"/>
      <c r="AF1" s="2"/>
      <c r="AG1" s="2"/>
      <c r="AH1" s="2"/>
      <c r="AI1" s="2"/>
    </row>
    <row r="2" spans="1:35" ht="12" customHeight="1">
      <c r="A2" s="84">
        <f>COUNTIF(AI6:AI55,"1")</f>
        <v>2</v>
      </c>
      <c r="B2" s="85">
        <f>COUNTIF(AI6:AI55,"2")</f>
        <v>1</v>
      </c>
      <c r="C2" s="86">
        <f>COUNTIF(AI6:AI55,"3")</f>
        <v>3</v>
      </c>
      <c r="D2" s="337"/>
      <c r="E2" s="338"/>
      <c r="F2" s="87">
        <f>SUM(F6:F55)</f>
        <v>4</v>
      </c>
      <c r="G2" s="88" t="s">
        <v>318</v>
      </c>
      <c r="H2" s="89">
        <f t="shared" ref="H2:I2" si="0">SUM(H6:H55)</f>
        <v>5</v>
      </c>
      <c r="I2" s="90">
        <f t="shared" si="0"/>
        <v>14</v>
      </c>
      <c r="J2" s="88" t="s">
        <v>318</v>
      </c>
      <c r="K2" s="90">
        <f t="shared" ref="K2:L2" si="1">SUM(K6:K55)</f>
        <v>7</v>
      </c>
      <c r="L2" s="87">
        <f t="shared" si="1"/>
        <v>7</v>
      </c>
      <c r="M2" s="88" t="s">
        <v>318</v>
      </c>
      <c r="N2" s="90">
        <f t="shared" ref="N2:O2" si="2">SUM(N6:N55)</f>
        <v>2</v>
      </c>
      <c r="O2" s="91">
        <f t="shared" si="2"/>
        <v>7</v>
      </c>
      <c r="P2" s="88" t="s">
        <v>318</v>
      </c>
      <c r="Q2" s="90">
        <f t="shared" ref="Q2:R2" si="3">SUM(Q6:Q55)</f>
        <v>3</v>
      </c>
      <c r="R2" s="91">
        <f t="shared" si="3"/>
        <v>0</v>
      </c>
      <c r="S2" s="88" t="s">
        <v>318</v>
      </c>
      <c r="T2" s="89">
        <f t="shared" ref="T2:U2" si="4">SUM(T6:T55)</f>
        <v>2</v>
      </c>
      <c r="U2" s="87">
        <f t="shared" si="4"/>
        <v>0</v>
      </c>
      <c r="V2" s="88" t="s">
        <v>318</v>
      </c>
      <c r="W2" s="89">
        <f t="shared" ref="W2:Z2" si="5">SUM(W6:W55)</f>
        <v>0</v>
      </c>
      <c r="X2" s="92">
        <f t="shared" si="5"/>
        <v>1</v>
      </c>
      <c r="Y2" s="93">
        <f t="shared" si="5"/>
        <v>325000</v>
      </c>
      <c r="Z2" s="92">
        <f t="shared" si="5"/>
        <v>11</v>
      </c>
      <c r="AA2" s="82" t="str">
        <f>IF(Roster!$J$25="Italiano","TIFOSI S. LIBERO",(IF(Roster!$J$25="Español","FANS D. GRATIS",(IF(Roster!$J$25="Deutsch","KOSTENLOS T. FANS",(IF(Roster!$J$25="Français","GRATUIT FANS DÉVOUÉS","FREE D. FANS")))))))</f>
        <v>TIFOSI S. LIBERO</v>
      </c>
      <c r="AB2" s="83">
        <v>0</v>
      </c>
      <c r="AC2" s="249"/>
      <c r="AD2" s="2"/>
      <c r="AE2" s="45">
        <v>1</v>
      </c>
      <c r="AF2" s="2"/>
      <c r="AG2" s="2"/>
      <c r="AH2" s="45"/>
      <c r="AI2" s="2"/>
    </row>
    <row r="3" spans="1:35" ht="11.25" customHeight="1">
      <c r="A3" s="94">
        <f t="shared" ref="A3:C3" si="6">IFERROR((A2/(COUNTA($F$6:$F$55))),0)</f>
        <v>0.33333333333333331</v>
      </c>
      <c r="B3" s="95">
        <f t="shared" si="6"/>
        <v>0.16666666666666666</v>
      </c>
      <c r="C3" s="96">
        <f t="shared" si="6"/>
        <v>0.5</v>
      </c>
      <c r="D3" s="339"/>
      <c r="E3" s="340"/>
      <c r="F3" s="97">
        <f>IFERROR((F2/(COUNTA($F$6:$F$55))),0)</f>
        <v>0.66666666666666663</v>
      </c>
      <c r="G3" s="98" t="s">
        <v>318</v>
      </c>
      <c r="H3" s="99">
        <f>IFERROR((H2/(COUNTA($H$6:$H$55))),0)</f>
        <v>0.83333333333333337</v>
      </c>
      <c r="I3" s="100">
        <f>IFERROR((I2/(COUNTA($I$6:$I$55))),0)</f>
        <v>0.28000000000000003</v>
      </c>
      <c r="J3" s="98" t="s">
        <v>318</v>
      </c>
      <c r="K3" s="99">
        <f>IFERROR((K2/(COUNTA($K$6:$K$55))),0)</f>
        <v>0.14000000000000001</v>
      </c>
      <c r="L3" s="100">
        <f>IFERROR((L2/(COUNTA($L$6:$L$55))),0)</f>
        <v>1.4</v>
      </c>
      <c r="M3" s="98" t="s">
        <v>318</v>
      </c>
      <c r="N3" s="101">
        <f>IFERROR((N2/(COUNTA($N$6:$N$55))),0)</f>
        <v>1</v>
      </c>
      <c r="O3" s="100">
        <f>IFERROR((O2/(COUNTA($O$6:$O$55))),0)</f>
        <v>1.75</v>
      </c>
      <c r="P3" s="98" t="s">
        <v>318</v>
      </c>
      <c r="Q3" s="101">
        <f>IFERROR((Q2/(COUNTA($Q$6:$Q$55))),0)</f>
        <v>1.5</v>
      </c>
      <c r="R3" s="100">
        <f>IFERROR((R2/(COUNTA($R$6:$R$55))),0)</f>
        <v>0</v>
      </c>
      <c r="S3" s="98" t="s">
        <v>318</v>
      </c>
      <c r="T3" s="99">
        <f>IFERROR((T2/(COUNTA($T$6:$T$55))),0)</f>
        <v>2</v>
      </c>
      <c r="U3" s="100">
        <f>IFERROR((U2/(COUNTA($U$6:$U$55))),0)</f>
        <v>0</v>
      </c>
      <c r="V3" s="98" t="s">
        <v>318</v>
      </c>
      <c r="W3" s="99">
        <f>IFERROR((W2/(COUNTA($W$6:$W$55))),0)</f>
        <v>0</v>
      </c>
      <c r="X3" s="102">
        <f>IFERROR((X2/(COUNTA($X$6:$X$55))),0)</f>
        <v>2.0408163265306121E-2</v>
      </c>
      <c r="Y3" s="103">
        <f>IFERROR((Y2/(COUNTA($Y$6:$Y$55))),0)</f>
        <v>54166.666666666664</v>
      </c>
      <c r="Z3" s="104">
        <f>IFERROR((Z2/(COUNTA($Z$6:$Z$55))),0)</f>
        <v>1.8333333333333333</v>
      </c>
      <c r="AA3" s="82" t="str">
        <f>IF(Roster!$J$25="Italiano","TESORERIA INIZIALI",(IF(Roster!$J$25="Español","TESORERÍA INICIAL",(IF(Roster!$J$25="Deutsch","ANFÄNGLICHER TEAMKASSE",(IF(Roster!$J$25="Français","INITIAL TRÉSORERIE","STARTINT TREASURY")))))))</f>
        <v>TESORERIA INIZIALI</v>
      </c>
      <c r="AB3" s="83">
        <v>1000000</v>
      </c>
      <c r="AC3" s="249"/>
      <c r="AD3" s="2"/>
      <c r="AE3" s="2"/>
      <c r="AF3" s="2"/>
      <c r="AG3" s="2"/>
      <c r="AH3" s="2"/>
      <c r="AI3" s="2"/>
    </row>
    <row r="4" spans="1:35" ht="7.5" customHeight="1">
      <c r="A4" s="341"/>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42"/>
      <c r="AC4" s="249"/>
      <c r="AD4" s="2"/>
      <c r="AE4" s="2"/>
      <c r="AF4" s="2"/>
      <c r="AG4" s="2"/>
      <c r="AH4" s="2"/>
      <c r="AI4" s="2"/>
    </row>
    <row r="5" spans="1:35" ht="21" customHeight="1">
      <c r="A5" s="343">
        <v>0</v>
      </c>
      <c r="B5" s="329"/>
      <c r="C5" s="330"/>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44" t="s">
        <v>52</v>
      </c>
      <c r="G5" s="329"/>
      <c r="H5" s="330"/>
      <c r="I5" s="344" t="str">
        <f>IF(Roster!$J$25="Español","HER",(IF(Roster!$J$25="Deutsch","VER",(IF(Roster!$J$25="Français","BLES","CAS")))))</f>
        <v>CAS</v>
      </c>
      <c r="J5" s="329"/>
      <c r="K5" s="330"/>
      <c r="L5" s="328" t="str">
        <f>IF(Roster!$J$25="Español","HL",(IF(Roster!$J$25="Deutsch","SV",(IF(Roster!$J$25="Français","COM","BH")))))</f>
        <v>BH</v>
      </c>
      <c r="M5" s="329"/>
      <c r="N5" s="331"/>
      <c r="O5" s="332" t="str">
        <f>IF(Roster!$J$25="Español","HG",(IF(Roster!$J$25="Deutsch","BV",(IF(Roster!$J$25="Français","BS","SI")))))</f>
        <v>SI</v>
      </c>
      <c r="P5" s="329"/>
      <c r="Q5" s="331"/>
      <c r="R5" s="332" t="str">
        <f>IF(Roster!$J$25="Italiano","UCCISIONI",(IF(Roster!$J$25="Español","MUERTOS",(IF(Roster!$J$25="Deutsch","TOT",(IF(Roster!$J$25="Français","MORT","KILLS")))))))</f>
        <v>UCCISIONI</v>
      </c>
      <c r="S5" s="329"/>
      <c r="T5" s="330"/>
      <c r="U5" s="333" t="str">
        <f>IF(Roster!$J$25="Italiano","ESPULSI",(IF(Roster!$J$25="Español","EXPULSADOS",(IF(Roster!$J$25="Deutsch","VOM PLATZ G.",(IF(Roster!$J$25="Français","EXPULSÉ","SENT OFF")))))))</f>
        <v>ESPULSI</v>
      </c>
      <c r="V5" s="329"/>
      <c r="W5" s="330"/>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34" t="str">
        <f>IF(Roster!$J$25="Italiano","NOTE",(IF(Roster!$J$25="Español","NOTAS",(IF(Roster!$J$25="Deutsch","NOTIZEN","NOTES")))))</f>
        <v>NOTE</v>
      </c>
      <c r="AB5" s="330"/>
      <c r="AC5" s="249"/>
      <c r="AD5" s="108"/>
      <c r="AE5" s="109" t="s">
        <v>319</v>
      </c>
      <c r="AF5" s="109" t="s">
        <v>320</v>
      </c>
      <c r="AG5" s="109" t="s">
        <v>321</v>
      </c>
      <c r="AH5" s="108"/>
      <c r="AI5" s="108"/>
    </row>
    <row r="6" spans="1:35" ht="21" customHeight="1">
      <c r="A6" s="110">
        <v>1</v>
      </c>
      <c r="B6" s="318" t="str">
        <f>IF(Roster!$J$25="Español",(IF(F6&gt;0,(IF(F6&gt;H6,"ganado",(IF(F6=H6,"empatado",(IF(F6&lt;H6,"perdido","")))))),"")),(IF(F6&gt;0,(IF(F6&gt;H6,"won",(IF(F6=H6,"tied",(IF(F6&lt;H6,"lost","")))))),"")))</f>
        <v/>
      </c>
      <c r="C6" s="319"/>
      <c r="D6" s="111" t="s">
        <v>1347</v>
      </c>
      <c r="E6" s="112" t="s">
        <v>204</v>
      </c>
      <c r="F6" s="113">
        <v>0</v>
      </c>
      <c r="G6" s="114" t="s">
        <v>318</v>
      </c>
      <c r="H6" s="115">
        <v>1</v>
      </c>
      <c r="I6" s="116">
        <f t="shared" ref="I6:I55" si="7">L6+O6+R6</f>
        <v>4</v>
      </c>
      <c r="J6" s="117" t="s">
        <v>318</v>
      </c>
      <c r="K6" s="118">
        <f t="shared" ref="K6:K55" si="8">N6+Q6+T6</f>
        <v>2</v>
      </c>
      <c r="L6" s="113">
        <v>1</v>
      </c>
      <c r="M6" s="114" t="s">
        <v>318</v>
      </c>
      <c r="N6" s="119"/>
      <c r="O6" s="120">
        <v>3</v>
      </c>
      <c r="P6" s="114" t="s">
        <v>318</v>
      </c>
      <c r="Q6" s="119"/>
      <c r="R6" s="120"/>
      <c r="S6" s="114" t="s">
        <v>318</v>
      </c>
      <c r="T6" s="119">
        <v>2</v>
      </c>
      <c r="U6" s="113"/>
      <c r="V6" s="114" t="s">
        <v>318</v>
      </c>
      <c r="W6" s="115"/>
      <c r="X6" s="115"/>
      <c r="Y6" s="121">
        <v>45000</v>
      </c>
      <c r="Z6" s="115">
        <v>1</v>
      </c>
      <c r="AA6" s="320"/>
      <c r="AB6" s="319"/>
      <c r="AC6" s="249"/>
      <c r="AD6" s="2"/>
      <c r="AE6" s="53" t="b">
        <v>0</v>
      </c>
      <c r="AF6" s="53" t="b">
        <v>0</v>
      </c>
      <c r="AG6" s="53" t="b">
        <v>0</v>
      </c>
      <c r="AH6" s="2"/>
      <c r="AI6" s="2">
        <f t="shared" ref="AI6:AI55" si="9">IF(F6&lt;&gt;"",(IF(F6&gt;H6,1,(IF(F6=H6,2,(IF(F6&lt;H6,3,"")))))),"")</f>
        <v>3</v>
      </c>
    </row>
    <row r="7" spans="1:35" ht="21" customHeight="1">
      <c r="A7" s="122">
        <v>2</v>
      </c>
      <c r="B7" s="318" t="str">
        <f>IF(Roster!$J$25="Español",(IF(F7&gt;0,(IF(F7&gt;H7,"ganado",(IF(F7=H7,"empatado",(IF(F7&lt;H7,"perdido","")))))),"")),(IF(F7&gt;0,(IF(F7&gt;H7,"won",(IF(F7=H7,"tied",(IF(F7&lt;H7,"lost","")))))),"")))</f>
        <v>won</v>
      </c>
      <c r="C7" s="319"/>
      <c r="D7" s="123" t="s">
        <v>1349</v>
      </c>
      <c r="E7" s="112" t="s">
        <v>175</v>
      </c>
      <c r="F7" s="124">
        <v>2</v>
      </c>
      <c r="G7" s="125" t="s">
        <v>318</v>
      </c>
      <c r="H7" s="126">
        <v>0</v>
      </c>
      <c r="I7" s="116">
        <f t="shared" si="7"/>
        <v>2</v>
      </c>
      <c r="J7" s="127" t="s">
        <v>318</v>
      </c>
      <c r="K7" s="118">
        <f t="shared" si="8"/>
        <v>0</v>
      </c>
      <c r="L7" s="124"/>
      <c r="M7" s="125" t="s">
        <v>318</v>
      </c>
      <c r="N7" s="128"/>
      <c r="O7" s="129">
        <v>2</v>
      </c>
      <c r="P7" s="125" t="s">
        <v>318</v>
      </c>
      <c r="Q7" s="128"/>
      <c r="R7" s="129"/>
      <c r="S7" s="125" t="s">
        <v>318</v>
      </c>
      <c r="T7" s="128"/>
      <c r="U7" s="124"/>
      <c r="V7" s="125" t="s">
        <v>318</v>
      </c>
      <c r="W7" s="126"/>
      <c r="X7" s="115" t="s">
        <v>222</v>
      </c>
      <c r="Y7" s="130">
        <v>70000</v>
      </c>
      <c r="Z7" s="126">
        <v>3</v>
      </c>
      <c r="AA7" s="320" t="s">
        <v>1350</v>
      </c>
      <c r="AB7" s="319"/>
      <c r="AC7" s="249"/>
      <c r="AD7" s="2"/>
      <c r="AE7" s="53" t="b">
        <v>0</v>
      </c>
      <c r="AF7" s="53" t="b">
        <v>0</v>
      </c>
      <c r="AG7" s="53" t="b">
        <v>0</v>
      </c>
      <c r="AH7" s="2"/>
      <c r="AI7" s="2">
        <f t="shared" si="9"/>
        <v>1</v>
      </c>
    </row>
    <row r="8" spans="1:35" ht="21" customHeight="1">
      <c r="A8" s="110">
        <v>3</v>
      </c>
      <c r="B8" s="318" t="str">
        <f>IF(Roster!$J$25="Español",(IF(F8&gt;0,(IF(F8&gt;H8,"ganado",(IF(F8=H8,"empatado",(IF(F8&lt;H8,"perdido","")))))),"")),(IF(F8&gt;0,(IF(F8&gt;H8,"won",(IF(F8=H8,"tied",(IF(F8&lt;H8,"lost","")))))),"")))</f>
        <v/>
      </c>
      <c r="C8" s="319"/>
      <c r="D8" s="111" t="s">
        <v>1354</v>
      </c>
      <c r="E8" s="112" t="s">
        <v>83</v>
      </c>
      <c r="F8" s="113">
        <v>0</v>
      </c>
      <c r="G8" s="114" t="s">
        <v>318</v>
      </c>
      <c r="H8" s="115">
        <v>1</v>
      </c>
      <c r="I8" s="116">
        <f t="shared" si="7"/>
        <v>2</v>
      </c>
      <c r="J8" s="117" t="s">
        <v>318</v>
      </c>
      <c r="K8" s="118">
        <f t="shared" si="8"/>
        <v>1</v>
      </c>
      <c r="L8" s="113">
        <v>2</v>
      </c>
      <c r="M8" s="114" t="s">
        <v>318</v>
      </c>
      <c r="N8" s="119">
        <v>1</v>
      </c>
      <c r="O8" s="120"/>
      <c r="P8" s="114" t="s">
        <v>318</v>
      </c>
      <c r="Q8" s="119"/>
      <c r="R8" s="120"/>
      <c r="S8" s="114" t="s">
        <v>318</v>
      </c>
      <c r="T8" s="119"/>
      <c r="U8" s="113"/>
      <c r="V8" s="114" t="s">
        <v>318</v>
      </c>
      <c r="W8" s="115"/>
      <c r="X8" s="115" t="s">
        <v>222</v>
      </c>
      <c r="Y8" s="121">
        <v>45000</v>
      </c>
      <c r="Z8" s="115">
        <v>0</v>
      </c>
      <c r="AA8" s="320"/>
      <c r="AB8" s="319"/>
      <c r="AC8" s="249"/>
      <c r="AD8" s="2"/>
      <c r="AE8" s="53" t="b">
        <v>0</v>
      </c>
      <c r="AF8" s="53" t="b">
        <v>0</v>
      </c>
      <c r="AG8" s="53" t="b">
        <v>0</v>
      </c>
      <c r="AH8" s="2"/>
      <c r="AI8" s="2">
        <f t="shared" si="9"/>
        <v>3</v>
      </c>
    </row>
    <row r="9" spans="1:35" ht="21" customHeight="1">
      <c r="A9" s="110">
        <v>4</v>
      </c>
      <c r="B9" s="318" t="str">
        <f>IF(Roster!$J$25="Español",(IF(F9&gt;0,(IF(F9&gt;H9,"ganado",(IF(F9=H9,"empatado",(IF(F9&lt;H9,"perdido","")))))),"")),(IF(F9&gt;0,(IF(F9&gt;H9,"won",(IF(F9=H9,"tied",(IF(F9&lt;H9,"lost","")))))),"")))</f>
        <v/>
      </c>
      <c r="C9" s="319"/>
      <c r="D9" s="111" t="s">
        <v>1355</v>
      </c>
      <c r="E9" s="112" t="s">
        <v>158</v>
      </c>
      <c r="F9" s="113">
        <v>0</v>
      </c>
      <c r="G9" s="114" t="s">
        <v>318</v>
      </c>
      <c r="H9" s="115">
        <v>2</v>
      </c>
      <c r="I9" s="116">
        <f t="shared" si="7"/>
        <v>2</v>
      </c>
      <c r="J9" s="117" t="s">
        <v>318</v>
      </c>
      <c r="K9" s="118">
        <f t="shared" si="8"/>
        <v>3</v>
      </c>
      <c r="L9" s="113">
        <v>1</v>
      </c>
      <c r="M9" s="114" t="s">
        <v>318</v>
      </c>
      <c r="N9" s="119">
        <v>1</v>
      </c>
      <c r="O9" s="120">
        <v>1</v>
      </c>
      <c r="P9" s="114" t="s">
        <v>318</v>
      </c>
      <c r="Q9" s="119">
        <v>2</v>
      </c>
      <c r="R9" s="120"/>
      <c r="S9" s="114" t="s">
        <v>318</v>
      </c>
      <c r="T9" s="119"/>
      <c r="U9" s="113"/>
      <c r="V9" s="114" t="s">
        <v>318</v>
      </c>
      <c r="W9" s="115"/>
      <c r="X9" s="115" t="s">
        <v>222</v>
      </c>
      <c r="Y9" s="121">
        <v>50000</v>
      </c>
      <c r="Z9" s="115">
        <v>1</v>
      </c>
      <c r="AA9" s="320"/>
      <c r="AB9" s="319"/>
      <c r="AC9" s="249"/>
      <c r="AD9" s="2"/>
      <c r="AE9" s="53" t="b">
        <v>0</v>
      </c>
      <c r="AF9" s="53" t="b">
        <v>0</v>
      </c>
      <c r="AG9" s="53" t="b">
        <v>0</v>
      </c>
      <c r="AH9" s="2"/>
      <c r="AI9" s="2">
        <f t="shared" si="9"/>
        <v>3</v>
      </c>
    </row>
    <row r="10" spans="1:35" ht="21" customHeight="1">
      <c r="A10" s="122">
        <v>5</v>
      </c>
      <c r="B10" s="318" t="str">
        <f>IF(Roster!$J$25="Español",(IF(F10&gt;0,(IF(F10&gt;H10,"ganado",(IF(F10=H10,"empatado",(IF(F10&lt;H10,"perdido","")))))),"")),(IF(F10&gt;0,(IF(F10&gt;H10,"won",(IF(F10=H10,"tied",(IF(F10&lt;H10,"lost","")))))),"")))</f>
        <v>won</v>
      </c>
      <c r="C10" s="319"/>
      <c r="D10" s="111" t="s">
        <v>1357</v>
      </c>
      <c r="E10" s="112" t="s">
        <v>158</v>
      </c>
      <c r="F10" s="113">
        <v>1</v>
      </c>
      <c r="G10" s="114" t="s">
        <v>318</v>
      </c>
      <c r="H10" s="115">
        <v>0</v>
      </c>
      <c r="I10" s="116">
        <f t="shared" si="7"/>
        <v>2</v>
      </c>
      <c r="J10" s="117" t="s">
        <v>318</v>
      </c>
      <c r="K10" s="118">
        <f t="shared" si="8"/>
        <v>0</v>
      </c>
      <c r="L10" s="113">
        <v>1</v>
      </c>
      <c r="M10" s="114" t="s">
        <v>318</v>
      </c>
      <c r="N10" s="119"/>
      <c r="O10" s="120">
        <v>1</v>
      </c>
      <c r="P10" s="114" t="s">
        <v>318</v>
      </c>
      <c r="Q10" s="119"/>
      <c r="R10" s="120"/>
      <c r="S10" s="114" t="s">
        <v>318</v>
      </c>
      <c r="T10" s="119"/>
      <c r="U10" s="113"/>
      <c r="V10" s="114" t="s">
        <v>318</v>
      </c>
      <c r="W10" s="115"/>
      <c r="X10" s="115">
        <v>1</v>
      </c>
      <c r="Y10" s="121">
        <v>60000</v>
      </c>
      <c r="Z10" s="115">
        <v>4</v>
      </c>
      <c r="AA10" s="320"/>
      <c r="AB10" s="319"/>
      <c r="AC10" s="249"/>
      <c r="AD10" s="2"/>
      <c r="AE10" s="53" t="b">
        <v>0</v>
      </c>
      <c r="AF10" s="53" t="b">
        <v>0</v>
      </c>
      <c r="AG10" s="53" t="b">
        <v>0</v>
      </c>
      <c r="AH10" s="2"/>
      <c r="AI10" s="2">
        <f t="shared" si="9"/>
        <v>1</v>
      </c>
    </row>
    <row r="11" spans="1:35" ht="21" customHeight="1">
      <c r="A11" s="110">
        <v>6</v>
      </c>
      <c r="B11" s="318" t="str">
        <f>IF(Roster!$J$25="Español",(IF(F11&gt;0,(IF(F11&gt;H11,"ganado",(IF(F11=H11,"empatado",(IF(F11&lt;H11,"perdido","")))))),"")),(IF(F11&gt;0,(IF(F11&gt;H11,"won",(IF(F11=H11,"tied",(IF(F11&lt;H11,"lost","")))))),"")))</f>
        <v>tied</v>
      </c>
      <c r="C11" s="319"/>
      <c r="D11" s="111" t="s">
        <v>1355</v>
      </c>
      <c r="E11" s="112" t="s">
        <v>158</v>
      </c>
      <c r="F11" s="113">
        <v>1</v>
      </c>
      <c r="G11" s="114" t="s">
        <v>318</v>
      </c>
      <c r="H11" s="115">
        <v>1</v>
      </c>
      <c r="I11" s="116">
        <f t="shared" si="7"/>
        <v>2</v>
      </c>
      <c r="J11" s="117" t="s">
        <v>318</v>
      </c>
      <c r="K11" s="118">
        <f t="shared" si="8"/>
        <v>1</v>
      </c>
      <c r="L11" s="113">
        <v>2</v>
      </c>
      <c r="M11" s="114" t="s">
        <v>318</v>
      </c>
      <c r="N11" s="119"/>
      <c r="O11" s="120"/>
      <c r="P11" s="114" t="s">
        <v>318</v>
      </c>
      <c r="Q11" s="119">
        <v>1</v>
      </c>
      <c r="R11" s="120"/>
      <c r="S11" s="114" t="s">
        <v>318</v>
      </c>
      <c r="T11" s="119"/>
      <c r="U11" s="113"/>
      <c r="V11" s="114" t="s">
        <v>318</v>
      </c>
      <c r="W11" s="115"/>
      <c r="X11" s="115" t="s">
        <v>222</v>
      </c>
      <c r="Y11" s="121">
        <v>55000</v>
      </c>
      <c r="Z11" s="115">
        <v>2</v>
      </c>
      <c r="AA11" s="320" t="s">
        <v>1363</v>
      </c>
      <c r="AB11" s="319"/>
      <c r="AC11" s="249"/>
      <c r="AD11" s="2"/>
      <c r="AE11" s="53" t="b">
        <v>0</v>
      </c>
      <c r="AF11" s="53" t="b">
        <v>0</v>
      </c>
      <c r="AG11" s="53" t="b">
        <v>0</v>
      </c>
      <c r="AH11" s="2"/>
      <c r="AI11" s="2">
        <f t="shared" si="9"/>
        <v>2</v>
      </c>
    </row>
    <row r="12" spans="1:35" ht="21" customHeight="1">
      <c r="A12" s="110">
        <v>7</v>
      </c>
      <c r="B12" s="318" t="str">
        <f>IF(Roster!$J$25="Español",(IF(F12&gt;0,(IF(F12&gt;H12,"ganado",(IF(F12=H12,"empatado",(IF(F12&lt;H12,"perdido","")))))),"")),(IF(F12&gt;0,(IF(F12&gt;H12,"won",(IF(F12=H12,"tied",(IF(F12&lt;H12,"lost","")))))),"")))</f>
        <v/>
      </c>
      <c r="C12" s="319"/>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20"/>
      <c r="AB12" s="319"/>
      <c r="AC12" s="249"/>
      <c r="AD12" s="2"/>
      <c r="AE12" s="53" t="b">
        <v>0</v>
      </c>
      <c r="AF12" s="53" t="b">
        <v>0</v>
      </c>
      <c r="AG12" s="53" t="b">
        <v>0</v>
      </c>
      <c r="AH12" s="2"/>
      <c r="AI12" s="2" t="str">
        <f t="shared" si="9"/>
        <v/>
      </c>
    </row>
    <row r="13" spans="1:35" ht="21" customHeight="1">
      <c r="A13" s="122">
        <v>8</v>
      </c>
      <c r="B13" s="318" t="str">
        <f>IF(Roster!$J$25="Español",(IF(F13&gt;0,(IF(F13&gt;H13,"ganado",(IF(F13=H13,"empatado",(IF(F13&lt;H13,"perdido","")))))),"")),(IF(F13&gt;0,(IF(F13&gt;H13,"won",(IF(F13=H13,"tied",(IF(F13&lt;H13,"lost","")))))),"")))</f>
        <v/>
      </c>
      <c r="C13" s="319"/>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20"/>
      <c r="AB13" s="319"/>
      <c r="AC13" s="249"/>
      <c r="AD13" s="2"/>
      <c r="AE13" s="53" t="b">
        <v>0</v>
      </c>
      <c r="AF13" s="53" t="b">
        <v>0</v>
      </c>
      <c r="AG13" s="53" t="b">
        <v>0</v>
      </c>
      <c r="AH13" s="2"/>
      <c r="AI13" s="2" t="str">
        <f t="shared" si="9"/>
        <v/>
      </c>
    </row>
    <row r="14" spans="1:35" ht="21" customHeight="1">
      <c r="A14" s="110">
        <v>9</v>
      </c>
      <c r="B14" s="318" t="str">
        <f>IF(Roster!$J$25="Español",(IF(F14&gt;0,(IF(F14&gt;H14,"ganado",(IF(F14=H14,"empatado",(IF(F14&lt;H14,"perdido","")))))),"")),(IF(F14&gt;0,(IF(F14&gt;H14,"won",(IF(F14=H14,"tied",(IF(F14&lt;H14,"lost","")))))),"")))</f>
        <v/>
      </c>
      <c r="C14" s="319"/>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20"/>
      <c r="AB14" s="319"/>
      <c r="AC14" s="249"/>
      <c r="AD14" s="2"/>
      <c r="AE14" s="53" t="b">
        <v>0</v>
      </c>
      <c r="AF14" s="53" t="b">
        <v>0</v>
      </c>
      <c r="AG14" s="53" t="b">
        <v>0</v>
      </c>
      <c r="AH14" s="2"/>
      <c r="AI14" s="2" t="str">
        <f t="shared" si="9"/>
        <v/>
      </c>
    </row>
    <row r="15" spans="1:35" ht="21" customHeight="1">
      <c r="A15" s="110">
        <v>10</v>
      </c>
      <c r="B15" s="318" t="str">
        <f>IF(Roster!$J$25="Español",(IF(F15&gt;0,(IF(F15&gt;H15,"ganado",(IF(F15=H15,"empatado",(IF(F15&lt;H15,"perdido","")))))),"")),(IF(F15&gt;0,(IF(F15&gt;H15,"won",(IF(F15=H15,"tied",(IF(F15&lt;H15,"lost","")))))),"")))</f>
        <v/>
      </c>
      <c r="C15" s="319"/>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20"/>
      <c r="AB15" s="319"/>
      <c r="AC15" s="249"/>
      <c r="AD15" s="2"/>
      <c r="AE15" s="53" t="b">
        <v>0</v>
      </c>
      <c r="AF15" s="53" t="b">
        <v>0</v>
      </c>
      <c r="AG15" s="53" t="b">
        <v>0</v>
      </c>
      <c r="AH15" s="2"/>
      <c r="AI15" s="2" t="str">
        <f t="shared" si="9"/>
        <v/>
      </c>
    </row>
    <row r="16" spans="1:35" ht="21" customHeight="1">
      <c r="A16" s="122">
        <v>11</v>
      </c>
      <c r="B16" s="318" t="str">
        <f>IF(Roster!$J$25="Español",(IF(F16&gt;0,(IF(F16&gt;H16,"ganado",(IF(F16=H16,"empatado",(IF(F16&lt;H16,"perdido","")))))),"")),(IF(F16&gt;0,(IF(F16&gt;H16,"won",(IF(F16=H16,"tied",(IF(F16&lt;H16,"lost","")))))),"")))</f>
        <v/>
      </c>
      <c r="C16" s="319"/>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20"/>
      <c r="AB16" s="319"/>
      <c r="AC16" s="249"/>
      <c r="AD16" s="2"/>
      <c r="AE16" s="53" t="b">
        <v>0</v>
      </c>
      <c r="AF16" s="53" t="b">
        <v>0</v>
      </c>
      <c r="AG16" s="53" t="b">
        <v>0</v>
      </c>
      <c r="AH16" s="2"/>
      <c r="AI16" s="2" t="str">
        <f t="shared" si="9"/>
        <v/>
      </c>
    </row>
    <row r="17" spans="1:35" ht="21" customHeight="1">
      <c r="A17" s="110">
        <v>12</v>
      </c>
      <c r="B17" s="318" t="str">
        <f>IF(Roster!$J$25="Español",(IF(F17&gt;0,(IF(F17&gt;H17,"ganado",(IF(F17=H17,"empatado",(IF(F17&lt;H17,"perdido","")))))),"")),(IF(F17&gt;0,(IF(F17&gt;H17,"won",(IF(F17=H17,"tied",(IF(F17&lt;H17,"lost","")))))),"")))</f>
        <v/>
      </c>
      <c r="C17" s="319"/>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20"/>
      <c r="AB17" s="319"/>
      <c r="AC17" s="249"/>
      <c r="AD17" s="2"/>
      <c r="AE17" s="53" t="b">
        <v>0</v>
      </c>
      <c r="AF17" s="53" t="b">
        <v>0</v>
      </c>
      <c r="AG17" s="53" t="b">
        <v>0</v>
      </c>
      <c r="AH17" s="2"/>
      <c r="AI17" s="2" t="str">
        <f t="shared" si="9"/>
        <v/>
      </c>
    </row>
    <row r="18" spans="1:35" ht="21" customHeight="1">
      <c r="A18" s="110">
        <v>13</v>
      </c>
      <c r="B18" s="318" t="str">
        <f>IF(Roster!$J$25="Español",(IF(F18&gt;0,(IF(F18&gt;H18,"ganado",(IF(F18=H18,"empatado",(IF(F18&lt;H18,"perdido","")))))),"")),(IF(F18&gt;0,(IF(F18&gt;H18,"won",(IF(F18=H18,"tied",(IF(F18&lt;H18,"lost","")))))),"")))</f>
        <v/>
      </c>
      <c r="C18" s="319"/>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20"/>
      <c r="AB18" s="319"/>
      <c r="AC18" s="249"/>
      <c r="AD18" s="2"/>
      <c r="AE18" s="53" t="b">
        <v>0</v>
      </c>
      <c r="AF18" s="53" t="b">
        <v>0</v>
      </c>
      <c r="AG18" s="53" t="b">
        <v>0</v>
      </c>
      <c r="AH18" s="2"/>
      <c r="AI18" s="2" t="str">
        <f t="shared" si="9"/>
        <v/>
      </c>
    </row>
    <row r="19" spans="1:35" ht="21" customHeight="1">
      <c r="A19" s="122">
        <v>14</v>
      </c>
      <c r="B19" s="318" t="str">
        <f>IF(Roster!$J$25="Español",(IF(F19&gt;0,(IF(F19&gt;H19,"ganado",(IF(F19=H19,"empatado",(IF(F19&lt;H19,"perdido","")))))),"")),(IF(F19&gt;0,(IF(F19&gt;H19,"won",(IF(F19=H19,"tied",(IF(F19&lt;H19,"lost","")))))),"")))</f>
        <v/>
      </c>
      <c r="C19" s="319"/>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20"/>
      <c r="AB19" s="319"/>
      <c r="AC19" s="249"/>
      <c r="AD19" s="2"/>
      <c r="AE19" s="53" t="b">
        <v>0</v>
      </c>
      <c r="AF19" s="53" t="b">
        <v>0</v>
      </c>
      <c r="AG19" s="53" t="b">
        <v>0</v>
      </c>
      <c r="AH19" s="2"/>
      <c r="AI19" s="2" t="str">
        <f t="shared" si="9"/>
        <v/>
      </c>
    </row>
    <row r="20" spans="1:35" ht="21" customHeight="1">
      <c r="A20" s="110">
        <v>15</v>
      </c>
      <c r="B20" s="318" t="str">
        <f>IF(Roster!$J$25="Español",(IF(F20&gt;0,(IF(F20&gt;H20,"ganado",(IF(F20=H20,"empatado",(IF(F20&lt;H20,"perdido","")))))),"")),(IF(F20&gt;0,(IF(F20&gt;H20,"won",(IF(F20=H20,"tied",(IF(F20&lt;H20,"lost","")))))),"")))</f>
        <v/>
      </c>
      <c r="C20" s="319"/>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20"/>
      <c r="AB20" s="319"/>
      <c r="AC20" s="249"/>
      <c r="AD20" s="2"/>
      <c r="AE20" s="53" t="b">
        <v>0</v>
      </c>
      <c r="AF20" s="53" t="b">
        <v>0</v>
      </c>
      <c r="AG20" s="53" t="b">
        <v>0</v>
      </c>
      <c r="AH20" s="2"/>
      <c r="AI20" s="2" t="str">
        <f t="shared" si="9"/>
        <v/>
      </c>
    </row>
    <row r="21" spans="1:35" ht="21" customHeight="1">
      <c r="A21" s="110">
        <v>16</v>
      </c>
      <c r="B21" s="318" t="str">
        <f>IF(Roster!$J$25="Español",(IF(F21&gt;0,(IF(F21&gt;H21,"ganado",(IF(F21=H21,"empatado",(IF(F21&lt;H21,"perdido","")))))),"")),(IF(F21&gt;0,(IF(F21&gt;H21,"won",(IF(F21=H21,"tied",(IF(F21&lt;H21,"lost","")))))),"")))</f>
        <v/>
      </c>
      <c r="C21" s="319"/>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20"/>
      <c r="AB21" s="319"/>
      <c r="AC21" s="249"/>
      <c r="AD21" s="2"/>
      <c r="AE21" s="53" t="b">
        <v>0</v>
      </c>
      <c r="AF21" s="53" t="b">
        <v>0</v>
      </c>
      <c r="AG21" s="53" t="b">
        <v>0</v>
      </c>
      <c r="AH21" s="2"/>
      <c r="AI21" s="2" t="str">
        <f t="shared" si="9"/>
        <v/>
      </c>
    </row>
    <row r="22" spans="1:35" ht="21" customHeight="1">
      <c r="A22" s="122">
        <v>17</v>
      </c>
      <c r="B22" s="318" t="str">
        <f>IF(Roster!$J$25="Español",(IF(F22&gt;0,(IF(F22&gt;H22,"ganado",(IF(F22=H22,"empatado",(IF(F22&lt;H22,"perdido","")))))),"")),(IF(F22&gt;0,(IF(F22&gt;H22,"won",(IF(F22=H22,"tied",(IF(F22&lt;H22,"lost","")))))),"")))</f>
        <v/>
      </c>
      <c r="C22" s="319"/>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20"/>
      <c r="AB22" s="319"/>
      <c r="AC22" s="249"/>
      <c r="AD22" s="2"/>
      <c r="AE22" s="53" t="b">
        <v>0</v>
      </c>
      <c r="AF22" s="53" t="b">
        <v>0</v>
      </c>
      <c r="AG22" s="53" t="b">
        <v>0</v>
      </c>
      <c r="AH22" s="2"/>
      <c r="AI22" s="2" t="str">
        <f t="shared" si="9"/>
        <v/>
      </c>
    </row>
    <row r="23" spans="1:35" ht="21" customHeight="1">
      <c r="A23" s="110">
        <v>18</v>
      </c>
      <c r="B23" s="318" t="str">
        <f>IF(Roster!$J$25="Español",(IF(F23&gt;0,(IF(F23&gt;H23,"ganado",(IF(F23=H23,"empatado",(IF(F23&lt;H23,"perdido","")))))),"")),(IF(F23&gt;0,(IF(F23&gt;H23,"won",(IF(F23=H23,"tied",(IF(F23&lt;H23,"lost","")))))),"")))</f>
        <v/>
      </c>
      <c r="C23" s="319"/>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20"/>
      <c r="AB23" s="319"/>
      <c r="AC23" s="249"/>
      <c r="AD23" s="2"/>
      <c r="AE23" s="53" t="b">
        <v>0</v>
      </c>
      <c r="AF23" s="53" t="b">
        <v>0</v>
      </c>
      <c r="AG23" s="53" t="b">
        <v>0</v>
      </c>
      <c r="AH23" s="2"/>
      <c r="AI23" s="2" t="str">
        <f t="shared" si="9"/>
        <v/>
      </c>
    </row>
    <row r="24" spans="1:35" ht="21" customHeight="1">
      <c r="A24" s="110">
        <v>19</v>
      </c>
      <c r="B24" s="318" t="str">
        <f>IF(Roster!$J$25="Español",(IF(F24&gt;0,(IF(F24&gt;H24,"ganado",(IF(F24=H24,"empatado",(IF(F24&lt;H24,"perdido","")))))),"")),(IF(F24&gt;0,(IF(F24&gt;H24,"won",(IF(F24=H24,"tied",(IF(F24&lt;H24,"lost","")))))),"")))</f>
        <v/>
      </c>
      <c r="C24" s="319"/>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20"/>
      <c r="AB24" s="319"/>
      <c r="AC24" s="249"/>
      <c r="AD24" s="2"/>
      <c r="AE24" s="53" t="b">
        <v>0</v>
      </c>
      <c r="AF24" s="53" t="b">
        <v>0</v>
      </c>
      <c r="AG24" s="53" t="b">
        <v>0</v>
      </c>
      <c r="AH24" s="2"/>
      <c r="AI24" s="2" t="str">
        <f t="shared" si="9"/>
        <v/>
      </c>
    </row>
    <row r="25" spans="1:35" ht="21" customHeight="1">
      <c r="A25" s="122">
        <v>20</v>
      </c>
      <c r="B25" s="318" t="str">
        <f>IF(Roster!$J$25="Español",(IF(F25&gt;0,(IF(F25&gt;H25,"ganado",(IF(F25=H25,"empatado",(IF(F25&lt;H25,"perdido","")))))),"")),(IF(F25&gt;0,(IF(F25&gt;H25,"won",(IF(F25=H25,"tied",(IF(F25&lt;H25,"lost","")))))),"")))</f>
        <v/>
      </c>
      <c r="C25" s="319"/>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20"/>
      <c r="AB25" s="319"/>
      <c r="AC25" s="249"/>
      <c r="AD25" s="2"/>
      <c r="AE25" s="53" t="b">
        <v>0</v>
      </c>
      <c r="AF25" s="53" t="b">
        <v>0</v>
      </c>
      <c r="AG25" s="53" t="b">
        <v>0</v>
      </c>
      <c r="AH25" s="2"/>
      <c r="AI25" s="2" t="str">
        <f t="shared" si="9"/>
        <v/>
      </c>
    </row>
    <row r="26" spans="1:35" ht="21" customHeight="1">
      <c r="A26" s="110">
        <v>21</v>
      </c>
      <c r="B26" s="318" t="str">
        <f>IF(Roster!$J$25="Español",(IF(F26&gt;0,(IF(F26&gt;H26,"ganado",(IF(F26=H26,"empatado",(IF(F26&lt;H26,"perdido","")))))),"")),(IF(F26&gt;0,(IF(F26&gt;H26,"won",(IF(F26=H26,"tied",(IF(F26&lt;H26,"lost","")))))),"")))</f>
        <v/>
      </c>
      <c r="C26" s="319"/>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20"/>
      <c r="AB26" s="319"/>
      <c r="AC26" s="249"/>
      <c r="AD26" s="2"/>
      <c r="AE26" s="53" t="b">
        <v>0</v>
      </c>
      <c r="AF26" s="53" t="b">
        <v>0</v>
      </c>
      <c r="AG26" s="53" t="b">
        <v>0</v>
      </c>
      <c r="AH26" s="2"/>
      <c r="AI26" s="2" t="str">
        <f t="shared" si="9"/>
        <v/>
      </c>
    </row>
    <row r="27" spans="1:35" ht="21" customHeight="1">
      <c r="A27" s="110">
        <v>22</v>
      </c>
      <c r="B27" s="318" t="str">
        <f>IF(Roster!$J$25="Español",(IF(F27&gt;0,(IF(F27&gt;H27,"ganado",(IF(F27=H27,"empatado",(IF(F27&lt;H27,"perdido","")))))),"")),(IF(F27&gt;0,(IF(F27&gt;H27,"won",(IF(F27=H27,"tied",(IF(F27&lt;H27,"lost","")))))),"")))</f>
        <v/>
      </c>
      <c r="C27" s="319"/>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20"/>
      <c r="AB27" s="319"/>
      <c r="AC27" s="249"/>
      <c r="AD27" s="2"/>
      <c r="AE27" s="53" t="b">
        <v>0</v>
      </c>
      <c r="AF27" s="53" t="b">
        <v>0</v>
      </c>
      <c r="AG27" s="53" t="b">
        <v>0</v>
      </c>
      <c r="AH27" s="2"/>
      <c r="AI27" s="2" t="str">
        <f t="shared" si="9"/>
        <v/>
      </c>
    </row>
    <row r="28" spans="1:35" ht="21" customHeight="1">
      <c r="A28" s="122">
        <v>23</v>
      </c>
      <c r="B28" s="318" t="str">
        <f>IF(Roster!$J$25="Español",(IF(F28&gt;0,(IF(F28&gt;H28,"ganado",(IF(F28=H28,"empatado",(IF(F28&lt;H28,"perdido","")))))),"")),(IF(F28&gt;0,(IF(F28&gt;H28,"won",(IF(F28=H28,"tied",(IF(F28&lt;H28,"lost","")))))),"")))</f>
        <v/>
      </c>
      <c r="C28" s="319"/>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20"/>
      <c r="AB28" s="319"/>
      <c r="AC28" s="249"/>
      <c r="AD28" s="2"/>
      <c r="AE28" s="53" t="b">
        <v>0</v>
      </c>
      <c r="AF28" s="53" t="b">
        <v>0</v>
      </c>
      <c r="AG28" s="53" t="b">
        <v>0</v>
      </c>
      <c r="AH28" s="2"/>
      <c r="AI28" s="2" t="str">
        <f t="shared" si="9"/>
        <v/>
      </c>
    </row>
    <row r="29" spans="1:35" ht="21" customHeight="1">
      <c r="A29" s="110">
        <v>24</v>
      </c>
      <c r="B29" s="318" t="str">
        <f>IF(Roster!$J$25="Español",(IF(F29&gt;0,(IF(F29&gt;H29,"ganado",(IF(F29=H29,"empatado",(IF(F29&lt;H29,"perdido","")))))),"")),(IF(F29&gt;0,(IF(F29&gt;H29,"won",(IF(F29=H29,"tied",(IF(F29&lt;H29,"lost","")))))),"")))</f>
        <v/>
      </c>
      <c r="C29" s="319"/>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20"/>
      <c r="AB29" s="319"/>
      <c r="AC29" s="249"/>
      <c r="AD29" s="2"/>
      <c r="AE29" s="53" t="b">
        <v>0</v>
      </c>
      <c r="AF29" s="53" t="b">
        <v>0</v>
      </c>
      <c r="AG29" s="53" t="b">
        <v>0</v>
      </c>
      <c r="AH29" s="2"/>
      <c r="AI29" s="2" t="str">
        <f t="shared" si="9"/>
        <v/>
      </c>
    </row>
    <row r="30" spans="1:35" ht="21" customHeight="1">
      <c r="A30" s="110">
        <v>25</v>
      </c>
      <c r="B30" s="318" t="str">
        <f>IF(Roster!$J$25="Español",(IF(F30&gt;0,(IF(F30&gt;H30,"ganado",(IF(F30=H30,"empatado",(IF(F30&lt;H30,"perdido","")))))),"")),(IF(F30&gt;0,(IF(F30&gt;H30,"won",(IF(F30=H30,"tied",(IF(F30&lt;H30,"lost","")))))),"")))</f>
        <v/>
      </c>
      <c r="C30" s="319"/>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20"/>
      <c r="AB30" s="319"/>
      <c r="AC30" s="249"/>
      <c r="AD30" s="2"/>
      <c r="AE30" s="53" t="b">
        <v>0</v>
      </c>
      <c r="AF30" s="53" t="b">
        <v>0</v>
      </c>
      <c r="AG30" s="53" t="b">
        <v>0</v>
      </c>
      <c r="AH30" s="2"/>
      <c r="AI30" s="2" t="str">
        <f t="shared" si="9"/>
        <v/>
      </c>
    </row>
    <row r="31" spans="1:35" ht="21" customHeight="1">
      <c r="A31" s="122">
        <v>26</v>
      </c>
      <c r="B31" s="318" t="str">
        <f>IF(Roster!$J$25="Español",(IF(F31&gt;0,(IF(F31&gt;H31,"ganado",(IF(F31=H31,"empatado",(IF(F31&lt;H31,"perdido","")))))),"")),(IF(F31&gt;0,(IF(F31&gt;H31,"won",(IF(F31=H31,"tied",(IF(F31&lt;H31,"lost","")))))),"")))</f>
        <v/>
      </c>
      <c r="C31" s="319"/>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20"/>
      <c r="AB31" s="319"/>
      <c r="AC31" s="249"/>
      <c r="AD31" s="2"/>
      <c r="AE31" s="53" t="b">
        <v>0</v>
      </c>
      <c r="AF31" s="53" t="b">
        <v>0</v>
      </c>
      <c r="AG31" s="53" t="b">
        <v>0</v>
      </c>
      <c r="AH31" s="2"/>
      <c r="AI31" s="2" t="str">
        <f t="shared" si="9"/>
        <v/>
      </c>
    </row>
    <row r="32" spans="1:35" ht="21" customHeight="1">
      <c r="A32" s="110">
        <v>27</v>
      </c>
      <c r="B32" s="318" t="str">
        <f>IF(Roster!$J$25="Español",(IF(F32&gt;0,(IF(F32&gt;H32,"ganado",(IF(F32=H32,"empatado",(IF(F32&lt;H32,"perdido","")))))),"")),(IF(F32&gt;0,(IF(F32&gt;H32,"won",(IF(F32=H32,"tied",(IF(F32&lt;H32,"lost","")))))),"")))</f>
        <v/>
      </c>
      <c r="C32" s="319"/>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20"/>
      <c r="AB32" s="319"/>
      <c r="AC32" s="249"/>
      <c r="AD32" s="2"/>
      <c r="AE32" s="53" t="b">
        <v>0</v>
      </c>
      <c r="AF32" s="53" t="b">
        <v>0</v>
      </c>
      <c r="AG32" s="53" t="b">
        <v>0</v>
      </c>
      <c r="AH32" s="2"/>
      <c r="AI32" s="2" t="str">
        <f t="shared" si="9"/>
        <v/>
      </c>
    </row>
    <row r="33" spans="1:35" ht="21" customHeight="1">
      <c r="A33" s="110">
        <v>28</v>
      </c>
      <c r="B33" s="318" t="str">
        <f>IF(Roster!$J$25="Español",(IF(F33&gt;0,(IF(F33&gt;H33,"ganado",(IF(F33=H33,"empatado",(IF(F33&lt;H33,"perdido","")))))),"")),(IF(F33&gt;0,(IF(F33&gt;H33,"won",(IF(F33=H33,"tied",(IF(F33&lt;H33,"lost","")))))),"")))</f>
        <v/>
      </c>
      <c r="C33" s="319"/>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20"/>
      <c r="AB33" s="319"/>
      <c r="AC33" s="249"/>
      <c r="AD33" s="2"/>
      <c r="AE33" s="53" t="b">
        <v>0</v>
      </c>
      <c r="AF33" s="53" t="b">
        <v>0</v>
      </c>
      <c r="AG33" s="53" t="b">
        <v>0</v>
      </c>
      <c r="AH33" s="2"/>
      <c r="AI33" s="2" t="str">
        <f t="shared" si="9"/>
        <v/>
      </c>
    </row>
    <row r="34" spans="1:35" ht="21" customHeight="1">
      <c r="A34" s="122">
        <v>29</v>
      </c>
      <c r="B34" s="318" t="str">
        <f>IF(Roster!$J$25="Español",(IF(F34&gt;0,(IF(F34&gt;H34,"ganado",(IF(F34=H34,"empatado",(IF(F34&lt;H34,"perdido","")))))),"")),(IF(F34&gt;0,(IF(F34&gt;H34,"won",(IF(F34=H34,"tied",(IF(F34&lt;H34,"lost","")))))),"")))</f>
        <v/>
      </c>
      <c r="C34" s="319"/>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20"/>
      <c r="AB34" s="319"/>
      <c r="AC34" s="249"/>
      <c r="AD34" s="2"/>
      <c r="AE34" s="53" t="b">
        <v>0</v>
      </c>
      <c r="AF34" s="53" t="b">
        <v>0</v>
      </c>
      <c r="AG34" s="53" t="b">
        <v>0</v>
      </c>
      <c r="AH34" s="2"/>
      <c r="AI34" s="2" t="str">
        <f t="shared" si="9"/>
        <v/>
      </c>
    </row>
    <row r="35" spans="1:35" ht="21" customHeight="1">
      <c r="A35" s="110">
        <v>30</v>
      </c>
      <c r="B35" s="318" t="str">
        <f>IF(Roster!$J$25="Español",(IF(F35&gt;0,(IF(F35&gt;H35,"ganado",(IF(F35=H35,"empatado",(IF(F35&lt;H35,"perdido","")))))),"")),(IF(F35&gt;0,(IF(F35&gt;H35,"won",(IF(F35=H35,"tied",(IF(F35&lt;H35,"lost","")))))),"")))</f>
        <v/>
      </c>
      <c r="C35" s="319"/>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20"/>
      <c r="AB35" s="319"/>
      <c r="AC35" s="249"/>
      <c r="AD35" s="2"/>
      <c r="AE35" s="53" t="b">
        <v>0</v>
      </c>
      <c r="AF35" s="53" t="b">
        <v>0</v>
      </c>
      <c r="AG35" s="53" t="b">
        <v>0</v>
      </c>
      <c r="AH35" s="2"/>
      <c r="AI35" s="2" t="str">
        <f t="shared" si="9"/>
        <v/>
      </c>
    </row>
    <row r="36" spans="1:35" ht="21" customHeight="1">
      <c r="A36" s="110">
        <v>31</v>
      </c>
      <c r="B36" s="318" t="str">
        <f>IF(Roster!$J$25="Español",(IF(F36&gt;0,(IF(F36&gt;H36,"ganado",(IF(F36=H36,"empatado",(IF(F36&lt;H36,"perdido","")))))),"")),(IF(F36&gt;0,(IF(F36&gt;H36,"won",(IF(F36=H36,"tied",(IF(F36&lt;H36,"lost","")))))),"")))</f>
        <v/>
      </c>
      <c r="C36" s="319"/>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20"/>
      <c r="AB36" s="319"/>
      <c r="AC36" s="249"/>
      <c r="AD36" s="2"/>
      <c r="AE36" s="53" t="b">
        <v>0</v>
      </c>
      <c r="AF36" s="53" t="b">
        <v>0</v>
      </c>
      <c r="AG36" s="53" t="b">
        <v>0</v>
      </c>
      <c r="AH36" s="2"/>
      <c r="AI36" s="2" t="str">
        <f t="shared" si="9"/>
        <v/>
      </c>
    </row>
    <row r="37" spans="1:35" ht="21" customHeight="1">
      <c r="A37" s="122">
        <v>32</v>
      </c>
      <c r="B37" s="318" t="str">
        <f>IF(Roster!$J$25="Español",(IF(F37&gt;0,(IF(F37&gt;H37,"ganado",(IF(F37=H37,"empatado",(IF(F37&lt;H37,"perdido","")))))),"")),(IF(F37&gt;0,(IF(F37&gt;H37,"won",(IF(F37=H37,"tied",(IF(F37&lt;H37,"lost","")))))),"")))</f>
        <v/>
      </c>
      <c r="C37" s="319"/>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20"/>
      <c r="AB37" s="319"/>
      <c r="AC37" s="249"/>
      <c r="AD37" s="2"/>
      <c r="AE37" s="53" t="b">
        <v>0</v>
      </c>
      <c r="AF37" s="53" t="b">
        <v>0</v>
      </c>
      <c r="AG37" s="53" t="b">
        <v>0</v>
      </c>
      <c r="AH37" s="2"/>
      <c r="AI37" s="2" t="str">
        <f t="shared" si="9"/>
        <v/>
      </c>
    </row>
    <row r="38" spans="1:35" ht="21" customHeight="1">
      <c r="A38" s="110">
        <v>33</v>
      </c>
      <c r="B38" s="318" t="str">
        <f>IF(Roster!$J$25="Español",(IF(F38&gt;0,(IF(F38&gt;H38,"ganado",(IF(F38=H38,"empatado",(IF(F38&lt;H38,"perdido","")))))),"")),(IF(F38&gt;0,(IF(F38&gt;H38,"won",(IF(F38=H38,"tied",(IF(F38&lt;H38,"lost","")))))),"")))</f>
        <v/>
      </c>
      <c r="C38" s="319"/>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20"/>
      <c r="AB38" s="319"/>
      <c r="AC38" s="249"/>
      <c r="AD38" s="2"/>
      <c r="AE38" s="53" t="b">
        <v>0</v>
      </c>
      <c r="AF38" s="53" t="b">
        <v>0</v>
      </c>
      <c r="AG38" s="53" t="b">
        <v>0</v>
      </c>
      <c r="AH38" s="2"/>
      <c r="AI38" s="2" t="str">
        <f t="shared" si="9"/>
        <v/>
      </c>
    </row>
    <row r="39" spans="1:35" ht="21" customHeight="1">
      <c r="A39" s="110">
        <v>34</v>
      </c>
      <c r="B39" s="318" t="str">
        <f>IF(Roster!$J$25="Español",(IF(F39&gt;0,(IF(F39&gt;H39,"ganado",(IF(F39=H39,"empatado",(IF(F39&lt;H39,"perdido","")))))),"")),(IF(F39&gt;0,(IF(F39&gt;H39,"won",(IF(F39=H39,"tied",(IF(F39&lt;H39,"lost","")))))),"")))</f>
        <v/>
      </c>
      <c r="C39" s="319"/>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20"/>
      <c r="AB39" s="319"/>
      <c r="AC39" s="249"/>
      <c r="AD39" s="2"/>
      <c r="AE39" s="53" t="b">
        <v>0</v>
      </c>
      <c r="AF39" s="53" t="b">
        <v>0</v>
      </c>
      <c r="AG39" s="53" t="b">
        <v>0</v>
      </c>
      <c r="AH39" s="2"/>
      <c r="AI39" s="2" t="str">
        <f t="shared" si="9"/>
        <v/>
      </c>
    </row>
    <row r="40" spans="1:35" ht="21" customHeight="1">
      <c r="A40" s="122">
        <v>35</v>
      </c>
      <c r="B40" s="318" t="str">
        <f>IF(Roster!$J$25="Español",(IF(F40&gt;0,(IF(F40&gt;H40,"ganado",(IF(F40=H40,"empatado",(IF(F40&lt;H40,"perdido","")))))),"")),(IF(F40&gt;0,(IF(F40&gt;H40,"won",(IF(F40=H40,"tied",(IF(F40&lt;H40,"lost","")))))),"")))</f>
        <v/>
      </c>
      <c r="C40" s="319"/>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20"/>
      <c r="AB40" s="319"/>
      <c r="AC40" s="249"/>
      <c r="AD40" s="2"/>
      <c r="AE40" s="53" t="b">
        <v>0</v>
      </c>
      <c r="AF40" s="53" t="b">
        <v>0</v>
      </c>
      <c r="AG40" s="53" t="b">
        <v>0</v>
      </c>
      <c r="AH40" s="2"/>
      <c r="AI40" s="2" t="str">
        <f t="shared" si="9"/>
        <v/>
      </c>
    </row>
    <row r="41" spans="1:35" ht="21" customHeight="1">
      <c r="A41" s="110">
        <v>36</v>
      </c>
      <c r="B41" s="318" t="str">
        <f>IF(Roster!$J$25="Español",(IF(F41&gt;0,(IF(F41&gt;H41,"ganado",(IF(F41=H41,"empatado",(IF(F41&lt;H41,"perdido","")))))),"")),(IF(F41&gt;0,(IF(F41&gt;H41,"won",(IF(F41=H41,"tied",(IF(F41&lt;H41,"lost","")))))),"")))</f>
        <v/>
      </c>
      <c r="C41" s="319"/>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20"/>
      <c r="AB41" s="319"/>
      <c r="AC41" s="249"/>
      <c r="AD41" s="2"/>
      <c r="AE41" s="53" t="b">
        <v>0</v>
      </c>
      <c r="AF41" s="53" t="b">
        <v>0</v>
      </c>
      <c r="AG41" s="53" t="b">
        <v>0</v>
      </c>
      <c r="AH41" s="2"/>
      <c r="AI41" s="2" t="str">
        <f t="shared" si="9"/>
        <v/>
      </c>
    </row>
    <row r="42" spans="1:35" ht="21" customHeight="1">
      <c r="A42" s="110">
        <v>37</v>
      </c>
      <c r="B42" s="318" t="str">
        <f>IF(Roster!$J$25="Español",(IF(F42&gt;0,(IF(F42&gt;H42,"ganado",(IF(F42=H42,"empatado",(IF(F42&lt;H42,"perdido","")))))),"")),(IF(F42&gt;0,(IF(F42&gt;H42,"won",(IF(F42=H42,"tied",(IF(F42&lt;H42,"lost","")))))),"")))</f>
        <v/>
      </c>
      <c r="C42" s="319"/>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20"/>
      <c r="AB42" s="319"/>
      <c r="AC42" s="249"/>
      <c r="AD42" s="2"/>
      <c r="AE42" s="53" t="b">
        <v>0</v>
      </c>
      <c r="AF42" s="53" t="b">
        <v>0</v>
      </c>
      <c r="AG42" s="53" t="b">
        <v>0</v>
      </c>
      <c r="AH42" s="2"/>
      <c r="AI42" s="2" t="str">
        <f t="shared" si="9"/>
        <v/>
      </c>
    </row>
    <row r="43" spans="1:35" ht="21" customHeight="1">
      <c r="A43" s="122">
        <v>38</v>
      </c>
      <c r="B43" s="318" t="str">
        <f>IF(Roster!$J$25="Español",(IF(F43&gt;0,(IF(F43&gt;H43,"ganado",(IF(F43=H43,"empatado",(IF(F43&lt;H43,"perdido","")))))),"")),(IF(F43&gt;0,(IF(F43&gt;H43,"won",(IF(F43=H43,"tied",(IF(F43&lt;H43,"lost","")))))),"")))</f>
        <v/>
      </c>
      <c r="C43" s="319"/>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20"/>
      <c r="AB43" s="319"/>
      <c r="AC43" s="249"/>
      <c r="AD43" s="2"/>
      <c r="AE43" s="53" t="b">
        <v>0</v>
      </c>
      <c r="AF43" s="53" t="b">
        <v>0</v>
      </c>
      <c r="AG43" s="53" t="b">
        <v>0</v>
      </c>
      <c r="AH43" s="2"/>
      <c r="AI43" s="2" t="str">
        <f t="shared" si="9"/>
        <v/>
      </c>
    </row>
    <row r="44" spans="1:35" ht="21" customHeight="1">
      <c r="A44" s="110">
        <v>39</v>
      </c>
      <c r="B44" s="318" t="str">
        <f>IF(Roster!$J$25="Español",(IF(F44&gt;0,(IF(F44&gt;H44,"ganado",(IF(F44=H44,"empatado",(IF(F44&lt;H44,"perdido","")))))),"")),(IF(F44&gt;0,(IF(F44&gt;H44,"won",(IF(F44=H44,"tied",(IF(F44&lt;H44,"lost","")))))),"")))</f>
        <v/>
      </c>
      <c r="C44" s="319"/>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20"/>
      <c r="AB44" s="319"/>
      <c r="AC44" s="249"/>
      <c r="AD44" s="2"/>
      <c r="AE44" s="53" t="b">
        <v>0</v>
      </c>
      <c r="AF44" s="53" t="b">
        <v>0</v>
      </c>
      <c r="AG44" s="53" t="b">
        <v>0</v>
      </c>
      <c r="AH44" s="2"/>
      <c r="AI44" s="2" t="str">
        <f t="shared" si="9"/>
        <v/>
      </c>
    </row>
    <row r="45" spans="1:35" ht="21" customHeight="1">
      <c r="A45" s="110">
        <v>40</v>
      </c>
      <c r="B45" s="318" t="str">
        <f>IF(Roster!$J$25="Español",(IF(F45&gt;0,(IF(F45&gt;H45,"ganado",(IF(F45=H45,"empatado",(IF(F45&lt;H45,"perdido","")))))),"")),(IF(F45&gt;0,(IF(F45&gt;H45,"won",(IF(F45=H45,"tied",(IF(F45&lt;H45,"lost","")))))),"")))</f>
        <v/>
      </c>
      <c r="C45" s="319"/>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20"/>
      <c r="AB45" s="319"/>
      <c r="AC45" s="249"/>
      <c r="AD45" s="2"/>
      <c r="AE45" s="53" t="b">
        <v>0</v>
      </c>
      <c r="AF45" s="53" t="b">
        <v>0</v>
      </c>
      <c r="AG45" s="53" t="b">
        <v>0</v>
      </c>
      <c r="AH45" s="2"/>
      <c r="AI45" s="2" t="str">
        <f t="shared" si="9"/>
        <v/>
      </c>
    </row>
    <row r="46" spans="1:35" ht="21" customHeight="1">
      <c r="A46" s="122">
        <v>41</v>
      </c>
      <c r="B46" s="318" t="str">
        <f>IF(Roster!$J$25="Español",(IF(F46&gt;0,(IF(F46&gt;H46,"ganado",(IF(F46=H46,"empatado",(IF(F46&lt;H46,"perdido","")))))),"")),(IF(F46&gt;0,(IF(F46&gt;H46,"won",(IF(F46=H46,"tied",(IF(F46&lt;H46,"lost","")))))),"")))</f>
        <v/>
      </c>
      <c r="C46" s="319"/>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20"/>
      <c r="AB46" s="319"/>
      <c r="AC46" s="249"/>
      <c r="AD46" s="2"/>
      <c r="AE46" s="53" t="b">
        <v>0</v>
      </c>
      <c r="AF46" s="53" t="b">
        <v>0</v>
      </c>
      <c r="AG46" s="53" t="b">
        <v>0</v>
      </c>
      <c r="AH46" s="2"/>
      <c r="AI46" s="2" t="str">
        <f t="shared" si="9"/>
        <v/>
      </c>
    </row>
    <row r="47" spans="1:35" ht="21" customHeight="1">
      <c r="A47" s="110">
        <v>42</v>
      </c>
      <c r="B47" s="318" t="str">
        <f>IF(Roster!$J$25="Español",(IF(F47&gt;0,(IF(F47&gt;H47,"ganado",(IF(F47=H47,"empatado",(IF(F47&lt;H47,"perdido","")))))),"")),(IF(F47&gt;0,(IF(F47&gt;H47,"won",(IF(F47=H47,"tied",(IF(F47&lt;H47,"lost","")))))),"")))</f>
        <v/>
      </c>
      <c r="C47" s="319"/>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20"/>
      <c r="AB47" s="319"/>
      <c r="AC47" s="249"/>
      <c r="AD47" s="2"/>
      <c r="AE47" s="53" t="b">
        <v>0</v>
      </c>
      <c r="AF47" s="53" t="b">
        <v>0</v>
      </c>
      <c r="AG47" s="53" t="b">
        <v>0</v>
      </c>
      <c r="AH47" s="2"/>
      <c r="AI47" s="2" t="str">
        <f t="shared" si="9"/>
        <v/>
      </c>
    </row>
    <row r="48" spans="1:35" ht="21" customHeight="1">
      <c r="A48" s="110">
        <v>43</v>
      </c>
      <c r="B48" s="318" t="str">
        <f>IF(Roster!$J$25="Español",(IF(F48&gt;0,(IF(F48&gt;H48,"ganado",(IF(F48=H48,"empatado",(IF(F48&lt;H48,"perdido","")))))),"")),(IF(F48&gt;0,(IF(F48&gt;H48,"won",(IF(F48=H48,"tied",(IF(F48&lt;H48,"lost","")))))),"")))</f>
        <v/>
      </c>
      <c r="C48" s="319"/>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20"/>
      <c r="AB48" s="319"/>
      <c r="AC48" s="249"/>
      <c r="AD48" s="2"/>
      <c r="AE48" s="53" t="b">
        <v>0</v>
      </c>
      <c r="AF48" s="53" t="b">
        <v>0</v>
      </c>
      <c r="AG48" s="53" t="b">
        <v>0</v>
      </c>
      <c r="AH48" s="2"/>
      <c r="AI48" s="2" t="str">
        <f t="shared" si="9"/>
        <v/>
      </c>
    </row>
    <row r="49" spans="1:35" ht="21" customHeight="1">
      <c r="A49" s="122">
        <v>44</v>
      </c>
      <c r="B49" s="318" t="str">
        <f>IF(Roster!$J$25="Español",(IF(F49&gt;0,(IF(F49&gt;H49,"ganado",(IF(F49=H49,"empatado",(IF(F49&lt;H49,"perdido","")))))),"")),(IF(F49&gt;0,(IF(F49&gt;H49,"won",(IF(F49=H49,"tied",(IF(F49&lt;H49,"lost","")))))),"")))</f>
        <v/>
      </c>
      <c r="C49" s="319"/>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20"/>
      <c r="AB49" s="319"/>
      <c r="AC49" s="249"/>
      <c r="AD49" s="2"/>
      <c r="AE49" s="53" t="b">
        <v>0</v>
      </c>
      <c r="AF49" s="53" t="b">
        <v>0</v>
      </c>
      <c r="AG49" s="53" t="b">
        <v>0</v>
      </c>
      <c r="AH49" s="2"/>
      <c r="AI49" s="2" t="str">
        <f t="shared" si="9"/>
        <v/>
      </c>
    </row>
    <row r="50" spans="1:35" ht="21" customHeight="1">
      <c r="A50" s="110">
        <v>45</v>
      </c>
      <c r="B50" s="318" t="str">
        <f>IF(Roster!$J$25="Español",(IF(F50&gt;0,(IF(F50&gt;H50,"ganado",(IF(F50=H50,"empatado",(IF(F50&lt;H50,"perdido","")))))),"")),(IF(F50&gt;0,(IF(F50&gt;H50,"won",(IF(F50=H50,"tied",(IF(F50&lt;H50,"lost","")))))),"")))</f>
        <v/>
      </c>
      <c r="C50" s="319"/>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20"/>
      <c r="AB50" s="319"/>
      <c r="AC50" s="249"/>
      <c r="AD50" s="2"/>
      <c r="AE50" s="53" t="b">
        <v>0</v>
      </c>
      <c r="AF50" s="53" t="b">
        <v>0</v>
      </c>
      <c r="AG50" s="53" t="b">
        <v>0</v>
      </c>
      <c r="AH50" s="2"/>
      <c r="AI50" s="2" t="str">
        <f t="shared" si="9"/>
        <v/>
      </c>
    </row>
    <row r="51" spans="1:35" ht="21" customHeight="1">
      <c r="A51" s="110">
        <v>46</v>
      </c>
      <c r="B51" s="318" t="str">
        <f>IF(Roster!$J$25="Español",(IF(F51&gt;0,(IF(F51&gt;H51,"ganado",(IF(F51=H51,"empatado",(IF(F51&lt;H51,"perdido","")))))),"")),(IF(F51&gt;0,(IF(F51&gt;H51,"won",(IF(F51=H51,"tied",(IF(F51&lt;H51,"lost","")))))),"")))</f>
        <v/>
      </c>
      <c r="C51" s="319"/>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20"/>
      <c r="AB51" s="319"/>
      <c r="AC51" s="249"/>
      <c r="AD51" s="2"/>
      <c r="AE51" s="53" t="b">
        <v>0</v>
      </c>
      <c r="AF51" s="53" t="b">
        <v>0</v>
      </c>
      <c r="AG51" s="53" t="b">
        <v>0</v>
      </c>
      <c r="AH51" s="2"/>
      <c r="AI51" s="2" t="str">
        <f t="shared" si="9"/>
        <v/>
      </c>
    </row>
    <row r="52" spans="1:35" ht="21" customHeight="1">
      <c r="A52" s="122">
        <v>47</v>
      </c>
      <c r="B52" s="318" t="str">
        <f>IF(Roster!$J$25="Español",(IF(F52&gt;0,(IF(F52&gt;H52,"ganado",(IF(F52=H52,"empatado",(IF(F52&lt;H52,"perdido","")))))),"")),(IF(F52&gt;0,(IF(F52&gt;H52,"won",(IF(F52=H52,"tied",(IF(F52&lt;H52,"lost","")))))),"")))</f>
        <v/>
      </c>
      <c r="C52" s="319"/>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20"/>
      <c r="AB52" s="319"/>
      <c r="AC52" s="249"/>
      <c r="AD52" s="2"/>
      <c r="AE52" s="53" t="b">
        <v>0</v>
      </c>
      <c r="AF52" s="53" t="b">
        <v>0</v>
      </c>
      <c r="AG52" s="53" t="b">
        <v>0</v>
      </c>
      <c r="AH52" s="2"/>
      <c r="AI52" s="2" t="str">
        <f t="shared" si="9"/>
        <v/>
      </c>
    </row>
    <row r="53" spans="1:35" ht="21" customHeight="1">
      <c r="A53" s="110">
        <v>48</v>
      </c>
      <c r="B53" s="318" t="str">
        <f>IF(Roster!$J$25="Español",(IF(F53&gt;0,(IF(F53&gt;H53,"ganado",(IF(F53=H53,"empatado",(IF(F53&lt;H53,"perdido","")))))),"")),(IF(F53&gt;0,(IF(F53&gt;H53,"won",(IF(F53=H53,"tied",(IF(F53&lt;H53,"lost","")))))),"")))</f>
        <v/>
      </c>
      <c r="C53" s="319"/>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20"/>
      <c r="AB53" s="319"/>
      <c r="AC53" s="249"/>
      <c r="AD53" s="2"/>
      <c r="AE53" s="53" t="b">
        <v>0</v>
      </c>
      <c r="AF53" s="53" t="b">
        <v>0</v>
      </c>
      <c r="AG53" s="53" t="b">
        <v>0</v>
      </c>
      <c r="AH53" s="2"/>
      <c r="AI53" s="2" t="str">
        <f t="shared" si="9"/>
        <v/>
      </c>
    </row>
    <row r="54" spans="1:35" ht="21" customHeight="1">
      <c r="A54" s="110">
        <v>49</v>
      </c>
      <c r="B54" s="318" t="str">
        <f>IF(Roster!$J$25="Español",(IF(F54&gt;0,(IF(F54&gt;H54,"ganado",(IF(F54=H54,"empatado",(IF(F54&lt;H54,"perdido","")))))),"")),(IF(F54&gt;0,(IF(F54&gt;H54,"won",(IF(F54=H54,"tied",(IF(F54&lt;H54,"lost","")))))),"")))</f>
        <v/>
      </c>
      <c r="C54" s="319"/>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20"/>
      <c r="AB54" s="319"/>
      <c r="AC54" s="249"/>
      <c r="AD54" s="2"/>
      <c r="AE54" s="53" t="b">
        <v>0</v>
      </c>
      <c r="AF54" s="53" t="b">
        <v>0</v>
      </c>
      <c r="AG54" s="53" t="b">
        <v>0</v>
      </c>
      <c r="AH54" s="2"/>
      <c r="AI54" s="2" t="str">
        <f t="shared" si="9"/>
        <v/>
      </c>
    </row>
    <row r="55" spans="1:35" ht="21" customHeight="1">
      <c r="A55" s="122">
        <v>50</v>
      </c>
      <c r="B55" s="318" t="str">
        <f>IF(Roster!$J$25="Español",(IF(F55&gt;0,(IF(F55&gt;H55,"ganado",(IF(F55=H55,"empatado",(IF(F55&lt;H55,"perdido","")))))),"")),(IF(F55&gt;0,(IF(F55&gt;H55,"won",(IF(F55=H55,"tied",(IF(F55&lt;H55,"lost","")))))),"")))</f>
        <v/>
      </c>
      <c r="C55" s="319"/>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20"/>
      <c r="AB55" s="319"/>
      <c r="AC55" s="249"/>
      <c r="AD55" s="2"/>
      <c r="AE55" s="53" t="b">
        <v>0</v>
      </c>
      <c r="AF55" s="53" t="b">
        <v>0</v>
      </c>
      <c r="AG55" s="53" t="b">
        <v>0</v>
      </c>
      <c r="AH55" s="2"/>
      <c r="AI55" s="2" t="str">
        <f t="shared" si="9"/>
        <v/>
      </c>
    </row>
    <row r="56" spans="1:35" ht="21" customHeight="1">
      <c r="A56" s="324" t="str">
        <f>IF(Roster!J25="Italiano","  Note",(IF(Roster!J25="Español","  Notas",(IF(Roster!J25="Deutsch","  Notizen","  Notes")))))</f>
        <v xml:space="preserve">  Note</v>
      </c>
      <c r="B56" s="325"/>
      <c r="C56" s="326"/>
      <c r="D56" s="327"/>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6"/>
      <c r="AC56" s="250"/>
      <c r="AD56" s="2"/>
      <c r="AE56" s="45"/>
      <c r="AF56" s="45"/>
      <c r="AG56" s="45"/>
      <c r="AH56" s="2"/>
      <c r="AI56" s="2"/>
    </row>
    <row r="57" spans="1:35" ht="8.25" customHeight="1">
      <c r="A57" s="322"/>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4"/>
      <c r="AD57" s="2"/>
      <c r="AE57" s="2"/>
      <c r="AF57" s="2"/>
      <c r="AG57" s="2"/>
      <c r="AH57" s="2"/>
      <c r="AI57" s="2"/>
    </row>
    <row r="58" spans="1:35" ht="30" hidden="1" customHeight="1">
      <c r="A58" s="140"/>
      <c r="B58" s="321"/>
      <c r="C58" s="279"/>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21"/>
      <c r="C59" s="279"/>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21"/>
      <c r="C60" s="279"/>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21"/>
      <c r="C61" s="279"/>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21"/>
      <c r="C62" s="279"/>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21"/>
      <c r="C63" s="279"/>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21"/>
      <c r="C64" s="279"/>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21"/>
      <c r="C65" s="279"/>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21"/>
      <c r="C66" s="279"/>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21"/>
      <c r="C67" s="279"/>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21"/>
      <c r="C68" s="279"/>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21"/>
      <c r="C69" s="279"/>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21"/>
      <c r="C70" s="279"/>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21"/>
      <c r="C71" s="279"/>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21"/>
      <c r="C72" s="279"/>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21"/>
      <c r="C73" s="279"/>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21"/>
      <c r="C74" s="279"/>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21"/>
      <c r="C75" s="279"/>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21"/>
      <c r="C76" s="279"/>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21"/>
      <c r="C77" s="279"/>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21"/>
      <c r="C78" s="279"/>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21"/>
      <c r="C79" s="279"/>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21"/>
      <c r="C80" s="279"/>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21"/>
      <c r="C81" s="279"/>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21"/>
      <c r="C82" s="279"/>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21"/>
      <c r="C83" s="279"/>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21"/>
      <c r="C84" s="279"/>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21"/>
      <c r="C85" s="279"/>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21"/>
      <c r="C86" s="279"/>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21"/>
      <c r="C87" s="279"/>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21"/>
      <c r="C88" s="279"/>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21"/>
      <c r="C89" s="279"/>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21"/>
      <c r="C90" s="279"/>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21"/>
      <c r="C91" s="279"/>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21"/>
      <c r="C92" s="279"/>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21"/>
      <c r="C93" s="279"/>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21"/>
      <c r="C94" s="279"/>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21"/>
      <c r="C95" s="279"/>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21"/>
      <c r="C96" s="279"/>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21"/>
      <c r="C97" s="279"/>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21"/>
      <c r="C98" s="279"/>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21"/>
      <c r="C99" s="279"/>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21"/>
      <c r="C100" s="279"/>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21"/>
      <c r="C101" s="279"/>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21"/>
      <c r="C102" s="279"/>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21"/>
      <c r="C103" s="279"/>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21"/>
      <c r="C104" s="279"/>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21"/>
      <c r="C105" s="279"/>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21"/>
      <c r="C106" s="279"/>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21"/>
      <c r="C107" s="279"/>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21"/>
      <c r="C108" s="279"/>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21"/>
      <c r="C109" s="279"/>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21"/>
      <c r="C110" s="279"/>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21"/>
      <c r="C111" s="279"/>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21"/>
      <c r="C112" s="279"/>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21"/>
      <c r="C113" s="279"/>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21"/>
      <c r="C114" s="279"/>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21"/>
      <c r="C115" s="279"/>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21"/>
      <c r="C116" s="279"/>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21"/>
      <c r="C117" s="279"/>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21"/>
      <c r="C118" s="279"/>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21"/>
      <c r="C119" s="279"/>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21"/>
      <c r="C120" s="279"/>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21"/>
      <c r="C121" s="279"/>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21"/>
      <c r="C122" s="279"/>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21"/>
      <c r="C123" s="279"/>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21"/>
      <c r="C124" s="279"/>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21"/>
      <c r="C125" s="279"/>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21"/>
      <c r="C126" s="279"/>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21"/>
      <c r="C127" s="279"/>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21"/>
      <c r="C128" s="279"/>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21"/>
      <c r="C129" s="279"/>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21"/>
      <c r="C130" s="279"/>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21"/>
      <c r="C131" s="279"/>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21"/>
      <c r="C132" s="279"/>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21"/>
      <c r="C133" s="279"/>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21"/>
      <c r="C134" s="279"/>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21"/>
      <c r="C135" s="279"/>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21"/>
      <c r="C136" s="279"/>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21"/>
      <c r="C137" s="279"/>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21"/>
      <c r="C138" s="279"/>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21"/>
      <c r="C139" s="279"/>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21"/>
      <c r="C140" s="279"/>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21"/>
      <c r="C141" s="279"/>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21"/>
      <c r="C142" s="279"/>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21"/>
      <c r="C143" s="279"/>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21"/>
      <c r="C144" s="279"/>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21"/>
      <c r="C145" s="279"/>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21"/>
      <c r="C146" s="279"/>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21"/>
      <c r="C147" s="279"/>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21"/>
      <c r="C148" s="279"/>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21"/>
      <c r="C149" s="279"/>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21"/>
      <c r="C150" s="279"/>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21"/>
      <c r="C151" s="279"/>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21"/>
      <c r="C152" s="279"/>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21"/>
      <c r="C153" s="279"/>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21"/>
      <c r="C154" s="279"/>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21"/>
      <c r="C155" s="279"/>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21"/>
      <c r="C156" s="279"/>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21"/>
      <c r="C157" s="279"/>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21"/>
      <c r="C158" s="279"/>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21"/>
      <c r="C159" s="279"/>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21"/>
      <c r="C160" s="279"/>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21"/>
      <c r="C161" s="279"/>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21"/>
      <c r="C162" s="279"/>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21"/>
      <c r="C163" s="279"/>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21"/>
      <c r="C164" s="279"/>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21"/>
      <c r="C165" s="279"/>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21"/>
      <c r="C166" s="279"/>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21"/>
      <c r="C167" s="279"/>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21"/>
      <c r="C168" s="279"/>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21"/>
      <c r="C169" s="279"/>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21"/>
      <c r="C170" s="279"/>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21"/>
      <c r="C171" s="279"/>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21"/>
      <c r="C172" s="279"/>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21"/>
      <c r="C173" s="279"/>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21"/>
      <c r="C174" s="279"/>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21"/>
      <c r="C175" s="279"/>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21"/>
      <c r="C176" s="279"/>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21"/>
      <c r="C177" s="279"/>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21"/>
      <c r="C178" s="279"/>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21"/>
      <c r="C179" s="279"/>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21"/>
      <c r="C180" s="279"/>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21"/>
      <c r="C181" s="279"/>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21"/>
      <c r="C182" s="279"/>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21"/>
      <c r="C183" s="279"/>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21"/>
      <c r="C184" s="279"/>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21"/>
      <c r="C185" s="279"/>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21"/>
      <c r="C186" s="279"/>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21"/>
      <c r="C187" s="279"/>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21"/>
      <c r="C188" s="279"/>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21"/>
      <c r="C189" s="279"/>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21"/>
      <c r="C190" s="279"/>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21"/>
      <c r="C191" s="279"/>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21"/>
      <c r="C192" s="279"/>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21"/>
      <c r="C193" s="279"/>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21"/>
      <c r="C194" s="279"/>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21"/>
      <c r="C195" s="279"/>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21"/>
      <c r="C196" s="279"/>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21"/>
      <c r="C197" s="279"/>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21"/>
      <c r="C198" s="279"/>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21"/>
      <c r="C199" s="279"/>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21"/>
      <c r="C200" s="279"/>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21"/>
      <c r="C201" s="279"/>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21"/>
      <c r="C202" s="279"/>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21"/>
      <c r="C203" s="279"/>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21"/>
      <c r="C204" s="279"/>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21"/>
      <c r="C205" s="279"/>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21"/>
      <c r="C206" s="279"/>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21"/>
      <c r="C207" s="279"/>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21"/>
      <c r="C208" s="279"/>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21"/>
      <c r="C209" s="279"/>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21"/>
      <c r="C210" s="279"/>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21"/>
      <c r="C211" s="279"/>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21"/>
      <c r="C212" s="279"/>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21"/>
      <c r="C213" s="279"/>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21"/>
      <c r="C214" s="279"/>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21"/>
      <c r="C215" s="279"/>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21"/>
      <c r="C216" s="279"/>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21"/>
      <c r="C217" s="279"/>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21"/>
      <c r="C218" s="279"/>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21"/>
      <c r="C219" s="279"/>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21"/>
      <c r="C220" s="279"/>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21"/>
      <c r="C221" s="279"/>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21"/>
      <c r="C222" s="279"/>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21"/>
      <c r="C223" s="279"/>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21"/>
      <c r="C224" s="279"/>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21"/>
      <c r="C225" s="279"/>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21"/>
      <c r="C226" s="279"/>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21"/>
      <c r="C227" s="279"/>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21"/>
      <c r="C228" s="279"/>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21"/>
      <c r="C229" s="279"/>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21"/>
      <c r="C230" s="279"/>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21"/>
      <c r="C231" s="279"/>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21"/>
      <c r="C232" s="279"/>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21"/>
      <c r="C233" s="279"/>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21"/>
      <c r="C234" s="279"/>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21"/>
      <c r="C235" s="279"/>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21"/>
      <c r="C236" s="279"/>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21"/>
      <c r="C237" s="279"/>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21"/>
      <c r="C238" s="279"/>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21"/>
      <c r="C239" s="279"/>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21"/>
      <c r="C240" s="279"/>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21"/>
      <c r="C241" s="279"/>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21"/>
      <c r="C242" s="279"/>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21"/>
      <c r="C243" s="279"/>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21"/>
      <c r="C244" s="279"/>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21"/>
      <c r="C245" s="279"/>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21"/>
      <c r="C246" s="279"/>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21"/>
      <c r="C247" s="279"/>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11" sqref="L11:V11"/>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77"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6"/>
      <c r="AL1" s="12"/>
    </row>
    <row r="2" spans="1:38" ht="22.5" customHeight="1">
      <c r="A2" s="8" t="s">
        <v>51</v>
      </c>
      <c r="B2" s="8" t="str">
        <f>IF(Roster!$J$25="Italiano","NOME GIOCATORE",(IF(Roster!$J$25="Español","NOMBRE JUGADOR",(IF(Roster!$J$25="Deutsch","NAME",(IF(Roster!$J$25="Français","NOM DU JOUEUR","PLAYER NAME")))))))</f>
        <v>NOME GIOCATORE</v>
      </c>
      <c r="C2" s="277" t="str">
        <f>IF(Roster!$J$25="Italiano","TIPO",(IF(Roster!$J$25="Español","TIPO",(IF(Roster!$J$25="Deutsch","POSITION",(IF(Roster!$J$25="Français","POSTE","TYPE")))))))</f>
        <v>TIPO</v>
      </c>
      <c r="D2" s="245"/>
      <c r="E2" s="245"/>
      <c r="F2" s="246"/>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77" t="str">
        <f>IF(Roster!$J$25="Italiano","ABILITÀ",(IF(Roster!$J$25="Español","HABILIDADES",(IF(Roster!$J$25="Deutsch","FERTIGKEITEN",(IF(Roster!$J$25="Français","COMPÉTENCES","SKILLS")))))))</f>
        <v>ABILITÀ</v>
      </c>
      <c r="M2" s="245"/>
      <c r="N2" s="245"/>
      <c r="O2" s="245"/>
      <c r="P2" s="245"/>
      <c r="Q2" s="245"/>
      <c r="R2" s="245"/>
      <c r="S2" s="245"/>
      <c r="T2" s="245"/>
      <c r="U2" s="245"/>
      <c r="V2" s="246"/>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276" t="str">
        <f>IF(Roster!$J$25="Italiano","SPP Totali",(IF(Roster!$J$25="Español","SPP Totales",(IF(Roster!$J$25="Deutsch","Gesamte SPP",(IF(Roster!$J$25="Français","Total PSP","Total SPP")))))))</f>
        <v>SPP Totali</v>
      </c>
      <c r="AG2" s="246"/>
      <c r="AH2" s="276" t="str">
        <f>IF(Roster!$J$25="Italiano","SPP Non Spesi",(IF(Roster!$J$25="Español","SPP Sin gastar",(IF(Roster!$J$25="Deutsch","Verfügb. SPP",(IF(Roster!$J$25="Français","PSP restant","Unspent SPP")))))))</f>
        <v>SPP Non Spesi</v>
      </c>
      <c r="AI2" s="246"/>
      <c r="AJ2" s="277" t="str">
        <f>IF(Roster!$J$25="Italiano","COSTO",(IF(Roster!$J$25="Español","PRECIO",(IF(Roster!$J$25="Deutsch","WERT",(IF(Roster!$J$25="Français","VALEUR","COST")))))))</f>
        <v>COSTO</v>
      </c>
      <c r="AK2" s="246"/>
      <c r="AL2" s="347"/>
    </row>
    <row r="3" spans="1:38" ht="22.5" customHeight="1">
      <c r="A3" s="8">
        <v>1</v>
      </c>
      <c r="B3" s="14" t="s">
        <v>1341</v>
      </c>
      <c r="C3" s="258" t="s">
        <v>852</v>
      </c>
      <c r="D3" s="245"/>
      <c r="E3" s="245"/>
      <c r="F3" s="246"/>
      <c r="G3" s="153"/>
      <c r="H3" s="153"/>
      <c r="I3" s="153"/>
      <c r="J3" s="153"/>
      <c r="K3" s="153"/>
      <c r="L3" s="346"/>
      <c r="M3" s="245"/>
      <c r="N3" s="245"/>
      <c r="O3" s="245"/>
      <c r="P3" s="245"/>
      <c r="Q3" s="245"/>
      <c r="R3" s="245"/>
      <c r="S3" s="245"/>
      <c r="T3" s="245"/>
      <c r="U3" s="245"/>
      <c r="V3" s="246"/>
      <c r="W3" s="154"/>
      <c r="X3" s="155"/>
      <c r="Y3" s="155"/>
      <c r="Z3" s="155"/>
      <c r="AA3" s="156"/>
      <c r="AB3" s="156"/>
      <c r="AC3" s="156"/>
      <c r="AD3" s="156"/>
      <c r="AE3" s="156"/>
      <c r="AF3" s="345"/>
      <c r="AG3" s="246"/>
      <c r="AH3" s="345"/>
      <c r="AI3" s="246"/>
      <c r="AJ3" s="348">
        <v>90000</v>
      </c>
      <c r="AK3" s="246"/>
      <c r="AL3" s="249"/>
    </row>
    <row r="4" spans="1:38" ht="22.5" customHeight="1">
      <c r="A4" s="8">
        <v>2</v>
      </c>
      <c r="B4" s="14" t="s">
        <v>1348</v>
      </c>
      <c r="C4" s="258" t="s">
        <v>852</v>
      </c>
      <c r="D4" s="245"/>
      <c r="E4" s="245"/>
      <c r="F4" s="246"/>
      <c r="G4" s="153"/>
      <c r="H4" s="153"/>
      <c r="I4" s="153"/>
      <c r="J4" s="153"/>
      <c r="K4" s="153"/>
      <c r="L4" s="346"/>
      <c r="M4" s="245"/>
      <c r="N4" s="245"/>
      <c r="O4" s="245"/>
      <c r="P4" s="245"/>
      <c r="Q4" s="245"/>
      <c r="R4" s="245"/>
      <c r="S4" s="245"/>
      <c r="T4" s="245"/>
      <c r="U4" s="245"/>
      <c r="V4" s="246"/>
      <c r="W4" s="154"/>
      <c r="X4" s="155"/>
      <c r="Y4" s="155"/>
      <c r="Z4" s="155"/>
      <c r="AA4" s="156"/>
      <c r="AB4" s="156"/>
      <c r="AC4" s="156"/>
      <c r="AD4" s="156"/>
      <c r="AE4" s="156"/>
      <c r="AF4" s="345"/>
      <c r="AG4" s="246"/>
      <c r="AH4" s="345"/>
      <c r="AI4" s="246"/>
      <c r="AJ4" s="345">
        <v>90000</v>
      </c>
      <c r="AK4" s="246"/>
      <c r="AL4" s="249"/>
    </row>
    <row r="5" spans="1:38" ht="22.5" customHeight="1">
      <c r="A5" s="8">
        <v>3</v>
      </c>
      <c r="B5" s="14"/>
      <c r="C5" s="258"/>
      <c r="D5" s="245"/>
      <c r="E5" s="245"/>
      <c r="F5" s="246"/>
      <c r="G5" s="153"/>
      <c r="H5" s="153"/>
      <c r="I5" s="153"/>
      <c r="J5" s="153"/>
      <c r="K5" s="153"/>
      <c r="L5" s="346"/>
      <c r="M5" s="245"/>
      <c r="N5" s="245"/>
      <c r="O5" s="245"/>
      <c r="P5" s="245"/>
      <c r="Q5" s="245"/>
      <c r="R5" s="245"/>
      <c r="S5" s="245"/>
      <c r="T5" s="245"/>
      <c r="U5" s="245"/>
      <c r="V5" s="246"/>
      <c r="W5" s="154"/>
      <c r="X5" s="155"/>
      <c r="Y5" s="155"/>
      <c r="Z5" s="155"/>
      <c r="AA5" s="156"/>
      <c r="AB5" s="156"/>
      <c r="AC5" s="156"/>
      <c r="AD5" s="156"/>
      <c r="AE5" s="156"/>
      <c r="AF5" s="345"/>
      <c r="AG5" s="246"/>
      <c r="AH5" s="345"/>
      <c r="AI5" s="246"/>
      <c r="AJ5" s="345"/>
      <c r="AK5" s="246"/>
      <c r="AL5" s="249"/>
    </row>
    <row r="6" spans="1:38" ht="22.5" customHeight="1">
      <c r="A6" s="8">
        <v>4</v>
      </c>
      <c r="B6" s="14"/>
      <c r="C6" s="258"/>
      <c r="D6" s="245"/>
      <c r="E6" s="245"/>
      <c r="F6" s="246"/>
      <c r="G6" s="153"/>
      <c r="H6" s="153"/>
      <c r="I6" s="153"/>
      <c r="J6" s="153"/>
      <c r="K6" s="153"/>
      <c r="L6" s="346"/>
      <c r="M6" s="245"/>
      <c r="N6" s="245"/>
      <c r="O6" s="245"/>
      <c r="P6" s="245"/>
      <c r="Q6" s="245"/>
      <c r="R6" s="245"/>
      <c r="S6" s="245"/>
      <c r="T6" s="245"/>
      <c r="U6" s="245"/>
      <c r="V6" s="246"/>
      <c r="W6" s="154"/>
      <c r="X6" s="155"/>
      <c r="Y6" s="155"/>
      <c r="Z6" s="155"/>
      <c r="AA6" s="156"/>
      <c r="AB6" s="156"/>
      <c r="AC6" s="156"/>
      <c r="AD6" s="156"/>
      <c r="AE6" s="156"/>
      <c r="AF6" s="345"/>
      <c r="AG6" s="246"/>
      <c r="AH6" s="345"/>
      <c r="AI6" s="246"/>
      <c r="AJ6" s="345"/>
      <c r="AK6" s="246"/>
      <c r="AL6" s="249"/>
    </row>
    <row r="7" spans="1:38" ht="22.5" customHeight="1">
      <c r="A7" s="8">
        <v>5</v>
      </c>
      <c r="B7" s="14"/>
      <c r="C7" s="258"/>
      <c r="D7" s="245"/>
      <c r="E7" s="245"/>
      <c r="F7" s="246"/>
      <c r="G7" s="153"/>
      <c r="H7" s="153"/>
      <c r="I7" s="153"/>
      <c r="J7" s="153"/>
      <c r="K7" s="153"/>
      <c r="L7" s="346"/>
      <c r="M7" s="245"/>
      <c r="N7" s="245"/>
      <c r="O7" s="245"/>
      <c r="P7" s="245"/>
      <c r="Q7" s="245"/>
      <c r="R7" s="245"/>
      <c r="S7" s="245"/>
      <c r="T7" s="245"/>
      <c r="U7" s="245"/>
      <c r="V7" s="246"/>
      <c r="W7" s="154"/>
      <c r="X7" s="155"/>
      <c r="Y7" s="155"/>
      <c r="Z7" s="155"/>
      <c r="AA7" s="156"/>
      <c r="AB7" s="156"/>
      <c r="AC7" s="156"/>
      <c r="AD7" s="156"/>
      <c r="AE7" s="156"/>
      <c r="AF7" s="345"/>
      <c r="AG7" s="246"/>
      <c r="AH7" s="345"/>
      <c r="AI7" s="246"/>
      <c r="AJ7" s="345"/>
      <c r="AK7" s="246"/>
      <c r="AL7" s="249"/>
    </row>
    <row r="8" spans="1:38" ht="22.5" customHeight="1">
      <c r="A8" s="8">
        <v>6</v>
      </c>
      <c r="B8" s="14"/>
      <c r="C8" s="258"/>
      <c r="D8" s="245"/>
      <c r="E8" s="245"/>
      <c r="F8" s="246"/>
      <c r="G8" s="153"/>
      <c r="H8" s="153"/>
      <c r="I8" s="153"/>
      <c r="J8" s="153"/>
      <c r="K8" s="153"/>
      <c r="L8" s="346"/>
      <c r="M8" s="245"/>
      <c r="N8" s="245"/>
      <c r="O8" s="245"/>
      <c r="P8" s="245"/>
      <c r="Q8" s="245"/>
      <c r="R8" s="245"/>
      <c r="S8" s="245"/>
      <c r="T8" s="245"/>
      <c r="U8" s="245"/>
      <c r="V8" s="246"/>
      <c r="W8" s="154"/>
      <c r="X8" s="155"/>
      <c r="Y8" s="155"/>
      <c r="Z8" s="155"/>
      <c r="AA8" s="156"/>
      <c r="AB8" s="156"/>
      <c r="AC8" s="156"/>
      <c r="AD8" s="156"/>
      <c r="AE8" s="156"/>
      <c r="AF8" s="345"/>
      <c r="AG8" s="246"/>
      <c r="AH8" s="345"/>
      <c r="AI8" s="246"/>
      <c r="AJ8" s="345"/>
      <c r="AK8" s="246"/>
      <c r="AL8" s="249"/>
    </row>
    <row r="9" spans="1:38" ht="22.5" customHeight="1">
      <c r="A9" s="8">
        <v>7</v>
      </c>
      <c r="B9" s="14"/>
      <c r="C9" s="258"/>
      <c r="D9" s="245"/>
      <c r="E9" s="245"/>
      <c r="F9" s="246"/>
      <c r="G9" s="153"/>
      <c r="H9" s="153"/>
      <c r="I9" s="153"/>
      <c r="J9" s="153"/>
      <c r="K9" s="153"/>
      <c r="L9" s="346"/>
      <c r="M9" s="245"/>
      <c r="N9" s="245"/>
      <c r="O9" s="245"/>
      <c r="P9" s="245"/>
      <c r="Q9" s="245"/>
      <c r="R9" s="245"/>
      <c r="S9" s="245"/>
      <c r="T9" s="245"/>
      <c r="U9" s="245"/>
      <c r="V9" s="246"/>
      <c r="W9" s="154"/>
      <c r="X9" s="155"/>
      <c r="Y9" s="155"/>
      <c r="Z9" s="155"/>
      <c r="AA9" s="156"/>
      <c r="AB9" s="156"/>
      <c r="AC9" s="156"/>
      <c r="AD9" s="156"/>
      <c r="AE9" s="156"/>
      <c r="AF9" s="345"/>
      <c r="AG9" s="246"/>
      <c r="AH9" s="345"/>
      <c r="AI9" s="246"/>
      <c r="AJ9" s="345"/>
      <c r="AK9" s="246"/>
      <c r="AL9" s="249"/>
    </row>
    <row r="10" spans="1:38" ht="22.5" customHeight="1">
      <c r="A10" s="8">
        <v>8</v>
      </c>
      <c r="B10" s="14"/>
      <c r="C10" s="258"/>
      <c r="D10" s="245"/>
      <c r="E10" s="245"/>
      <c r="F10" s="246"/>
      <c r="G10" s="153"/>
      <c r="H10" s="153"/>
      <c r="I10" s="153"/>
      <c r="J10" s="153"/>
      <c r="K10" s="153"/>
      <c r="L10" s="346"/>
      <c r="M10" s="245"/>
      <c r="N10" s="245"/>
      <c r="O10" s="245"/>
      <c r="P10" s="245"/>
      <c r="Q10" s="245"/>
      <c r="R10" s="245"/>
      <c r="S10" s="245"/>
      <c r="T10" s="245"/>
      <c r="U10" s="245"/>
      <c r="V10" s="246"/>
      <c r="W10" s="154"/>
      <c r="X10" s="155"/>
      <c r="Y10" s="155"/>
      <c r="Z10" s="155"/>
      <c r="AA10" s="156"/>
      <c r="AB10" s="156"/>
      <c r="AC10" s="156"/>
      <c r="AD10" s="156"/>
      <c r="AE10" s="156"/>
      <c r="AF10" s="345"/>
      <c r="AG10" s="246"/>
      <c r="AH10" s="345"/>
      <c r="AI10" s="246"/>
      <c r="AJ10" s="345"/>
      <c r="AK10" s="246"/>
      <c r="AL10" s="249"/>
    </row>
    <row r="11" spans="1:38" ht="22.5" customHeight="1">
      <c r="A11" s="8">
        <v>9</v>
      </c>
      <c r="B11" s="14"/>
      <c r="C11" s="258"/>
      <c r="D11" s="245"/>
      <c r="E11" s="245"/>
      <c r="F11" s="246"/>
      <c r="G11" s="153"/>
      <c r="H11" s="153"/>
      <c r="I11" s="153"/>
      <c r="J11" s="153"/>
      <c r="K11" s="153"/>
      <c r="L11" s="346"/>
      <c r="M11" s="245"/>
      <c r="N11" s="245"/>
      <c r="O11" s="245"/>
      <c r="P11" s="245"/>
      <c r="Q11" s="245"/>
      <c r="R11" s="245"/>
      <c r="S11" s="245"/>
      <c r="T11" s="245"/>
      <c r="U11" s="245"/>
      <c r="V11" s="246"/>
      <c r="W11" s="154"/>
      <c r="X11" s="155"/>
      <c r="Y11" s="155"/>
      <c r="Z11" s="155"/>
      <c r="AA11" s="156"/>
      <c r="AB11" s="156"/>
      <c r="AC11" s="156"/>
      <c r="AD11" s="156"/>
      <c r="AE11" s="156"/>
      <c r="AF11" s="345"/>
      <c r="AG11" s="246"/>
      <c r="AH11" s="345"/>
      <c r="AI11" s="246"/>
      <c r="AJ11" s="345"/>
      <c r="AK11" s="246"/>
      <c r="AL11" s="249"/>
    </row>
    <row r="12" spans="1:38" ht="22.5" customHeight="1">
      <c r="A12" s="8">
        <v>10</v>
      </c>
      <c r="B12" s="14"/>
      <c r="C12" s="258"/>
      <c r="D12" s="245"/>
      <c r="E12" s="245"/>
      <c r="F12" s="246"/>
      <c r="G12" s="153"/>
      <c r="H12" s="153"/>
      <c r="I12" s="153"/>
      <c r="J12" s="153"/>
      <c r="K12" s="153"/>
      <c r="L12" s="346"/>
      <c r="M12" s="245"/>
      <c r="N12" s="245"/>
      <c r="O12" s="245"/>
      <c r="P12" s="245"/>
      <c r="Q12" s="245"/>
      <c r="R12" s="245"/>
      <c r="S12" s="245"/>
      <c r="T12" s="245"/>
      <c r="U12" s="245"/>
      <c r="V12" s="246"/>
      <c r="W12" s="154"/>
      <c r="X12" s="155"/>
      <c r="Y12" s="155"/>
      <c r="Z12" s="155"/>
      <c r="AA12" s="156"/>
      <c r="AB12" s="156"/>
      <c r="AC12" s="156"/>
      <c r="AD12" s="156"/>
      <c r="AE12" s="156"/>
      <c r="AF12" s="345"/>
      <c r="AG12" s="246"/>
      <c r="AH12" s="345"/>
      <c r="AI12" s="246"/>
      <c r="AJ12" s="345"/>
      <c r="AK12" s="246"/>
      <c r="AL12" s="249"/>
    </row>
    <row r="13" spans="1:38" ht="22.5" customHeight="1">
      <c r="A13" s="8">
        <v>11</v>
      </c>
      <c r="B13" s="14"/>
      <c r="C13" s="258"/>
      <c r="D13" s="245"/>
      <c r="E13" s="245"/>
      <c r="F13" s="246"/>
      <c r="G13" s="153"/>
      <c r="H13" s="153"/>
      <c r="I13" s="153"/>
      <c r="J13" s="153"/>
      <c r="K13" s="153"/>
      <c r="L13" s="346"/>
      <c r="M13" s="245"/>
      <c r="N13" s="245"/>
      <c r="O13" s="245"/>
      <c r="P13" s="245"/>
      <c r="Q13" s="245"/>
      <c r="R13" s="245"/>
      <c r="S13" s="245"/>
      <c r="T13" s="245"/>
      <c r="U13" s="245"/>
      <c r="V13" s="246"/>
      <c r="W13" s="154"/>
      <c r="X13" s="155"/>
      <c r="Y13" s="155"/>
      <c r="Z13" s="155"/>
      <c r="AA13" s="156"/>
      <c r="AB13" s="156"/>
      <c r="AC13" s="156"/>
      <c r="AD13" s="156"/>
      <c r="AE13" s="156"/>
      <c r="AF13" s="345"/>
      <c r="AG13" s="246"/>
      <c r="AH13" s="345"/>
      <c r="AI13" s="246"/>
      <c r="AJ13" s="345"/>
      <c r="AK13" s="246"/>
      <c r="AL13" s="249"/>
    </row>
    <row r="14" spans="1:38" ht="22.5" customHeight="1">
      <c r="A14" s="8">
        <v>12</v>
      </c>
      <c r="B14" s="14"/>
      <c r="C14" s="258"/>
      <c r="D14" s="245"/>
      <c r="E14" s="245"/>
      <c r="F14" s="246"/>
      <c r="G14" s="153"/>
      <c r="H14" s="153"/>
      <c r="I14" s="153"/>
      <c r="J14" s="153"/>
      <c r="K14" s="153"/>
      <c r="L14" s="346"/>
      <c r="M14" s="245"/>
      <c r="N14" s="245"/>
      <c r="O14" s="245"/>
      <c r="P14" s="245"/>
      <c r="Q14" s="245"/>
      <c r="R14" s="245"/>
      <c r="S14" s="245"/>
      <c r="T14" s="245"/>
      <c r="U14" s="245"/>
      <c r="V14" s="246"/>
      <c r="W14" s="154"/>
      <c r="X14" s="155"/>
      <c r="Y14" s="155"/>
      <c r="Z14" s="155"/>
      <c r="AA14" s="156"/>
      <c r="AB14" s="156"/>
      <c r="AC14" s="156"/>
      <c r="AD14" s="156"/>
      <c r="AE14" s="156"/>
      <c r="AF14" s="345"/>
      <c r="AG14" s="246"/>
      <c r="AH14" s="345"/>
      <c r="AI14" s="246"/>
      <c r="AJ14" s="345"/>
      <c r="AK14" s="246"/>
      <c r="AL14" s="249"/>
    </row>
    <row r="15" spans="1:38" ht="22.5" customHeight="1">
      <c r="A15" s="8">
        <v>13</v>
      </c>
      <c r="B15" s="14"/>
      <c r="C15" s="258"/>
      <c r="D15" s="245"/>
      <c r="E15" s="245"/>
      <c r="F15" s="246"/>
      <c r="G15" s="153"/>
      <c r="H15" s="153"/>
      <c r="I15" s="153"/>
      <c r="J15" s="153"/>
      <c r="K15" s="153"/>
      <c r="L15" s="346"/>
      <c r="M15" s="245"/>
      <c r="N15" s="245"/>
      <c r="O15" s="245"/>
      <c r="P15" s="245"/>
      <c r="Q15" s="245"/>
      <c r="R15" s="245"/>
      <c r="S15" s="245"/>
      <c r="T15" s="245"/>
      <c r="U15" s="245"/>
      <c r="V15" s="246"/>
      <c r="W15" s="154"/>
      <c r="X15" s="155"/>
      <c r="Y15" s="155"/>
      <c r="Z15" s="155"/>
      <c r="AA15" s="156"/>
      <c r="AB15" s="156"/>
      <c r="AC15" s="156"/>
      <c r="AD15" s="156"/>
      <c r="AE15" s="156"/>
      <c r="AF15" s="345"/>
      <c r="AG15" s="246"/>
      <c r="AH15" s="345"/>
      <c r="AI15" s="246"/>
      <c r="AJ15" s="345"/>
      <c r="AK15" s="246"/>
      <c r="AL15" s="249"/>
    </row>
    <row r="16" spans="1:38" ht="22.5" customHeight="1">
      <c r="A16" s="8">
        <v>14</v>
      </c>
      <c r="B16" s="14"/>
      <c r="C16" s="258"/>
      <c r="D16" s="245"/>
      <c r="E16" s="245"/>
      <c r="F16" s="246"/>
      <c r="G16" s="153"/>
      <c r="H16" s="153"/>
      <c r="I16" s="153"/>
      <c r="J16" s="153"/>
      <c r="K16" s="153"/>
      <c r="L16" s="346"/>
      <c r="M16" s="245"/>
      <c r="N16" s="245"/>
      <c r="O16" s="245"/>
      <c r="P16" s="245"/>
      <c r="Q16" s="245"/>
      <c r="R16" s="245"/>
      <c r="S16" s="245"/>
      <c r="T16" s="245"/>
      <c r="U16" s="245"/>
      <c r="V16" s="246"/>
      <c r="W16" s="154"/>
      <c r="X16" s="155"/>
      <c r="Y16" s="155"/>
      <c r="Z16" s="155"/>
      <c r="AA16" s="156"/>
      <c r="AB16" s="156"/>
      <c r="AC16" s="156"/>
      <c r="AD16" s="156"/>
      <c r="AE16" s="156"/>
      <c r="AF16" s="345"/>
      <c r="AG16" s="246"/>
      <c r="AH16" s="345"/>
      <c r="AI16" s="246"/>
      <c r="AJ16" s="345"/>
      <c r="AK16" s="246"/>
      <c r="AL16" s="249"/>
    </row>
    <row r="17" spans="1:38" ht="22.5" customHeight="1">
      <c r="A17" s="8">
        <v>15</v>
      </c>
      <c r="B17" s="14"/>
      <c r="C17" s="258"/>
      <c r="D17" s="245"/>
      <c r="E17" s="245"/>
      <c r="F17" s="246"/>
      <c r="G17" s="153"/>
      <c r="H17" s="153"/>
      <c r="I17" s="153"/>
      <c r="J17" s="153"/>
      <c r="K17" s="153"/>
      <c r="L17" s="346"/>
      <c r="M17" s="245"/>
      <c r="N17" s="245"/>
      <c r="O17" s="245"/>
      <c r="P17" s="245"/>
      <c r="Q17" s="245"/>
      <c r="R17" s="245"/>
      <c r="S17" s="245"/>
      <c r="T17" s="245"/>
      <c r="U17" s="245"/>
      <c r="V17" s="246"/>
      <c r="W17" s="154"/>
      <c r="X17" s="155"/>
      <c r="Y17" s="155"/>
      <c r="Z17" s="155"/>
      <c r="AA17" s="156"/>
      <c r="AB17" s="156"/>
      <c r="AC17" s="156"/>
      <c r="AD17" s="156"/>
      <c r="AE17" s="156"/>
      <c r="AF17" s="345"/>
      <c r="AG17" s="246"/>
      <c r="AH17" s="345"/>
      <c r="AI17" s="246"/>
      <c r="AJ17" s="345"/>
      <c r="AK17" s="246"/>
      <c r="AL17" s="249"/>
    </row>
    <row r="18" spans="1:38" ht="22.5" customHeight="1">
      <c r="A18" s="8">
        <v>16</v>
      </c>
      <c r="B18" s="14"/>
      <c r="C18" s="258"/>
      <c r="D18" s="245"/>
      <c r="E18" s="245"/>
      <c r="F18" s="246"/>
      <c r="G18" s="153">
        <f t="shared" ref="G18:H18" si="0">IFERROR(#REF!,0)</f>
        <v>0</v>
      </c>
      <c r="H18" s="153">
        <f t="shared" si="0"/>
        <v>0</v>
      </c>
      <c r="I18" s="153">
        <f t="shared" ref="I18:K18" si="1">IFERROR(#REF!&amp;"+",0)</f>
        <v>0</v>
      </c>
      <c r="J18" s="153">
        <f t="shared" si="1"/>
        <v>0</v>
      </c>
      <c r="K18" s="153">
        <f t="shared" si="1"/>
        <v>0</v>
      </c>
      <c r="L18" s="346" t="str">
        <f>IFERROR((IF(#REF!="YES",(VLOOKUP(#REF!&amp;C18,Teams!D:M,7,0)&amp;#REF!),#REF!)),"")</f>
        <v/>
      </c>
      <c r="M18" s="245"/>
      <c r="N18" s="245"/>
      <c r="O18" s="245"/>
      <c r="P18" s="245"/>
      <c r="Q18" s="245"/>
      <c r="R18" s="245"/>
      <c r="S18" s="245"/>
      <c r="T18" s="245"/>
      <c r="U18" s="245"/>
      <c r="V18" s="246"/>
      <c r="W18" s="154"/>
      <c r="X18" s="155"/>
      <c r="Y18" s="155"/>
      <c r="Z18" s="155"/>
      <c r="AA18" s="156"/>
      <c r="AB18" s="156"/>
      <c r="AC18" s="156"/>
      <c r="AD18" s="156"/>
      <c r="AE18" s="156"/>
      <c r="AF18" s="345"/>
      <c r="AG18" s="246"/>
      <c r="AH18" s="345"/>
      <c r="AI18" s="246"/>
      <c r="AJ18" s="345"/>
      <c r="AK18" s="246"/>
      <c r="AL18" s="249"/>
    </row>
    <row r="19" spans="1:38" ht="22.5" customHeight="1">
      <c r="A19" s="8">
        <v>17</v>
      </c>
      <c r="B19" s="14"/>
      <c r="C19" s="258"/>
      <c r="D19" s="245"/>
      <c r="E19" s="245"/>
      <c r="F19" s="246"/>
      <c r="G19" s="153">
        <f t="shared" ref="G19:H19" si="2">IFERROR(#REF!,0)</f>
        <v>0</v>
      </c>
      <c r="H19" s="153">
        <f t="shared" si="2"/>
        <v>0</v>
      </c>
      <c r="I19" s="153">
        <f t="shared" ref="I19:K19" si="3">IFERROR(#REF!&amp;"+",0)</f>
        <v>0</v>
      </c>
      <c r="J19" s="153">
        <f t="shared" si="3"/>
        <v>0</v>
      </c>
      <c r="K19" s="153">
        <f t="shared" si="3"/>
        <v>0</v>
      </c>
      <c r="L19" s="346" t="str">
        <f>IFERROR((IF(#REF!="YES",(VLOOKUP(#REF!&amp;C19,Teams!D:M,7,0)&amp;#REF!),#REF!)),"")</f>
        <v/>
      </c>
      <c r="M19" s="245"/>
      <c r="N19" s="245"/>
      <c r="O19" s="245"/>
      <c r="P19" s="245"/>
      <c r="Q19" s="245"/>
      <c r="R19" s="245"/>
      <c r="S19" s="245"/>
      <c r="T19" s="245"/>
      <c r="U19" s="245"/>
      <c r="V19" s="246"/>
      <c r="W19" s="154"/>
      <c r="X19" s="155"/>
      <c r="Y19" s="155"/>
      <c r="Z19" s="155"/>
      <c r="AA19" s="156"/>
      <c r="AB19" s="156"/>
      <c r="AC19" s="156"/>
      <c r="AD19" s="156"/>
      <c r="AE19" s="156"/>
      <c r="AF19" s="345"/>
      <c r="AG19" s="246"/>
      <c r="AH19" s="345"/>
      <c r="AI19" s="246"/>
      <c r="AJ19" s="345"/>
      <c r="AK19" s="246"/>
      <c r="AL19" s="249"/>
    </row>
    <row r="20" spans="1:38" ht="22.5" customHeight="1">
      <c r="A20" s="8">
        <v>18</v>
      </c>
      <c r="B20" s="14"/>
      <c r="C20" s="258"/>
      <c r="D20" s="245"/>
      <c r="E20" s="245"/>
      <c r="F20" s="246"/>
      <c r="G20" s="153">
        <f t="shared" ref="G20:H20" si="4">IFERROR(#REF!,0)</f>
        <v>0</v>
      </c>
      <c r="H20" s="153">
        <f t="shared" si="4"/>
        <v>0</v>
      </c>
      <c r="I20" s="153">
        <f t="shared" ref="I20:K20" si="5">IFERROR(#REF!&amp;"+",0)</f>
        <v>0</v>
      </c>
      <c r="J20" s="153">
        <f t="shared" si="5"/>
        <v>0</v>
      </c>
      <c r="K20" s="153">
        <f t="shared" si="5"/>
        <v>0</v>
      </c>
      <c r="L20" s="346" t="str">
        <f>IFERROR((IF(#REF!="YES",(VLOOKUP(#REF!&amp;C20,Teams!D:M,7,0)&amp;#REF!),#REF!)),"")</f>
        <v/>
      </c>
      <c r="M20" s="245"/>
      <c r="N20" s="245"/>
      <c r="O20" s="245"/>
      <c r="P20" s="245"/>
      <c r="Q20" s="245"/>
      <c r="R20" s="245"/>
      <c r="S20" s="245"/>
      <c r="T20" s="245"/>
      <c r="U20" s="245"/>
      <c r="V20" s="246"/>
      <c r="W20" s="154"/>
      <c r="X20" s="155"/>
      <c r="Y20" s="155"/>
      <c r="Z20" s="155"/>
      <c r="AA20" s="156"/>
      <c r="AB20" s="156"/>
      <c r="AC20" s="156"/>
      <c r="AD20" s="156"/>
      <c r="AE20" s="156"/>
      <c r="AF20" s="345"/>
      <c r="AG20" s="246"/>
      <c r="AH20" s="345"/>
      <c r="AI20" s="246"/>
      <c r="AJ20" s="345"/>
      <c r="AK20" s="246"/>
      <c r="AL20" s="249"/>
    </row>
    <row r="21" spans="1:38" ht="22.5" customHeight="1">
      <c r="A21" s="8">
        <v>19</v>
      </c>
      <c r="B21" s="14"/>
      <c r="C21" s="258"/>
      <c r="D21" s="245"/>
      <c r="E21" s="245"/>
      <c r="F21" s="246"/>
      <c r="G21" s="153">
        <f t="shared" ref="G21:H21" si="6">IFERROR(#REF!,0)</f>
        <v>0</v>
      </c>
      <c r="H21" s="153">
        <f t="shared" si="6"/>
        <v>0</v>
      </c>
      <c r="I21" s="153">
        <f t="shared" ref="I21:K21" si="7">IFERROR(#REF!&amp;"+",0)</f>
        <v>0</v>
      </c>
      <c r="J21" s="153">
        <f t="shared" si="7"/>
        <v>0</v>
      </c>
      <c r="K21" s="153">
        <f t="shared" si="7"/>
        <v>0</v>
      </c>
      <c r="L21" s="346" t="str">
        <f>IFERROR((IF(#REF!="YES",(VLOOKUP(#REF!&amp;C21,Teams!D:M,7,0)&amp;#REF!),#REF!)),"")</f>
        <v/>
      </c>
      <c r="M21" s="245"/>
      <c r="N21" s="245"/>
      <c r="O21" s="245"/>
      <c r="P21" s="245"/>
      <c r="Q21" s="245"/>
      <c r="R21" s="245"/>
      <c r="S21" s="245"/>
      <c r="T21" s="245"/>
      <c r="U21" s="245"/>
      <c r="V21" s="246"/>
      <c r="W21" s="154"/>
      <c r="X21" s="155"/>
      <c r="Y21" s="155"/>
      <c r="Z21" s="155"/>
      <c r="AA21" s="156"/>
      <c r="AB21" s="156"/>
      <c r="AC21" s="156"/>
      <c r="AD21" s="156"/>
      <c r="AE21" s="156"/>
      <c r="AF21" s="345"/>
      <c r="AG21" s="246"/>
      <c r="AH21" s="345"/>
      <c r="AI21" s="246"/>
      <c r="AJ21" s="345"/>
      <c r="AK21" s="246"/>
      <c r="AL21" s="249"/>
    </row>
    <row r="22" spans="1:38" ht="22.5" customHeight="1">
      <c r="A22" s="8">
        <v>20</v>
      </c>
      <c r="B22" s="14"/>
      <c r="C22" s="258"/>
      <c r="D22" s="245"/>
      <c r="E22" s="245"/>
      <c r="F22" s="246"/>
      <c r="G22" s="153">
        <f t="shared" ref="G22:H22" si="8">IFERROR(#REF!,0)</f>
        <v>0</v>
      </c>
      <c r="H22" s="153">
        <f t="shared" si="8"/>
        <v>0</v>
      </c>
      <c r="I22" s="153">
        <f t="shared" ref="I22:K22" si="9">IFERROR(#REF!&amp;"+",0)</f>
        <v>0</v>
      </c>
      <c r="J22" s="153">
        <f t="shared" si="9"/>
        <v>0</v>
      </c>
      <c r="K22" s="153">
        <f t="shared" si="9"/>
        <v>0</v>
      </c>
      <c r="L22" s="346" t="str">
        <f>IFERROR((IF(#REF!="YES",(VLOOKUP(#REF!&amp;C22,Teams!D:M,7,0)&amp;#REF!),#REF!)),"")</f>
        <v/>
      </c>
      <c r="M22" s="245"/>
      <c r="N22" s="245"/>
      <c r="O22" s="245"/>
      <c r="P22" s="245"/>
      <c r="Q22" s="245"/>
      <c r="R22" s="245"/>
      <c r="S22" s="245"/>
      <c r="T22" s="245"/>
      <c r="U22" s="245"/>
      <c r="V22" s="246"/>
      <c r="W22" s="154"/>
      <c r="X22" s="155"/>
      <c r="Y22" s="155"/>
      <c r="Z22" s="155"/>
      <c r="AA22" s="156"/>
      <c r="AB22" s="156"/>
      <c r="AC22" s="156"/>
      <c r="AD22" s="156"/>
      <c r="AE22" s="156"/>
      <c r="AF22" s="345"/>
      <c r="AG22" s="246"/>
      <c r="AH22" s="345"/>
      <c r="AI22" s="246"/>
      <c r="AJ22" s="345"/>
      <c r="AK22" s="246"/>
      <c r="AL22" s="249"/>
    </row>
    <row r="23" spans="1:38" ht="22.5" customHeight="1">
      <c r="A23" s="8">
        <v>21</v>
      </c>
      <c r="B23" s="14"/>
      <c r="C23" s="258"/>
      <c r="D23" s="245"/>
      <c r="E23" s="245"/>
      <c r="F23" s="246"/>
      <c r="G23" s="153">
        <f t="shared" ref="G23:H23" si="10">IFERROR(#REF!,0)</f>
        <v>0</v>
      </c>
      <c r="H23" s="153">
        <f t="shared" si="10"/>
        <v>0</v>
      </c>
      <c r="I23" s="153">
        <f t="shared" ref="I23:K23" si="11">IFERROR(#REF!&amp;"+",0)</f>
        <v>0</v>
      </c>
      <c r="J23" s="153">
        <f t="shared" si="11"/>
        <v>0</v>
      </c>
      <c r="K23" s="153">
        <f t="shared" si="11"/>
        <v>0</v>
      </c>
      <c r="L23" s="346" t="str">
        <f>IFERROR((IF(#REF!="YES",(VLOOKUP(#REF!&amp;C23,Teams!D:M,7,0)&amp;#REF!),#REF!)),"")</f>
        <v/>
      </c>
      <c r="M23" s="245"/>
      <c r="N23" s="245"/>
      <c r="O23" s="245"/>
      <c r="P23" s="245"/>
      <c r="Q23" s="245"/>
      <c r="R23" s="245"/>
      <c r="S23" s="245"/>
      <c r="T23" s="245"/>
      <c r="U23" s="245"/>
      <c r="V23" s="246"/>
      <c r="W23" s="154"/>
      <c r="X23" s="155"/>
      <c r="Y23" s="155"/>
      <c r="Z23" s="155"/>
      <c r="AA23" s="156"/>
      <c r="AB23" s="156"/>
      <c r="AC23" s="156"/>
      <c r="AD23" s="156"/>
      <c r="AE23" s="156"/>
      <c r="AF23" s="345"/>
      <c r="AG23" s="246"/>
      <c r="AH23" s="345"/>
      <c r="AI23" s="246"/>
      <c r="AJ23" s="345"/>
      <c r="AK23" s="246"/>
      <c r="AL23" s="249"/>
    </row>
    <row r="24" spans="1:38" ht="22.5" customHeight="1">
      <c r="A24" s="8">
        <v>22</v>
      </c>
      <c r="B24" s="14"/>
      <c r="C24" s="258"/>
      <c r="D24" s="245"/>
      <c r="E24" s="245"/>
      <c r="F24" s="246"/>
      <c r="G24" s="153">
        <f t="shared" ref="G24:H24" si="12">IFERROR(#REF!,0)</f>
        <v>0</v>
      </c>
      <c r="H24" s="153">
        <f t="shared" si="12"/>
        <v>0</v>
      </c>
      <c r="I24" s="153">
        <f t="shared" ref="I24:K24" si="13">IFERROR(#REF!&amp;"+",0)</f>
        <v>0</v>
      </c>
      <c r="J24" s="153">
        <f t="shared" si="13"/>
        <v>0</v>
      </c>
      <c r="K24" s="153">
        <f t="shared" si="13"/>
        <v>0</v>
      </c>
      <c r="L24" s="346" t="str">
        <f>IFERROR((IF(#REF!="YES",(VLOOKUP(#REF!&amp;C24,Teams!D:M,7,0)&amp;#REF!),#REF!)),"")</f>
        <v/>
      </c>
      <c r="M24" s="245"/>
      <c r="N24" s="245"/>
      <c r="O24" s="245"/>
      <c r="P24" s="245"/>
      <c r="Q24" s="245"/>
      <c r="R24" s="245"/>
      <c r="S24" s="245"/>
      <c r="T24" s="245"/>
      <c r="U24" s="245"/>
      <c r="V24" s="246"/>
      <c r="W24" s="154"/>
      <c r="X24" s="155"/>
      <c r="Y24" s="155"/>
      <c r="Z24" s="155"/>
      <c r="AA24" s="156"/>
      <c r="AB24" s="156"/>
      <c r="AC24" s="156"/>
      <c r="AD24" s="156"/>
      <c r="AE24" s="156"/>
      <c r="AF24" s="345"/>
      <c r="AG24" s="246"/>
      <c r="AH24" s="345"/>
      <c r="AI24" s="246"/>
      <c r="AJ24" s="345"/>
      <c r="AK24" s="246"/>
      <c r="AL24" s="249"/>
    </row>
    <row r="25" spans="1:38" ht="22.5" customHeight="1">
      <c r="A25" s="8">
        <v>23</v>
      </c>
      <c r="B25" s="14"/>
      <c r="C25" s="258"/>
      <c r="D25" s="245"/>
      <c r="E25" s="245"/>
      <c r="F25" s="246"/>
      <c r="G25" s="153">
        <f t="shared" ref="G25:H25" si="14">IFERROR(#REF!,0)</f>
        <v>0</v>
      </c>
      <c r="H25" s="153">
        <f t="shared" si="14"/>
        <v>0</v>
      </c>
      <c r="I25" s="153">
        <f t="shared" ref="I25:K25" si="15">IFERROR(#REF!&amp;"+",0)</f>
        <v>0</v>
      </c>
      <c r="J25" s="153">
        <f t="shared" si="15"/>
        <v>0</v>
      </c>
      <c r="K25" s="153">
        <f t="shared" si="15"/>
        <v>0</v>
      </c>
      <c r="L25" s="346" t="str">
        <f>IFERROR((IF(#REF!="YES",(VLOOKUP(#REF!&amp;C25,Teams!D:M,7,0)&amp;#REF!),#REF!)),"")</f>
        <v/>
      </c>
      <c r="M25" s="245"/>
      <c r="N25" s="245"/>
      <c r="O25" s="245"/>
      <c r="P25" s="245"/>
      <c r="Q25" s="245"/>
      <c r="R25" s="245"/>
      <c r="S25" s="245"/>
      <c r="T25" s="245"/>
      <c r="U25" s="245"/>
      <c r="V25" s="246"/>
      <c r="W25" s="154"/>
      <c r="X25" s="155"/>
      <c r="Y25" s="155"/>
      <c r="Z25" s="155"/>
      <c r="AA25" s="156"/>
      <c r="AB25" s="156"/>
      <c r="AC25" s="156"/>
      <c r="AD25" s="156"/>
      <c r="AE25" s="156"/>
      <c r="AF25" s="345"/>
      <c r="AG25" s="246"/>
      <c r="AH25" s="345"/>
      <c r="AI25" s="246"/>
      <c r="AJ25" s="345"/>
      <c r="AK25" s="246"/>
      <c r="AL25" s="249"/>
    </row>
    <row r="26" spans="1:38" ht="22.5" customHeight="1">
      <c r="A26" s="8">
        <v>24</v>
      </c>
      <c r="B26" s="14"/>
      <c r="C26" s="258"/>
      <c r="D26" s="245"/>
      <c r="E26" s="245"/>
      <c r="F26" s="246"/>
      <c r="G26" s="153">
        <f t="shared" ref="G26:H26" si="16">IFERROR(#REF!,0)</f>
        <v>0</v>
      </c>
      <c r="H26" s="153">
        <f t="shared" si="16"/>
        <v>0</v>
      </c>
      <c r="I26" s="153">
        <f t="shared" ref="I26:K26" si="17">IFERROR(#REF!&amp;"+",0)</f>
        <v>0</v>
      </c>
      <c r="J26" s="153">
        <f t="shared" si="17"/>
        <v>0</v>
      </c>
      <c r="K26" s="153">
        <f t="shared" si="17"/>
        <v>0</v>
      </c>
      <c r="L26" s="346" t="str">
        <f>IFERROR((IF(#REF!="YES",(VLOOKUP(#REF!&amp;C26,Teams!D:M,7,0)&amp;#REF!),#REF!)),"")</f>
        <v/>
      </c>
      <c r="M26" s="245"/>
      <c r="N26" s="245"/>
      <c r="O26" s="245"/>
      <c r="P26" s="245"/>
      <c r="Q26" s="245"/>
      <c r="R26" s="245"/>
      <c r="S26" s="245"/>
      <c r="T26" s="245"/>
      <c r="U26" s="245"/>
      <c r="V26" s="246"/>
      <c r="W26" s="154"/>
      <c r="X26" s="155"/>
      <c r="Y26" s="155"/>
      <c r="Z26" s="155"/>
      <c r="AA26" s="156"/>
      <c r="AB26" s="156"/>
      <c r="AC26" s="156"/>
      <c r="AD26" s="156"/>
      <c r="AE26" s="156"/>
      <c r="AF26" s="345"/>
      <c r="AG26" s="246"/>
      <c r="AH26" s="345"/>
      <c r="AI26" s="246"/>
      <c r="AJ26" s="345"/>
      <c r="AK26" s="246"/>
      <c r="AL26" s="249"/>
    </row>
    <row r="27" spans="1:38" ht="22.5" customHeight="1">
      <c r="A27" s="8">
        <v>25</v>
      </c>
      <c r="B27" s="14"/>
      <c r="C27" s="258"/>
      <c r="D27" s="245"/>
      <c r="E27" s="245"/>
      <c r="F27" s="246"/>
      <c r="G27" s="153">
        <f t="shared" ref="G27:H27" si="18">IFERROR(#REF!,0)</f>
        <v>0</v>
      </c>
      <c r="H27" s="153">
        <f t="shared" si="18"/>
        <v>0</v>
      </c>
      <c r="I27" s="153">
        <f t="shared" ref="I27:K27" si="19">IFERROR(#REF!&amp;"+",0)</f>
        <v>0</v>
      </c>
      <c r="J27" s="153">
        <f t="shared" si="19"/>
        <v>0</v>
      </c>
      <c r="K27" s="153">
        <f t="shared" si="19"/>
        <v>0</v>
      </c>
      <c r="L27" s="346" t="str">
        <f>IFERROR((IF(#REF!="YES",(VLOOKUP(#REF!&amp;C27,Teams!D:M,7,0)&amp;#REF!),#REF!)),"")</f>
        <v/>
      </c>
      <c r="M27" s="245"/>
      <c r="N27" s="245"/>
      <c r="O27" s="245"/>
      <c r="P27" s="245"/>
      <c r="Q27" s="245"/>
      <c r="R27" s="245"/>
      <c r="S27" s="245"/>
      <c r="T27" s="245"/>
      <c r="U27" s="245"/>
      <c r="V27" s="246"/>
      <c r="W27" s="154"/>
      <c r="X27" s="155"/>
      <c r="Y27" s="155"/>
      <c r="Z27" s="155"/>
      <c r="AA27" s="156"/>
      <c r="AB27" s="156"/>
      <c r="AC27" s="156"/>
      <c r="AD27" s="156"/>
      <c r="AE27" s="156"/>
      <c r="AF27" s="345"/>
      <c r="AG27" s="246"/>
      <c r="AH27" s="345"/>
      <c r="AI27" s="246"/>
      <c r="AJ27" s="345"/>
      <c r="AK27" s="246"/>
      <c r="AL27" s="249"/>
    </row>
    <row r="28" spans="1:38" ht="22.5" customHeight="1">
      <c r="A28" s="8">
        <v>26</v>
      </c>
      <c r="B28" s="14"/>
      <c r="C28" s="258"/>
      <c r="D28" s="245"/>
      <c r="E28" s="245"/>
      <c r="F28" s="246"/>
      <c r="G28" s="153">
        <f t="shared" ref="G28:H28" si="20">IFERROR(#REF!,0)</f>
        <v>0</v>
      </c>
      <c r="H28" s="153">
        <f t="shared" si="20"/>
        <v>0</v>
      </c>
      <c r="I28" s="153">
        <f t="shared" ref="I28:K28" si="21">IFERROR(#REF!&amp;"+",0)</f>
        <v>0</v>
      </c>
      <c r="J28" s="153">
        <f t="shared" si="21"/>
        <v>0</v>
      </c>
      <c r="K28" s="153">
        <f t="shared" si="21"/>
        <v>0</v>
      </c>
      <c r="L28" s="346" t="str">
        <f>IFERROR((IF(#REF!="YES",(VLOOKUP(#REF!&amp;C28,Teams!D:M,7,0)&amp;#REF!),#REF!)),"")</f>
        <v/>
      </c>
      <c r="M28" s="245"/>
      <c r="N28" s="245"/>
      <c r="O28" s="245"/>
      <c r="P28" s="245"/>
      <c r="Q28" s="245"/>
      <c r="R28" s="245"/>
      <c r="S28" s="245"/>
      <c r="T28" s="245"/>
      <c r="U28" s="245"/>
      <c r="V28" s="246"/>
      <c r="W28" s="154"/>
      <c r="X28" s="155"/>
      <c r="Y28" s="155"/>
      <c r="Z28" s="155"/>
      <c r="AA28" s="156"/>
      <c r="AB28" s="156"/>
      <c r="AC28" s="156"/>
      <c r="AD28" s="156"/>
      <c r="AE28" s="156"/>
      <c r="AF28" s="345"/>
      <c r="AG28" s="246"/>
      <c r="AH28" s="345"/>
      <c r="AI28" s="246"/>
      <c r="AJ28" s="345"/>
      <c r="AK28" s="246"/>
      <c r="AL28" s="249"/>
    </row>
    <row r="29" spans="1:38" ht="22.5" customHeight="1">
      <c r="A29" s="8">
        <v>27</v>
      </c>
      <c r="B29" s="14"/>
      <c r="C29" s="258"/>
      <c r="D29" s="245"/>
      <c r="E29" s="245"/>
      <c r="F29" s="246"/>
      <c r="G29" s="153">
        <f t="shared" ref="G29:H29" si="22">IFERROR(#REF!,0)</f>
        <v>0</v>
      </c>
      <c r="H29" s="153">
        <f t="shared" si="22"/>
        <v>0</v>
      </c>
      <c r="I29" s="153">
        <f t="shared" ref="I29:K29" si="23">IFERROR(#REF!&amp;"+",0)</f>
        <v>0</v>
      </c>
      <c r="J29" s="153">
        <f t="shared" si="23"/>
        <v>0</v>
      </c>
      <c r="K29" s="153">
        <f t="shared" si="23"/>
        <v>0</v>
      </c>
      <c r="L29" s="346" t="str">
        <f>IFERROR((IF(#REF!="YES",(VLOOKUP(#REF!&amp;C29,Teams!D:M,7,0)&amp;#REF!),#REF!)),"")</f>
        <v/>
      </c>
      <c r="M29" s="245"/>
      <c r="N29" s="245"/>
      <c r="O29" s="245"/>
      <c r="P29" s="245"/>
      <c r="Q29" s="245"/>
      <c r="R29" s="245"/>
      <c r="S29" s="245"/>
      <c r="T29" s="245"/>
      <c r="U29" s="245"/>
      <c r="V29" s="246"/>
      <c r="W29" s="154"/>
      <c r="X29" s="155"/>
      <c r="Y29" s="155"/>
      <c r="Z29" s="155"/>
      <c r="AA29" s="156"/>
      <c r="AB29" s="156"/>
      <c r="AC29" s="156"/>
      <c r="AD29" s="156"/>
      <c r="AE29" s="156"/>
      <c r="AF29" s="345"/>
      <c r="AG29" s="246"/>
      <c r="AH29" s="345"/>
      <c r="AI29" s="246"/>
      <c r="AJ29" s="345"/>
      <c r="AK29" s="246"/>
      <c r="AL29" s="249"/>
    </row>
    <row r="30" spans="1:38" ht="22.5" customHeight="1">
      <c r="A30" s="8">
        <v>28</v>
      </c>
      <c r="B30" s="14"/>
      <c r="C30" s="258"/>
      <c r="D30" s="245"/>
      <c r="E30" s="245"/>
      <c r="F30" s="246"/>
      <c r="G30" s="153">
        <f t="shared" ref="G30:H30" si="24">IFERROR(#REF!,0)</f>
        <v>0</v>
      </c>
      <c r="H30" s="153">
        <f t="shared" si="24"/>
        <v>0</v>
      </c>
      <c r="I30" s="153">
        <f t="shared" ref="I30:K30" si="25">IFERROR(#REF!&amp;"+",0)</f>
        <v>0</v>
      </c>
      <c r="J30" s="153">
        <f t="shared" si="25"/>
        <v>0</v>
      </c>
      <c r="K30" s="153">
        <f t="shared" si="25"/>
        <v>0</v>
      </c>
      <c r="L30" s="346" t="str">
        <f>IFERROR((IF(#REF!="YES",(VLOOKUP(#REF!&amp;C30,Teams!D:M,7,0)&amp;#REF!),#REF!)),"")</f>
        <v/>
      </c>
      <c r="M30" s="245"/>
      <c r="N30" s="245"/>
      <c r="O30" s="245"/>
      <c r="P30" s="245"/>
      <c r="Q30" s="245"/>
      <c r="R30" s="245"/>
      <c r="S30" s="245"/>
      <c r="T30" s="245"/>
      <c r="U30" s="245"/>
      <c r="V30" s="246"/>
      <c r="W30" s="154"/>
      <c r="X30" s="155"/>
      <c r="Y30" s="155"/>
      <c r="Z30" s="155"/>
      <c r="AA30" s="156"/>
      <c r="AB30" s="156"/>
      <c r="AC30" s="156"/>
      <c r="AD30" s="156"/>
      <c r="AE30" s="156"/>
      <c r="AF30" s="345"/>
      <c r="AG30" s="246"/>
      <c r="AH30" s="345"/>
      <c r="AI30" s="246"/>
      <c r="AJ30" s="345"/>
      <c r="AK30" s="246"/>
      <c r="AL30" s="249"/>
    </row>
    <row r="31" spans="1:38" ht="22.5" customHeight="1">
      <c r="A31" s="8">
        <v>29</v>
      </c>
      <c r="B31" s="14"/>
      <c r="C31" s="258"/>
      <c r="D31" s="245"/>
      <c r="E31" s="245"/>
      <c r="F31" s="246"/>
      <c r="G31" s="153">
        <f t="shared" ref="G31:H31" si="26">IFERROR(#REF!,0)</f>
        <v>0</v>
      </c>
      <c r="H31" s="153">
        <f t="shared" si="26"/>
        <v>0</v>
      </c>
      <c r="I31" s="153">
        <f t="shared" ref="I31:K31" si="27">IFERROR(#REF!&amp;"+",0)</f>
        <v>0</v>
      </c>
      <c r="J31" s="153">
        <f t="shared" si="27"/>
        <v>0</v>
      </c>
      <c r="K31" s="153">
        <f t="shared" si="27"/>
        <v>0</v>
      </c>
      <c r="L31" s="346" t="str">
        <f>IFERROR((IF(#REF!="YES",(VLOOKUP(#REF!&amp;C31,Teams!D:M,7,0)&amp;#REF!),#REF!)),"")</f>
        <v/>
      </c>
      <c r="M31" s="245"/>
      <c r="N31" s="245"/>
      <c r="O31" s="245"/>
      <c r="P31" s="245"/>
      <c r="Q31" s="245"/>
      <c r="R31" s="245"/>
      <c r="S31" s="245"/>
      <c r="T31" s="245"/>
      <c r="U31" s="245"/>
      <c r="V31" s="246"/>
      <c r="W31" s="154"/>
      <c r="X31" s="155"/>
      <c r="Y31" s="155"/>
      <c r="Z31" s="155"/>
      <c r="AA31" s="156"/>
      <c r="AB31" s="156"/>
      <c r="AC31" s="156"/>
      <c r="AD31" s="156"/>
      <c r="AE31" s="156"/>
      <c r="AF31" s="345"/>
      <c r="AG31" s="246"/>
      <c r="AH31" s="345"/>
      <c r="AI31" s="246"/>
      <c r="AJ31" s="345"/>
      <c r="AK31" s="246"/>
      <c r="AL31" s="249"/>
    </row>
    <row r="32" spans="1:38" ht="22.5" customHeight="1">
      <c r="A32" s="8">
        <v>30</v>
      </c>
      <c r="B32" s="14"/>
      <c r="C32" s="258"/>
      <c r="D32" s="245"/>
      <c r="E32" s="245"/>
      <c r="F32" s="246"/>
      <c r="G32" s="153">
        <f t="shared" ref="G32:H32" si="28">IFERROR(#REF!,0)</f>
        <v>0</v>
      </c>
      <c r="H32" s="153">
        <f t="shared" si="28"/>
        <v>0</v>
      </c>
      <c r="I32" s="153">
        <f t="shared" ref="I32:K32" si="29">IFERROR(#REF!&amp;"+",0)</f>
        <v>0</v>
      </c>
      <c r="J32" s="153">
        <f t="shared" si="29"/>
        <v>0</v>
      </c>
      <c r="K32" s="153">
        <f t="shared" si="29"/>
        <v>0</v>
      </c>
      <c r="L32" s="346" t="str">
        <f>IFERROR((IF(#REF!="YES",(VLOOKUP(#REF!&amp;C32,Teams!D:M,7,0)&amp;#REF!),#REF!)),"")</f>
        <v/>
      </c>
      <c r="M32" s="245"/>
      <c r="N32" s="245"/>
      <c r="O32" s="245"/>
      <c r="P32" s="245"/>
      <c r="Q32" s="245"/>
      <c r="R32" s="245"/>
      <c r="S32" s="245"/>
      <c r="T32" s="245"/>
      <c r="U32" s="245"/>
      <c r="V32" s="246"/>
      <c r="W32" s="154"/>
      <c r="X32" s="155"/>
      <c r="Y32" s="155"/>
      <c r="Z32" s="155"/>
      <c r="AA32" s="156"/>
      <c r="AB32" s="156"/>
      <c r="AC32" s="156"/>
      <c r="AD32" s="156"/>
      <c r="AE32" s="156"/>
      <c r="AF32" s="345"/>
      <c r="AG32" s="246"/>
      <c r="AH32" s="345"/>
      <c r="AI32" s="246"/>
      <c r="AJ32" s="345"/>
      <c r="AK32" s="246"/>
      <c r="AL32" s="250"/>
    </row>
    <row r="33" spans="1:38" ht="15" customHeight="1">
      <c r="A33" s="349"/>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4"/>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06" t="str">
        <f>IF(Roster!$J$25="Italiano","MERCENARIO 1",(IF(Roster!$J$25="Español","MERCENARIO 1",(IF(Roster!$J$25="Français","MERCENAIRE 1","MERCENARY 1")))))</f>
        <v>MERCENARIO 1</v>
      </c>
      <c r="B1" s="242"/>
      <c r="C1" s="242"/>
      <c r="D1" s="242"/>
      <c r="E1" s="242"/>
      <c r="F1" s="242"/>
      <c r="G1" s="242"/>
      <c r="H1" s="242"/>
      <c r="I1" s="242"/>
      <c r="J1" s="242"/>
      <c r="K1" s="242"/>
      <c r="L1" s="242"/>
      <c r="M1" s="242"/>
      <c r="N1" s="242"/>
      <c r="O1" s="242"/>
      <c r="P1" s="242"/>
      <c r="Q1" s="242"/>
      <c r="R1" s="242"/>
      <c r="S1" s="243"/>
      <c r="T1" s="354"/>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77" t="str">
        <f>IF(Roster!$J$25="Italiano","ABILITÀ",(IF(Roster!$J$25="Español","HABILIDADES",(IF(Roster!$J$25="Deutsch","FERTIGKEITEN",(IF(Roster!$J$25="Français","COMPÉTENCES","SKILLS")))))))</f>
        <v>ABILITÀ</v>
      </c>
      <c r="I2" s="245"/>
      <c r="J2" s="245"/>
      <c r="K2" s="245"/>
      <c r="L2" s="245"/>
      <c r="M2" s="245"/>
      <c r="N2" s="245"/>
      <c r="O2" s="245"/>
      <c r="P2" s="245"/>
      <c r="Q2" s="245"/>
      <c r="R2" s="246"/>
      <c r="S2" s="8" t="str">
        <f>IF(Roster!$J$25="Italiano","COSTO",(IF(Roster!$J$25="Español","PRECIO",(IF(Roster!$J$25="Deutsch","WERT",(IF(Roster!$J$25="Français","VALEUR","COST")))))))</f>
        <v>COSTO</v>
      </c>
      <c r="T2" s="249"/>
      <c r="U2" s="45"/>
      <c r="V2" s="158" t="s">
        <v>322</v>
      </c>
      <c r="W2" s="159" t="s">
        <v>234</v>
      </c>
      <c r="X2" s="160"/>
      <c r="Y2" s="158" t="s">
        <v>323</v>
      </c>
      <c r="Z2" s="161"/>
      <c r="AA2" s="161"/>
      <c r="AB2" s="159"/>
      <c r="AC2" s="160"/>
      <c r="AD2" s="160"/>
      <c r="AE2" s="160"/>
      <c r="AF2" s="158" t="s">
        <v>324</v>
      </c>
      <c r="AG2" s="161"/>
      <c r="AH2" s="161"/>
      <c r="AI2" s="159"/>
      <c r="AJ2" s="45"/>
      <c r="AK2" s="352" t="s">
        <v>325</v>
      </c>
      <c r="AL2" s="286"/>
      <c r="AM2" s="286"/>
      <c r="AN2" s="286"/>
      <c r="AO2" s="287"/>
      <c r="AP2" s="352" t="s">
        <v>326</v>
      </c>
      <c r="AQ2" s="286"/>
      <c r="AR2" s="286"/>
      <c r="AS2" s="286"/>
      <c r="AT2" s="287"/>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7" t="str">
        <f>Y3&amp;(IF(Z3&lt;&gt;"",", ",""))&amp;Z3&amp;(IF(AA3&lt;&gt;"",", ",""))&amp;AA3&amp;(IF(AB3&lt;&gt;"",", ",""))&amp;AB3&amp;(IF(AF3&lt;&gt;"",", ",""))&amp;AF3&amp;(IF(AG3&lt;&gt;"",", ",""))&amp;AG3&amp;(IF(AH3&lt;&gt;"",", ",""))&amp;AH3&amp;(IF(AI3&lt;&gt;"",", ",""))&amp;AI3&amp;AK8</f>
        <v>Loner (4+), Dodge, Stunty, Right Stuff</v>
      </c>
      <c r="I3" s="245"/>
      <c r="J3" s="245"/>
      <c r="K3" s="245"/>
      <c r="L3" s="245"/>
      <c r="M3" s="245"/>
      <c r="N3" s="245"/>
      <c r="O3" s="245"/>
      <c r="P3" s="245"/>
      <c r="Q3" s="245"/>
      <c r="R3" s="246"/>
      <c r="S3" s="53">
        <f>(VLOOKUP(B3,Y5:AI10,11,FALSE))+W12</f>
        <v>30000</v>
      </c>
      <c r="T3" s="249"/>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3" t="str">
        <f>IF(J40="Italiano","AVANZAMIENTO GIOCATORI",(IF(J40="Español","MEJORAS DEL JUGADORE",(IF(J40="Deutsch","SPIELERVERBESSERUNGEN",(IF(J40="Français","AMÉLIORATIONS DE JOUEUR","PLAYER UPGRADES")))))))</f>
        <v>PLAYER UPGRADES</v>
      </c>
      <c r="B4" s="245"/>
      <c r="C4" s="245"/>
      <c r="D4" s="245"/>
      <c r="E4" s="245"/>
      <c r="F4" s="245"/>
      <c r="G4" s="245"/>
      <c r="H4" s="245"/>
      <c r="I4" s="245"/>
      <c r="J4" s="245"/>
      <c r="K4" s="245"/>
      <c r="L4" s="245"/>
      <c r="M4" s="245"/>
      <c r="N4" s="245"/>
      <c r="O4" s="245"/>
      <c r="P4" s="245"/>
      <c r="Q4" s="245"/>
      <c r="R4" s="245"/>
      <c r="S4" s="265"/>
      <c r="T4" s="249"/>
      <c r="U4" s="13"/>
      <c r="V4" s="162" t="str">
        <f t="shared" ref="V4:W4" si="0">IF($B$3="Stunty Superstar",C43,(IF($B$3="Legendary Linemen",F43,(IF($B$3="Brutal Blockers",I43,(IF($B$3="Reliable Ringers",L43,(IF($B$3="Bona Fide Big Guy",O43,"")))))))))</f>
        <v>Dirty Player (+1), Sneaky Git, Loner (5+)</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77" t="s">
        <v>328</v>
      </c>
      <c r="B5" s="245"/>
      <c r="C5" s="245"/>
      <c r="D5" s="245"/>
      <c r="E5" s="245"/>
      <c r="F5" s="245"/>
      <c r="G5" s="245"/>
      <c r="H5" s="246"/>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9"/>
      <c r="U5" s="13"/>
      <c r="V5" s="162" t="b">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0</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7"/>
      <c r="B6" s="245"/>
      <c r="C6" s="245"/>
      <c r="D6" s="245"/>
      <c r="E6" s="245"/>
      <c r="F6" s="245"/>
      <c r="G6" s="245"/>
      <c r="H6" s="246"/>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49"/>
      <c r="U6" s="13"/>
      <c r="V6" s="162" t="str">
        <f t="shared" ref="V6:W6" si="2">IF($B$3="Stunty Superstar",C45,(IF($B$3="Legendary Linemen",F45,(IF($B$3="Brutal Blockers",I45,(IF($B$3="Reliable Ringers",L45,(IF($B$3="Bona Fide Big Guy",O45,"")))))))))</f>
        <v>Bombardier, Secret Weapon</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TIPO</v>
      </c>
      <c r="B7" s="173" t="str">
        <f>IF($J$40="Italiano","AVANZAMENTO 1",(IF($J$40="Español","MEJORA 1",(IF($J$40="Deutsch","VERBES-SERUNG 1",(IF($J$40="Français","AMÉLIORATION 1","UPGRADE 1")))))))</f>
        <v>UPGRADE 1</v>
      </c>
      <c r="C7" s="174" t="str">
        <f>IF(Roster!$J$25="Italiano","COSTO",(IF(Roster!$J$25="Español","PRECIO",(IF(Roster!$J$25="Deutsch","WERT",(IF(Roster!$J$25="Français","VALEUR","COST")))))))</f>
        <v>COSTO</v>
      </c>
      <c r="D7" s="293" t="str">
        <f>IF($J$40="Italiano","AVANZAMENTO 2",(IF($J$40="Español","MEJORA 2",(IF($J$40="Deutsch","VERBES-SERUNG 2",(IF($J$40="Français","AMÉLIORATION 2","UPGRADE 2")))))))</f>
        <v>UPGRADE 2</v>
      </c>
      <c r="E7" s="246"/>
      <c r="F7" s="174" t="str">
        <f>IF(Roster!$J$25="Italiano","COSTO",(IF(Roster!$J$25="Español","PRECIO",(IF(Roster!$J$25="Deutsch","WERT",(IF(Roster!$J$25="Français","VALEUR","COST")))))))</f>
        <v>COSTO</v>
      </c>
      <c r="G7" s="293" t="str">
        <f>IF($J$40="Italiano","AVANZAMENTO 3",(IF($J$40="Español","MEJORA 3",(IF($J$40="Deutsch","VERBES-SERUNG 3",(IF($J$40="Français","AMÉLIORATION 3","UPGRADE 3")))))))</f>
        <v>UPGRADE 3</v>
      </c>
      <c r="H7" s="246"/>
      <c r="I7" s="8" t="str">
        <f>IF(Roster!$J$25="Italiano","COSTO",(IF(Roster!$J$25="Español","PRECIO",(IF(Roster!$J$25="Deutsch","WERT",(IF(Roster!$J$25="Français","VALEUR","COST")))))))</f>
        <v>COSTO</v>
      </c>
      <c r="J7" s="293" t="str">
        <f>IF($J$40="Italiano","AVANZAMENTO 4",(IF($J$40="Español","MEJORA 4",(IF($J$40="Deutsch","VERBES-SERUNG 4",(IF($J$40="Français","AMÉLIORATION 4","UPGRADE 4")))))))</f>
        <v>UPGRADE 4</v>
      </c>
      <c r="K7" s="246"/>
      <c r="L7" s="8" t="str">
        <f>IF(Roster!$J$25="Italiano","COSTO",(IF(Roster!$J$25="Español","PRECIO",(IF(Roster!$J$25="Deutsch","WERT",(IF(Roster!$J$25="Français","VALEUR","COST")))))))</f>
        <v>COSTO</v>
      </c>
      <c r="M7" s="293" t="str">
        <f>IF($J$40="Italiano","AVANZAMENTO 5",(IF($J$40="Español","MEJORA 5",(IF($J$40="Deutsch","VERBES-SERUNG 5",(IF($J$40="Français","AMÉLIORATION 5","UPGRADE 5")))))))</f>
        <v>UPGRADE 5</v>
      </c>
      <c r="N7" s="246"/>
      <c r="O7" s="8" t="str">
        <f>IF(Roster!$J$25="Italiano","COSTO",(IF(Roster!$J$25="Español","PRECIO",(IF(Roster!$J$25="Deutsch","WERT",(IF(Roster!$J$25="Français","VALEUR","COST")))))))</f>
        <v>COSTO</v>
      </c>
      <c r="P7" s="293" t="str">
        <f>IF($J$40="Italiano","AVANZAMENTO 6",(IF($J$40="Español","MEJORA 6",(IF($J$40="Deutsch","VERBES-SERUNG 6",(IF($J$40="Français","AMÉLIORATION 6","UPGRADE 6")))))))</f>
        <v>UPGRADE 6</v>
      </c>
      <c r="Q7" s="246"/>
      <c r="R7" s="8" t="str">
        <f>IF(Roster!$J$25="Italiano","COSTO",(IF(Roster!$J$25="Español","PRECIO",(IF(Roster!$J$25="Deutsch","WERT",(IF(Roster!$J$25="Français","VALEUR","COST")))))))</f>
        <v>COSTO</v>
      </c>
      <c r="S7" s="8" t="s">
        <v>333</v>
      </c>
      <c r="T7" s="249"/>
      <c r="U7" s="13"/>
      <c r="V7" s="162" t="str">
        <f t="shared" ref="V7:W7" si="3">IF($B$3="Stunty Superstar",C46,(IF($B$3="Legendary Linemen",F46,(IF($B$3="Brutal Blockers",I46,(IF($B$3="Reliable Ringers",L46,(IF($B$3="Bona Fide Big Guy",O46,"")))))))))</f>
        <v>Stab, Secret Weapon</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271"/>
      <c r="E8" s="246"/>
      <c r="F8" s="171" t="str">
        <f>IF(B3&lt;&gt;"Legendary Linemen","ILEGAL",(IF(D8&lt;&gt;"",50000,0)))</f>
        <v>ILEGAL</v>
      </c>
      <c r="G8" s="271"/>
      <c r="H8" s="246"/>
      <c r="I8" s="171" t="str">
        <f>IF(B3&lt;&gt;"Legendary Linemen","ILEGAL",(IF(G8&lt;&gt;"",80000,0)))</f>
        <v>ILEGAL</v>
      </c>
      <c r="J8" s="271"/>
      <c r="K8" s="246"/>
      <c r="L8" s="171" t="str">
        <f>IF(B3&lt;&gt;"Legendary Linemen","ILEGAL",(IF(J8&lt;&gt;"",110000,0)))</f>
        <v>ILEGAL</v>
      </c>
      <c r="M8" s="271"/>
      <c r="N8" s="246"/>
      <c r="O8" s="171" t="str">
        <f>IF(B3&lt;&gt;"Legendary Linemen","ILEGAL",(IF(M8&lt;&gt;"",140000,0)))</f>
        <v>ILEGAL</v>
      </c>
      <c r="P8" s="271"/>
      <c r="Q8" s="246"/>
      <c r="R8" s="171" t="str">
        <f>IF(B3&lt;&gt;"Legendary Linemen","ILEGAL",(IF(P8&lt;&gt;"",170000,0)))</f>
        <v>ILEGAL</v>
      </c>
      <c r="S8" s="171">
        <f t="shared" ref="S8:S12" si="5">SUM(C8,F8,I8,L8,O8,R8)</f>
        <v>0</v>
      </c>
      <c r="T8" s="249"/>
      <c r="U8" s="13"/>
      <c r="V8" s="162" t="str">
        <f t="shared" ref="V8:W8" si="6">IF($B$3="Stunty Superstar",C47,(IF($B$3="Legendary Linemen",F47,(IF($B$3="Brutal Blockers",I47,(IF($B$3="Reliable Ringers",L47,(IF($B$3="Bona Fide Big Guy",O47,"")))))))))</f>
        <v>Chainsaw, No Hands, Secret Weapon</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271"/>
      <c r="E9" s="246"/>
      <c r="F9" s="171" t="str">
        <f>IF($B$3&lt;&gt;"Brutal Blockers",(IF($B$3&lt;&gt;"Bona Fide Big Guy","ILEGAL",(IF(D9&lt;&gt;"",70000,0)))),(IF(D9&lt;&gt;"",70000,0)))</f>
        <v>ILEGAL</v>
      </c>
      <c r="G9" s="271"/>
      <c r="H9" s="246"/>
      <c r="I9" s="171" t="str">
        <f>IF($B$3&lt;&gt;"Brutal Blockers",(IF($B$3&lt;&gt;"Bona Fide Big Guy","ILEGAL",(IF(G9&lt;&gt;"",110000,0)))),(IF(G9&lt;&gt;"",110000,0)))</f>
        <v>ILEGAL</v>
      </c>
      <c r="J9" s="271"/>
      <c r="K9" s="246"/>
      <c r="L9" s="171" t="str">
        <f>IF($B$3&lt;&gt;"Brutal Blockers",(IF($B$3&lt;&gt;"Bona Fide Big Guy","ILEGAL",(IF(J9&lt;&gt;"",150000,0)))),(IF(J9&lt;&gt;"",150000,0)))</f>
        <v>ILEGAL</v>
      </c>
      <c r="M9" s="271"/>
      <c r="N9" s="246"/>
      <c r="O9" s="171" t="str">
        <f>IF($B$3&lt;&gt;"Brutal Blockers",(IF($B$3&lt;&gt;"Bona Fide Big Guy","ILEGAL",(IF(M9&lt;&gt;"",190000,0)))),(IF(M9&lt;&gt;"",190000,0)))</f>
        <v>ILEGAL</v>
      </c>
      <c r="P9" s="271"/>
      <c r="Q9" s="246"/>
      <c r="R9" s="171" t="str">
        <f>IF($B$3&lt;&gt;"Brutal Blockers",(IF($B$3&lt;&gt;"Bona Fide Big Guy","ILEGAL",(IF(P9&lt;&gt;"",230000,0)))),(IF(P9&lt;&gt;"",230000,0)))</f>
        <v>ILEGAL</v>
      </c>
      <c r="S9" s="171">
        <f t="shared" si="5"/>
        <v>0</v>
      </c>
      <c r="T9" s="249"/>
      <c r="U9" s="45"/>
      <c r="V9" s="162" t="str">
        <f t="shared" ref="V9:W9" si="8">IF($B$3="Stunty Superstar",C48,(IF($B$3="Legendary Linemen",F48,(IF($B$3="Brutal Blockers",I48,(IF($B$3="Reliable Ringers",L48,(IF($B$3="Bona Fide Big Guy",O48,"")))))))))</f>
        <v>Pogo Stick</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271"/>
      <c r="E10" s="246"/>
      <c r="F10" s="171">
        <f>IF($B$3&lt;&gt;"Stunty Superstar",(IF($B$3&lt;&gt;"Reliable Ringers","ILEGAL",(IF(D10&lt;&gt;"",70000,0)))),(IF(D10&lt;&gt;"",30000,0)))</f>
        <v>0</v>
      </c>
      <c r="G10" s="271"/>
      <c r="H10" s="246"/>
      <c r="I10" s="171">
        <f>IF($B$3&lt;&gt;"Stunty Superstar",(IF($B$3&lt;&gt;"Reliable Ringers","ILEGAL",(IF(G10&lt;&gt;"",110000,0)))),(IF(G10&lt;&gt;"",50000,0)))</f>
        <v>0</v>
      </c>
      <c r="J10" s="271"/>
      <c r="K10" s="246"/>
      <c r="L10" s="171">
        <f>IF($B$3&lt;&gt;"Stunty Superstar",(IF($B$3&lt;&gt;"Reliable Ringers","ILEGAL",(IF(J10&lt;&gt;"",150000,0)))),(IF(J10&lt;&gt;"",70000,0)))</f>
        <v>0</v>
      </c>
      <c r="M10" s="271"/>
      <c r="N10" s="246"/>
      <c r="O10" s="171">
        <f>IF($B$3&lt;&gt;"Stunty Superstar",(IF($B$3&lt;&gt;"Reliable Ringers","ILEGAL",(IF(M10&lt;&gt;"",190000,0)))),(IF(M10&lt;&gt;"",90000,0)))</f>
        <v>0</v>
      </c>
      <c r="P10" s="271"/>
      <c r="Q10" s="246"/>
      <c r="R10" s="171">
        <f>IF($B$3&lt;&gt;"Stunty Superstar",(IF($B$3&lt;&gt;"Reliable Ringers","ILEGAL",(IF(P10&lt;&gt;"",230000,0)))),(IF(P10&lt;&gt;"",110000,0)))</f>
        <v>0</v>
      </c>
      <c r="S10" s="171">
        <f t="shared" si="5"/>
        <v>0</v>
      </c>
      <c r="T10" s="249"/>
      <c r="U10" s="45"/>
      <c r="V10" s="165" t="str">
        <f t="shared" ref="V10:W10" si="10">IF($B$3="Stunty Superstar",C49,(IF($B$3="Legendary Linemen",F49,(IF($B$3="Brutal Blockers",I49,(IF($B$3="Reliable Ringers",L49,(IF($B$3="Bona Fide Big Guy",O49,"")))))))))</f>
        <v>Ball &amp; Chain, Secret Weapon, No Hands, +3ST, -2MA</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271"/>
      <c r="E11" s="246"/>
      <c r="F11" s="171" t="s">
        <v>338</v>
      </c>
      <c r="G11" s="271"/>
      <c r="H11" s="246"/>
      <c r="I11" s="171" t="s">
        <v>338</v>
      </c>
      <c r="J11" s="271"/>
      <c r="K11" s="246"/>
      <c r="L11" s="171" t="s">
        <v>338</v>
      </c>
      <c r="M11" s="271"/>
      <c r="N11" s="246"/>
      <c r="O11" s="171" t="s">
        <v>338</v>
      </c>
      <c r="P11" s="271"/>
      <c r="Q11" s="246"/>
      <c r="R11" s="171" t="s">
        <v>338</v>
      </c>
      <c r="S11" s="171">
        <f t="shared" si="5"/>
        <v>0</v>
      </c>
      <c r="T11" s="249"/>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271"/>
      <c r="E12" s="246"/>
      <c r="F12" s="171" t="str">
        <f>IF(OR($B$3="Stunty Superstar",$B$3="Brutal Blockers",$B$3="Bona Fide Big Guy",$B$3="Mercenaries"),"ILEGAL",(IF(D12&lt;&gt;"",(IF($B$3="Legendary Linemen",70000,(IF(D12="Big Hand",30000,(IF(D12="Extra Arms",20000,(IF(D12="Two Heads",30000,(IF(D12="Very Long Legs",30000,"ILEGAL")))))))))),0)))</f>
        <v>ILEGAL</v>
      </c>
      <c r="G12" s="271"/>
      <c r="H12" s="246"/>
      <c r="I12" s="171" t="str">
        <f>IF(OR($B$3="Stunty Superstar",$B$3="Brutal Blockers",$B$3="Bona Fide Big Guy",$B$3="Mercenaries"),"ILEGAL",(IF(G12&lt;&gt;"",(IF($B$3="Legendary Linemen",110000,(IF(G12="Big Hand",30000,(IF(G12="Extra Arms",20000,(IF(G12="Two Heads",30000,(IF(G12="Very Long Legs",30000,0)))))))))),0)))</f>
        <v>ILEGAL</v>
      </c>
      <c r="J12" s="271"/>
      <c r="K12" s="246"/>
      <c r="L12" s="171" t="str">
        <f>IF(OR($B$3="Stunty Superstar",$B$3="Brutal Blockers",$B$3="Bona Fide Big Guy",$B$3="Mercenaries"),"ILEGAL",(IF(J12&lt;&gt;"",(IF($B$3="Legendary Linemen",150000,(IF(J12="Big Hand",30000,(IF(J12="Extra Arms",20000,(IF(J12="Two Heads",30000,(IF(J12="Very Long Legs",30000,0)))))))))),0)))</f>
        <v>ILEGAL</v>
      </c>
      <c r="M12" s="271"/>
      <c r="N12" s="246"/>
      <c r="O12" s="171" t="str">
        <f>IF(B3&lt;&gt;"Legendary Linemen","ILEGAL",(IF(M12&lt;&gt;"",190000,0)))</f>
        <v>ILEGAL</v>
      </c>
      <c r="P12" s="271"/>
      <c r="Q12" s="246"/>
      <c r="R12" s="171" t="str">
        <f>IF(B3&lt;&gt;"Legendary Linemen","ILEGAL",(IF(P12&lt;&gt;"",230000,0)))</f>
        <v>ILEGAL</v>
      </c>
      <c r="S12" s="171">
        <f t="shared" si="5"/>
        <v>0</v>
      </c>
      <c r="T12" s="249"/>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49"/>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306" t="str">
        <f>IF(Roster!$J$25="Italiano","MERCENARIO 2",(IF(Roster!$J$25="Español","MERCENARIO 2",(IF(Roster!$J$25="Français","MERCENAIRE 2","MERCENARY 2")))))</f>
        <v>MERCENARIO 2</v>
      </c>
      <c r="B14" s="242"/>
      <c r="C14" s="242"/>
      <c r="D14" s="242"/>
      <c r="E14" s="242"/>
      <c r="F14" s="242"/>
      <c r="G14" s="242"/>
      <c r="H14" s="242"/>
      <c r="I14" s="242"/>
      <c r="J14" s="242"/>
      <c r="K14" s="242"/>
      <c r="L14" s="242"/>
      <c r="M14" s="242"/>
      <c r="N14" s="242"/>
      <c r="O14" s="242"/>
      <c r="P14" s="242"/>
      <c r="Q14" s="242"/>
      <c r="R14" s="242"/>
      <c r="S14" s="243"/>
      <c r="T14" s="249"/>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77" t="str">
        <f>IF(Roster!$J$25="Italiano","ABILITÀ",(IF(Roster!$J$25="Español","HABILIDADES",(IF(Roster!$J$25="Deutsch","FERTIGKEITEN",(IF(Roster!$J$25="Français","COMPÉTENCES","SKILLS")))))))</f>
        <v>ABILITÀ</v>
      </c>
      <c r="I15" s="245"/>
      <c r="J15" s="245"/>
      <c r="K15" s="245"/>
      <c r="L15" s="245"/>
      <c r="M15" s="245"/>
      <c r="N15" s="245"/>
      <c r="O15" s="245"/>
      <c r="P15" s="245"/>
      <c r="Q15" s="245"/>
      <c r="R15" s="246"/>
      <c r="S15" s="8" t="str">
        <f>IF(Roster!$J$25="Italiano","COSTO",(IF(Roster!$J$25="Español","PRECIO",(IF(Roster!$J$25="Deutsch","WERT",(IF(Roster!$J$25="Français","VALEUR","COST")))))))</f>
        <v>COSTO</v>
      </c>
      <c r="T15" s="249"/>
      <c r="U15" s="45"/>
      <c r="V15" s="158" t="s">
        <v>322</v>
      </c>
      <c r="W15" s="159" t="s">
        <v>234</v>
      </c>
      <c r="X15" s="160"/>
      <c r="Y15" s="158" t="s">
        <v>323</v>
      </c>
      <c r="Z15" s="161"/>
      <c r="AA15" s="161"/>
      <c r="AB15" s="159"/>
      <c r="AC15" s="160"/>
      <c r="AD15" s="160"/>
      <c r="AE15" s="160"/>
      <c r="AF15" s="158" t="s">
        <v>324</v>
      </c>
      <c r="AG15" s="161"/>
      <c r="AH15" s="161"/>
      <c r="AI15" s="159"/>
      <c r="AJ15" s="45"/>
      <c r="AK15" s="352" t="s">
        <v>325</v>
      </c>
      <c r="AL15" s="286"/>
      <c r="AM15" s="286"/>
      <c r="AN15" s="286"/>
      <c r="AO15" s="287"/>
      <c r="AP15" s="352" t="s">
        <v>326</v>
      </c>
      <c r="AQ15" s="286"/>
      <c r="AR15" s="286"/>
      <c r="AS15" s="286"/>
      <c r="AT15" s="287"/>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7" t="str">
        <f>Y16&amp;(IF(Z16&lt;&gt;"",", ",""))&amp;Z16&amp;(IF(AA16&lt;&gt;"",", ",""))&amp;AA16&amp;(IF(AB16&lt;&gt;"",", ",""))&amp;AB16&amp;(IF(AF16&lt;&gt;"",", ",""))&amp;AF16&amp;(IF(AG16&lt;&gt;"",", ",""))&amp;AG16&amp;(IF(AH16&lt;&gt;"",", ",""))&amp;AH16&amp;(IF(AI16&lt;&gt;"",", ",""))&amp;AI16&amp;AK21</f>
        <v/>
      </c>
      <c r="I16" s="245"/>
      <c r="J16" s="245"/>
      <c r="K16" s="245"/>
      <c r="L16" s="245"/>
      <c r="M16" s="245"/>
      <c r="N16" s="245"/>
      <c r="O16" s="245"/>
      <c r="P16" s="245"/>
      <c r="Q16" s="245"/>
      <c r="R16" s="246"/>
      <c r="S16" s="53">
        <f>(VLOOKUP(B16,Y18:AI23,11,FALSE))+W25</f>
        <v>0</v>
      </c>
      <c r="T16" s="249"/>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3" t="str">
        <f>IF(AR3="Italiano","AVANZAMIENTO GIOCATORI",(IF(AR3="Español","MEJORAS DEL JUGADORE",(IF(AR3="Deutsch","SPIELERVERBESSERUNGEN",(IF(AR3="Français","AMÉLIORATIONS DE JOUEUR","PLAYER UPGRADES")))))))</f>
        <v>PLAYER UPGRADES</v>
      </c>
      <c r="B17" s="245"/>
      <c r="C17" s="245"/>
      <c r="D17" s="245"/>
      <c r="E17" s="245"/>
      <c r="F17" s="245"/>
      <c r="G17" s="245"/>
      <c r="H17" s="245"/>
      <c r="I17" s="245"/>
      <c r="J17" s="245"/>
      <c r="K17" s="245"/>
      <c r="L17" s="245"/>
      <c r="M17" s="245"/>
      <c r="N17" s="245"/>
      <c r="O17" s="245"/>
      <c r="P17" s="245"/>
      <c r="Q17" s="245"/>
      <c r="R17" s="245"/>
      <c r="S17" s="265"/>
      <c r="T17" s="249"/>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77" t="s">
        <v>328</v>
      </c>
      <c r="B18" s="245"/>
      <c r="C18" s="245"/>
      <c r="D18" s="245"/>
      <c r="E18" s="245"/>
      <c r="F18" s="245"/>
      <c r="G18" s="245"/>
      <c r="H18" s="246"/>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9"/>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7"/>
      <c r="B19" s="245"/>
      <c r="C19" s="245"/>
      <c r="D19" s="245"/>
      <c r="E19" s="245"/>
      <c r="F19" s="245"/>
      <c r="G19" s="245"/>
      <c r="H19" s="246"/>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49"/>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TIPO</v>
      </c>
      <c r="B20" s="173" t="str">
        <f>IF($J$40="Italiano","AVANZAMENTO 1",(IF($J$40="Español","MEJORA 1",(IF($J$40="Deutsch","VERBES-SERUNG 1",(IF($J$40="Français","AMÉLIORATION 1","UPGRADE 1")))))))</f>
        <v>UPGRADE 1</v>
      </c>
      <c r="C20" s="174" t="str">
        <f>IF(Roster!$J$25="Italiano","COSTO",(IF(Roster!$J$25="Español","PRECIO",(IF(Roster!$J$25="Deutsch","WERT",(IF(Roster!$J$25="Français","VALEUR","COST")))))))</f>
        <v>COSTO</v>
      </c>
      <c r="D20" s="293" t="str">
        <f>IF($J$40="Italiano","AVANZAMENTO 2",(IF($J$40="Español","MEJORA 2",(IF($J$40="Deutsch","VERBES-SERUNG 2",(IF($J$40="Français","AMÉLIORATION 2","UPGRADE 2")))))))</f>
        <v>UPGRADE 2</v>
      </c>
      <c r="E20" s="246"/>
      <c r="F20" s="174" t="str">
        <f>IF(Roster!$J$25="Italiano","COSTO",(IF(Roster!$J$25="Español","PRECIO",(IF(Roster!$J$25="Deutsch","WERT",(IF(Roster!$J$25="Français","VALEUR","COST")))))))</f>
        <v>COSTO</v>
      </c>
      <c r="G20" s="293" t="str">
        <f>IF($J$40="Italiano","AVANZAMENTO 3",(IF($J$40="Español","MEJORA 3",(IF($J$40="Deutsch","VERBES-SERUNG 3",(IF($J$40="Français","AMÉLIORATION 3","UPGRADE 3")))))))</f>
        <v>UPGRADE 3</v>
      </c>
      <c r="H20" s="246"/>
      <c r="I20" s="8" t="str">
        <f>IF(Roster!$J$25="Italiano","COSTO",(IF(Roster!$J$25="Español","PRECIO",(IF(Roster!$J$25="Deutsch","WERT",(IF(Roster!$J$25="Français","VALEUR","COST")))))))</f>
        <v>COSTO</v>
      </c>
      <c r="J20" s="293" t="str">
        <f>IF($J$40="Italiano","AVANZAMENTO 4",(IF($J$40="Español","MEJORA 4",(IF($J$40="Deutsch","VERBES-SERUNG 4",(IF($J$40="Français","AMÉLIORATION 4","UPGRADE 4")))))))</f>
        <v>UPGRADE 4</v>
      </c>
      <c r="K20" s="246"/>
      <c r="L20" s="8" t="str">
        <f>IF(Roster!$J$25="Italiano","COSTO",(IF(Roster!$J$25="Español","PRECIO",(IF(Roster!$J$25="Deutsch","WERT",(IF(Roster!$J$25="Français","VALEUR","COST")))))))</f>
        <v>COSTO</v>
      </c>
      <c r="M20" s="293" t="str">
        <f>IF($J$40="Italiano","AVANZAMENTO 5",(IF($J$40="Español","MEJORA 5",(IF($J$40="Deutsch","VERBES-SERUNG 5",(IF($J$40="Français","AMÉLIORATION 5","UPGRADE 5")))))))</f>
        <v>UPGRADE 5</v>
      </c>
      <c r="N20" s="246"/>
      <c r="O20" s="8" t="str">
        <f>IF(Roster!$J$25="Italiano","COSTO",(IF(Roster!$J$25="Español","PRECIO",(IF(Roster!$J$25="Deutsch","WERT",(IF(Roster!$J$25="Français","VALEUR","COST")))))))</f>
        <v>COSTO</v>
      </c>
      <c r="P20" s="293" t="str">
        <f>IF($J$40="Italiano","AVANZAMENTO 6",(IF($J$40="Español","MEJORA 6",(IF($J$40="Deutsch","VERBES-SERUNG 6",(IF($J$40="Français","AMÉLIORATION 6","UPGRADE 6")))))))</f>
        <v>UPGRADE 6</v>
      </c>
      <c r="Q20" s="246"/>
      <c r="R20" s="8" t="str">
        <f>IF(Roster!$J$25="Italiano","COSTO",(IF(Roster!$J$25="Español","PRECIO",(IF(Roster!$J$25="Deutsch","WERT",(IF(Roster!$J$25="Français","VALEUR","COST")))))))</f>
        <v>COSTO</v>
      </c>
      <c r="S20" s="8" t="s">
        <v>333</v>
      </c>
      <c r="T20" s="249"/>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271"/>
      <c r="E21" s="246"/>
      <c r="F21" s="171" t="str">
        <f>IF(B16&lt;&gt;"Legendary Linemen","ILEGAL",(IF(D21&lt;&gt;"",50000,0)))</f>
        <v>ILEGAL</v>
      </c>
      <c r="G21" s="271"/>
      <c r="H21" s="246"/>
      <c r="I21" s="171" t="str">
        <f>IF(B16&lt;&gt;"Legendary Linemen","ILEGAL",(IF(G21&lt;&gt;"",80000,0)))</f>
        <v>ILEGAL</v>
      </c>
      <c r="J21" s="271"/>
      <c r="K21" s="246"/>
      <c r="L21" s="171" t="str">
        <f>IF(B16&lt;&gt;"Legendary Linemen","ILEGAL",(IF(J21&lt;&gt;"",110000,0)))</f>
        <v>ILEGAL</v>
      </c>
      <c r="M21" s="271"/>
      <c r="N21" s="246"/>
      <c r="O21" s="171" t="str">
        <f>IF(B16&lt;&gt;"Legendary Linemen","ILEGAL",(IF(M21&lt;&gt;"",140000,0)))</f>
        <v>ILEGAL</v>
      </c>
      <c r="P21" s="271"/>
      <c r="Q21" s="246"/>
      <c r="R21" s="171" t="str">
        <f>IF(B16&lt;&gt;"Legendary Linemen","ILEGAL",(IF(P21&lt;&gt;"",170000,0)))</f>
        <v>ILEGAL</v>
      </c>
      <c r="S21" s="171">
        <f t="shared" ref="S21:S25" si="17">SUM(C21,F21,I21,L21,O21,R21)</f>
        <v>0</v>
      </c>
      <c r="T21" s="249"/>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271"/>
      <c r="E22" s="246"/>
      <c r="F22" s="171" t="str">
        <f>IF($B$3&lt;&gt;"Brutal Blockers",(IF($B$3&lt;&gt;"Bona Fide Big Guy","ILEGAL",(IF(D22&lt;&gt;"",70000,0)))),(IF(D22&lt;&gt;"",70000,0)))</f>
        <v>ILEGAL</v>
      </c>
      <c r="G22" s="271"/>
      <c r="H22" s="246"/>
      <c r="I22" s="171" t="str">
        <f>IF($B$3&lt;&gt;"Brutal Blockers",(IF($B$3&lt;&gt;"Bona Fide Big Guy","ILEGAL",(IF(G22&lt;&gt;"",110000,0)))),(IF(G22&lt;&gt;"",110000,0)))</f>
        <v>ILEGAL</v>
      </c>
      <c r="J22" s="271"/>
      <c r="K22" s="246"/>
      <c r="L22" s="171" t="str">
        <f>IF($B$3&lt;&gt;"Brutal Blockers",(IF($B$3&lt;&gt;"Bona Fide Big Guy","ILEGAL",(IF(J22&lt;&gt;"",150000,0)))),(IF(J22&lt;&gt;"",150000,0)))</f>
        <v>ILEGAL</v>
      </c>
      <c r="M22" s="271"/>
      <c r="N22" s="246"/>
      <c r="O22" s="171" t="str">
        <f>IF($B$3&lt;&gt;"Brutal Blockers",(IF($B$3&lt;&gt;"Bona Fide Big Guy","ILEGAL",(IF(M22&lt;&gt;"",190000,0)))),(IF(M22&lt;&gt;"",190000,0)))</f>
        <v>ILEGAL</v>
      </c>
      <c r="P22" s="271"/>
      <c r="Q22" s="246"/>
      <c r="R22" s="171" t="str">
        <f>IF($B$3&lt;&gt;"Brutal Blockers",(IF($B$3&lt;&gt;"Bona Fide Big Guy","ILEGAL",(IF(P22&lt;&gt;"",230000,0)))),(IF(P22&lt;&gt;"",230000,0)))</f>
        <v>ILEGAL</v>
      </c>
      <c r="S22" s="171">
        <f t="shared" si="17"/>
        <v>0</v>
      </c>
      <c r="T22" s="249"/>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271"/>
      <c r="E23" s="246"/>
      <c r="F23" s="171">
        <f>IF($B$3&lt;&gt;"Stunty Superstar",(IF($B$3&lt;&gt;"Reliable Ringers","ILEGAL",(IF(D23&lt;&gt;"",70000,0)))),(IF(D23&lt;&gt;"",30000,0)))</f>
        <v>0</v>
      </c>
      <c r="G23" s="271"/>
      <c r="H23" s="246"/>
      <c r="I23" s="171">
        <f>IF($B$3&lt;&gt;"Stunty Superstar",(IF($B$3&lt;&gt;"Reliable Ringers","ILEGAL",(IF(G23&lt;&gt;"",110000,0)))),(IF(G23&lt;&gt;"",50000,0)))</f>
        <v>0</v>
      </c>
      <c r="J23" s="271"/>
      <c r="K23" s="246"/>
      <c r="L23" s="171">
        <f>IF($B$3&lt;&gt;"Stunty Superstar",(IF($B$3&lt;&gt;"Reliable Ringers","ILEGAL",(IF(J23&lt;&gt;"",150000,0)))),(IF(J23&lt;&gt;"",70000,0)))</f>
        <v>0</v>
      </c>
      <c r="M23" s="271"/>
      <c r="N23" s="246"/>
      <c r="O23" s="171">
        <f>IF($B$3&lt;&gt;"Stunty Superstar",(IF($B$3&lt;&gt;"Reliable Ringers","ILEGAL",(IF(M23&lt;&gt;"",190000,0)))),(IF(M23&lt;&gt;"",90000,0)))</f>
        <v>0</v>
      </c>
      <c r="P23" s="271"/>
      <c r="Q23" s="246"/>
      <c r="R23" s="171">
        <f>IF($B$3&lt;&gt;"Stunty Superstar",(IF($B$3&lt;&gt;"Reliable Ringers","ILEGAL",(IF(P23&lt;&gt;"",230000,0)))),(IF(P23&lt;&gt;"",110000,0)))</f>
        <v>0</v>
      </c>
      <c r="S23" s="171">
        <f t="shared" si="17"/>
        <v>0</v>
      </c>
      <c r="T23" s="249"/>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271"/>
      <c r="E24" s="246"/>
      <c r="F24" s="171" t="s">
        <v>338</v>
      </c>
      <c r="G24" s="271"/>
      <c r="H24" s="246"/>
      <c r="I24" s="171" t="s">
        <v>338</v>
      </c>
      <c r="J24" s="271"/>
      <c r="K24" s="246"/>
      <c r="L24" s="171" t="s">
        <v>338</v>
      </c>
      <c r="M24" s="271"/>
      <c r="N24" s="246"/>
      <c r="O24" s="171" t="s">
        <v>338</v>
      </c>
      <c r="P24" s="271"/>
      <c r="Q24" s="246"/>
      <c r="R24" s="171" t="s">
        <v>338</v>
      </c>
      <c r="S24" s="171">
        <f t="shared" si="17"/>
        <v>0</v>
      </c>
      <c r="T24" s="249"/>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271"/>
      <c r="E25" s="246"/>
      <c r="F25" s="171" t="str">
        <f>IF(OR($B$3="Stunty Superstar",$B$3="Brutal Blockers",$B$3="Bona Fide Big Guy",$B$3="Mercenaries"),"ILEGAL",(IF(D25&lt;&gt;"",(IF($B$3="Legendary Linemen",70000,(IF(D25="Big Hand",30000,(IF(D25="Extra Arms",20000,(IF(D25="Two Heads",30000,(IF(D25="Very Long Legs",30000,"ILEGAL")))))))))),0)))</f>
        <v>ILEGAL</v>
      </c>
      <c r="G25" s="271"/>
      <c r="H25" s="246"/>
      <c r="I25" s="171" t="str">
        <f>IF(OR($B$3="Stunty Superstar",$B$3="Brutal Blockers",$B$3="Bona Fide Big Guy",$B$3="Mercenaries"),"ILEGAL",(IF(G25&lt;&gt;"",(IF($B$3="Legendary Linemen",110000,(IF(G25="Big Hand",30000,(IF(G25="Extra Arms",20000,(IF(G25="Two Heads",30000,(IF(G25="Very Long Legs",30000,0)))))))))),0)))</f>
        <v>ILEGAL</v>
      </c>
      <c r="J25" s="271"/>
      <c r="K25" s="246"/>
      <c r="L25" s="171" t="str">
        <f>IF(OR($B$3="Stunty Superstar",$B$3="Brutal Blockers",$B$3="Bona Fide Big Guy",$B$3="Mercenaries"),"ILEGAL",(IF(J25&lt;&gt;"",(IF($B$3="Legendary Linemen",150000,(IF(J25="Big Hand",30000,(IF(J25="Extra Arms",20000,(IF(J25="Two Heads",30000,(IF(J25="Very Long Legs",30000,0)))))))))),0)))</f>
        <v>ILEGAL</v>
      </c>
      <c r="M25" s="271"/>
      <c r="N25" s="246"/>
      <c r="O25" s="171" t="str">
        <f>IF(B16&lt;&gt;"Legendary Linemen","ILEGAL",(IF(M25&lt;&gt;"",190000,0)))</f>
        <v>ILEGAL</v>
      </c>
      <c r="P25" s="271"/>
      <c r="Q25" s="246"/>
      <c r="R25" s="171" t="str">
        <f>IF(B16&lt;&gt;"Legendary Linemen","ILEGAL",(IF(P25&lt;&gt;"",230000,0)))</f>
        <v>ILEGAL</v>
      </c>
      <c r="S25" s="171">
        <f t="shared" si="17"/>
        <v>0</v>
      </c>
      <c r="T25" s="249"/>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49"/>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306" t="str">
        <f>IF(Roster!$J$25="Italiano","MERCENARIO 3",(IF(Roster!$J$25="Español","MERCENARIO 3",(IF(Roster!$J$25="Français","MERCENAIRE 3","MERCENARY 3")))))</f>
        <v>MERCENARIO 3</v>
      </c>
      <c r="B27" s="242"/>
      <c r="C27" s="242"/>
      <c r="D27" s="242"/>
      <c r="E27" s="242"/>
      <c r="F27" s="242"/>
      <c r="G27" s="242"/>
      <c r="H27" s="242"/>
      <c r="I27" s="242"/>
      <c r="J27" s="242"/>
      <c r="K27" s="242"/>
      <c r="L27" s="242"/>
      <c r="M27" s="242"/>
      <c r="N27" s="242"/>
      <c r="O27" s="242"/>
      <c r="P27" s="242"/>
      <c r="Q27" s="242"/>
      <c r="R27" s="242"/>
      <c r="S27" s="243"/>
      <c r="T27" s="249"/>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77" t="str">
        <f>IF(Roster!$J$25="Italiano","ABILITÀ",(IF(Roster!$J$25="Español","HABILIDADES",(IF(Roster!$J$25="Deutsch","FERTIGKEITEN",(IF(Roster!$J$25="Français","COMPÉTENCES","SKILLS")))))))</f>
        <v>ABILITÀ</v>
      </c>
      <c r="I28" s="245"/>
      <c r="J28" s="245"/>
      <c r="K28" s="245"/>
      <c r="L28" s="245"/>
      <c r="M28" s="245"/>
      <c r="N28" s="245"/>
      <c r="O28" s="245"/>
      <c r="P28" s="245"/>
      <c r="Q28" s="245"/>
      <c r="R28" s="246"/>
      <c r="S28" s="8" t="str">
        <f>IF(Roster!$J$25="Italiano","COSTO",(IF(Roster!$J$25="Español","PRECIO",(IF(Roster!$J$25="Deutsch","WERT",(IF(Roster!$J$25="Français","VALEUR","COST")))))))</f>
        <v>COSTO</v>
      </c>
      <c r="T28" s="249"/>
      <c r="U28" s="45"/>
      <c r="V28" s="158" t="s">
        <v>322</v>
      </c>
      <c r="W28" s="159" t="s">
        <v>234</v>
      </c>
      <c r="X28" s="160"/>
      <c r="Y28" s="158" t="s">
        <v>323</v>
      </c>
      <c r="Z28" s="161"/>
      <c r="AA28" s="161"/>
      <c r="AB28" s="159"/>
      <c r="AC28" s="160"/>
      <c r="AD28" s="160"/>
      <c r="AE28" s="160"/>
      <c r="AF28" s="158" t="s">
        <v>324</v>
      </c>
      <c r="AG28" s="161"/>
      <c r="AH28" s="161"/>
      <c r="AI28" s="159"/>
      <c r="AJ28" s="45"/>
      <c r="AK28" s="352" t="s">
        <v>325</v>
      </c>
      <c r="AL28" s="286"/>
      <c r="AM28" s="286"/>
      <c r="AN28" s="286"/>
      <c r="AO28" s="287"/>
      <c r="AP28" s="352" t="s">
        <v>326</v>
      </c>
      <c r="AQ28" s="286"/>
      <c r="AR28" s="286"/>
      <c r="AS28" s="286"/>
      <c r="AT28" s="287"/>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7" t="str">
        <f>Y29&amp;(IF(Z29&lt;&gt;"",", ",""))&amp;Z29&amp;(IF(AA29&lt;&gt;"",", ",""))&amp;AA29&amp;(IF(AB29&lt;&gt;"",", ",""))&amp;AB29&amp;(IF(AF29&lt;&gt;"",", ",""))&amp;AF29&amp;(IF(AG29&lt;&gt;"",", ",""))&amp;AG29&amp;(IF(AH29&lt;&gt;"",", ",""))&amp;AH29&amp;(IF(AI29&lt;&gt;"",", ",""))&amp;AI29&amp;AK34</f>
        <v>Loner (4+)</v>
      </c>
      <c r="I29" s="245"/>
      <c r="J29" s="245"/>
      <c r="K29" s="245"/>
      <c r="L29" s="245"/>
      <c r="M29" s="245"/>
      <c r="N29" s="245"/>
      <c r="O29" s="245"/>
      <c r="P29" s="245"/>
      <c r="Q29" s="245"/>
      <c r="R29" s="246"/>
      <c r="S29" s="53">
        <f>(VLOOKUP(B29,Y31:AI36,11,FALSE))+W38</f>
        <v>70000</v>
      </c>
      <c r="T29" s="249"/>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3" t="str">
        <f>IF(BC8="Italiano","AVANZAMIENTO GIOCATORI",(IF(BC8="Español","MEJORAS DEL JUGADORE",(IF(BC8="Deutsch","SPIELERVERBESSERUNGEN",(IF(BC8="Français","AMÉLIORATIONS DE JOUEUR","PLAYER UPGRADES")))))))</f>
        <v>PLAYER UPGRADES</v>
      </c>
      <c r="B30" s="245"/>
      <c r="C30" s="245"/>
      <c r="D30" s="245"/>
      <c r="E30" s="245"/>
      <c r="F30" s="245"/>
      <c r="G30" s="245"/>
      <c r="H30" s="245"/>
      <c r="I30" s="245"/>
      <c r="J30" s="245"/>
      <c r="K30" s="245"/>
      <c r="L30" s="245"/>
      <c r="M30" s="245"/>
      <c r="N30" s="245"/>
      <c r="O30" s="245"/>
      <c r="P30" s="245"/>
      <c r="Q30" s="245"/>
      <c r="R30" s="245"/>
      <c r="S30" s="265"/>
      <c r="T30" s="249"/>
      <c r="U30" s="45"/>
      <c r="V30" s="162" t="str">
        <f t="shared" ref="V30:W30" si="23">IF($B$29="Stunty Superstar",C43,(IF($B$29="Legendary Linemen",F43,(IF($B$29="Brutal Blockers",I43,(IF($B$29="Reliable Ringers",L43,(IF($B$29="Bona Fide Big Guy",O43,"")))))))))</f>
        <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77" t="s">
        <v>328</v>
      </c>
      <c r="B31" s="245"/>
      <c r="C31" s="245"/>
      <c r="D31" s="245"/>
      <c r="E31" s="245"/>
      <c r="F31" s="245"/>
      <c r="G31" s="245"/>
      <c r="H31" s="246"/>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9"/>
      <c r="U31" s="181"/>
      <c r="V31" s="162" t="str">
        <f t="shared" ref="V31:W31" si="24">IF($B$29="Stunty Superstar",C44,(IF($B$29="Legendary Linemen",F44,(IF($B$29="Brutal Blockers",I44,(IF($B$29="Reliable Ringers",L44,(IF($B$29="Bona Fide Big Guy",O44,"")))))))))</f>
        <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7"/>
      <c r="B32" s="245"/>
      <c r="C32" s="245"/>
      <c r="D32" s="245"/>
      <c r="E32" s="245"/>
      <c r="F32" s="245"/>
      <c r="G32" s="245"/>
      <c r="H32" s="246"/>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49"/>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TIPO</v>
      </c>
      <c r="B33" s="173" t="str">
        <f>IF($J$40="Italiano","AVANZAMENTO 1",(IF($J$40="Español","MEJORA 1",(IF($J$40="Deutsch","VERBES-SERUNG 1",(IF($J$40="Français","AMÉLIORATION 1","UPGRADE 1")))))))</f>
        <v>UPGRADE 1</v>
      </c>
      <c r="C33" s="174" t="str">
        <f>IF(Roster!$J$25="Italiano","COSTO",(IF(Roster!$J$25="Español","PRECIO",(IF(Roster!$J$25="Deutsch","WERT",(IF(Roster!$J$25="Français","VALEUR","COST")))))))</f>
        <v>COSTO</v>
      </c>
      <c r="D33" s="293" t="str">
        <f>IF($J$40="Italiano","AVANZAMENTO 2",(IF($J$40="Español","MEJORA 2",(IF($J$40="Deutsch","VERBES-SERUNG 2",(IF($J$40="Français","AMÉLIORATION 2","UPGRADE 2")))))))</f>
        <v>UPGRADE 2</v>
      </c>
      <c r="E33" s="246"/>
      <c r="F33" s="174" t="str">
        <f>IF(Roster!$J$25="Italiano","COSTO",(IF(Roster!$J$25="Español","PRECIO",(IF(Roster!$J$25="Deutsch","WERT",(IF(Roster!$J$25="Français","VALEUR","COST")))))))</f>
        <v>COSTO</v>
      </c>
      <c r="G33" s="293" t="str">
        <f>IF($J$40="Italiano","AVANZAMENTO 3",(IF($J$40="Español","MEJORA 3",(IF($J$40="Deutsch","VERBES-SERUNG 3",(IF($J$40="Français","AMÉLIORATION 3","UPGRADE 3")))))))</f>
        <v>UPGRADE 3</v>
      </c>
      <c r="H33" s="246"/>
      <c r="I33" s="8" t="str">
        <f>IF(Roster!$J$25="Italiano","COSTO",(IF(Roster!$J$25="Español","PRECIO",(IF(Roster!$J$25="Deutsch","WERT",(IF(Roster!$J$25="Français","VALEUR","COST")))))))</f>
        <v>COSTO</v>
      </c>
      <c r="J33" s="293" t="str">
        <f>IF($J$40="Italiano","AVANZAMENTO 4",(IF($J$40="Español","MEJORA 4",(IF($J$40="Deutsch","VERBES-SERUNG 4",(IF($J$40="Français","AMÉLIORATION 4","UPGRADE 4")))))))</f>
        <v>UPGRADE 4</v>
      </c>
      <c r="K33" s="246"/>
      <c r="L33" s="8" t="str">
        <f>IF(Roster!$J$25="Italiano","COSTO",(IF(Roster!$J$25="Español","PRECIO",(IF(Roster!$J$25="Deutsch","WERT",(IF(Roster!$J$25="Français","VALEUR","COST")))))))</f>
        <v>COSTO</v>
      </c>
      <c r="M33" s="293" t="str">
        <f>IF($J$40="Italiano","AVANZAMENTO 5",(IF($J$40="Español","MEJORA 5",(IF($J$40="Deutsch","VERBES-SERUNG 5",(IF($J$40="Français","AMÉLIORATION 5","UPGRADE 5")))))))</f>
        <v>UPGRADE 5</v>
      </c>
      <c r="N33" s="246"/>
      <c r="O33" s="8" t="str">
        <f>IF(Roster!$J$25="Italiano","COSTO",(IF(Roster!$J$25="Español","PRECIO",(IF(Roster!$J$25="Deutsch","WERT",(IF(Roster!$J$25="Français","VALEUR","COST")))))))</f>
        <v>COSTO</v>
      </c>
      <c r="P33" s="293" t="str">
        <f>IF($J$40="Italiano","AVANZAMENTO 6",(IF($J$40="Español","MEJORA 6",(IF($J$40="Deutsch","VERBES-SERUNG 6",(IF($J$40="Français","AMÉLIORATION 6","UPGRADE 6")))))))</f>
        <v>UPGRADE 6</v>
      </c>
      <c r="Q33" s="246"/>
      <c r="R33" s="8" t="str">
        <f>IF(Roster!$J$25="Italiano","COSTO",(IF(Roster!$J$25="Español","PRECIO",(IF(Roster!$J$25="Deutsch","WERT",(IF(Roster!$J$25="Français","VALEUR","COST")))))))</f>
        <v>COSTO</v>
      </c>
      <c r="S33" s="8" t="s">
        <v>333</v>
      </c>
      <c r="T33" s="249"/>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271"/>
      <c r="E34" s="246"/>
      <c r="F34" s="171" t="str">
        <f>IF(B29&lt;&gt;"Legendary Linemen","ILEGAL",(IF(D34&lt;&gt;"",50000,0)))</f>
        <v>ILEGAL</v>
      </c>
      <c r="G34" s="271"/>
      <c r="H34" s="246"/>
      <c r="I34" s="171" t="str">
        <f>IF(B29&lt;&gt;"Legendary Linemen","ILEGAL",(IF(G34&lt;&gt;"",80000,0)))</f>
        <v>ILEGAL</v>
      </c>
      <c r="J34" s="271"/>
      <c r="K34" s="246"/>
      <c r="L34" s="171" t="str">
        <f>IF(B29&lt;&gt;"Legendary Linemen","ILEGAL",(IF(J34&lt;&gt;"",110000,0)))</f>
        <v>ILEGAL</v>
      </c>
      <c r="M34" s="271"/>
      <c r="N34" s="246"/>
      <c r="O34" s="171" t="str">
        <f>IF(B29&lt;&gt;"Legendary Linemen","ILEGAL",(IF(M34&lt;&gt;"",140000,0)))</f>
        <v>ILEGAL</v>
      </c>
      <c r="P34" s="271"/>
      <c r="Q34" s="246"/>
      <c r="R34" s="171" t="str">
        <f>IF(B29&lt;&gt;"Legendary Linemen","ILEGAL",(IF(P34&lt;&gt;"",170000,0)))</f>
        <v>ILEGAL</v>
      </c>
      <c r="S34" s="171">
        <f t="shared" ref="S34:S38" si="29">SUM(C34,F34,I34,L34,O34,R34)</f>
        <v>0</v>
      </c>
      <c r="T34" s="249"/>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271"/>
      <c r="E35" s="246"/>
      <c r="F35" s="171" t="str">
        <f>IF($B$3&lt;&gt;"Brutal Blockers",(IF($B$3&lt;&gt;"Bona Fide Big Guy","ILEGAL",(IF(D35&lt;&gt;"",70000,0)))),(IF(D35&lt;&gt;"",70000,0)))</f>
        <v>ILEGAL</v>
      </c>
      <c r="G35" s="271"/>
      <c r="H35" s="246"/>
      <c r="I35" s="171" t="str">
        <f>IF($B$3&lt;&gt;"Brutal Blockers",(IF($B$3&lt;&gt;"Bona Fide Big Guy","ILEGAL",(IF(G35&lt;&gt;"",110000,0)))),(IF(G35&lt;&gt;"",110000,0)))</f>
        <v>ILEGAL</v>
      </c>
      <c r="J35" s="271"/>
      <c r="K35" s="246"/>
      <c r="L35" s="171" t="str">
        <f>IF($B$3&lt;&gt;"Brutal Blockers",(IF($B$3&lt;&gt;"Bona Fide Big Guy","ILEGAL",(IF(J35&lt;&gt;"",150000,0)))),(IF(J35&lt;&gt;"",150000,0)))</f>
        <v>ILEGAL</v>
      </c>
      <c r="M35" s="271"/>
      <c r="N35" s="246"/>
      <c r="O35" s="171" t="str">
        <f>IF($B$3&lt;&gt;"Brutal Blockers",(IF($B$3&lt;&gt;"Bona Fide Big Guy","ILEGAL",(IF(M35&lt;&gt;"",190000,0)))),(IF(M35&lt;&gt;"",190000,0)))</f>
        <v>ILEGAL</v>
      </c>
      <c r="P35" s="271"/>
      <c r="Q35" s="246"/>
      <c r="R35" s="171" t="str">
        <f>IF($B$3&lt;&gt;"Brutal Blockers",(IF($B$3&lt;&gt;"Bona Fide Big Guy","ILEGAL",(IF(P35&lt;&gt;"",230000,0)))),(IF(P35&lt;&gt;"",230000,0)))</f>
        <v>ILEGAL</v>
      </c>
      <c r="S35" s="171">
        <f t="shared" si="29"/>
        <v>0</v>
      </c>
      <c r="T35" s="249"/>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271"/>
      <c r="E36" s="246"/>
      <c r="F36" s="171">
        <f>IF($B$3&lt;&gt;"Stunty Superstar",(IF($B$3&lt;&gt;"Reliable Ringers","ILEGAL",(IF(D36&lt;&gt;"",70000,0)))),(IF(D36&lt;&gt;"",30000,0)))</f>
        <v>0</v>
      </c>
      <c r="G36" s="271"/>
      <c r="H36" s="246"/>
      <c r="I36" s="171">
        <f>IF($B$3&lt;&gt;"Stunty Superstar",(IF($B$3&lt;&gt;"Reliable Ringers","ILEGAL",(IF(G36&lt;&gt;"",110000,0)))),(IF(G36&lt;&gt;"",50000,0)))</f>
        <v>0</v>
      </c>
      <c r="J36" s="271"/>
      <c r="K36" s="246"/>
      <c r="L36" s="171">
        <f>IF($B$3&lt;&gt;"Stunty Superstar",(IF($B$3&lt;&gt;"Reliable Ringers","ILEGAL",(IF(J36&lt;&gt;"",150000,0)))),(IF(J36&lt;&gt;"",70000,0)))</f>
        <v>0</v>
      </c>
      <c r="M36" s="271"/>
      <c r="N36" s="246"/>
      <c r="O36" s="171">
        <f>IF($B$3&lt;&gt;"Stunty Superstar",(IF($B$3&lt;&gt;"Reliable Ringers","ILEGAL",(IF(M36&lt;&gt;"",190000,0)))),(IF(M36&lt;&gt;"",90000,0)))</f>
        <v>0</v>
      </c>
      <c r="P36" s="271"/>
      <c r="Q36" s="246"/>
      <c r="R36" s="171">
        <f>IF($B$3&lt;&gt;"Stunty Superstar",(IF($B$3&lt;&gt;"Reliable Ringers","ILEGAL",(IF(P36&lt;&gt;"",230000,0)))),(IF(P36&lt;&gt;"",110000,0)))</f>
        <v>0</v>
      </c>
      <c r="S36" s="171">
        <f t="shared" si="29"/>
        <v>0</v>
      </c>
      <c r="T36" s="249"/>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271"/>
      <c r="E37" s="246"/>
      <c r="F37" s="171" t="s">
        <v>338</v>
      </c>
      <c r="G37" s="271"/>
      <c r="H37" s="246"/>
      <c r="I37" s="171" t="s">
        <v>338</v>
      </c>
      <c r="J37" s="271"/>
      <c r="K37" s="246"/>
      <c r="L37" s="171" t="s">
        <v>338</v>
      </c>
      <c r="M37" s="271"/>
      <c r="N37" s="246"/>
      <c r="O37" s="171" t="s">
        <v>338</v>
      </c>
      <c r="P37" s="271"/>
      <c r="Q37" s="246"/>
      <c r="R37" s="171" t="s">
        <v>338</v>
      </c>
      <c r="S37" s="171">
        <f t="shared" si="29"/>
        <v>0</v>
      </c>
      <c r="T37" s="249"/>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271"/>
      <c r="E38" s="246"/>
      <c r="F38" s="171" t="str">
        <f>IF(OR($B$3="Stunty Superstar",$B$3="Brutal Blockers",$B$3="Bona Fide Big Guy",$B$3="Mercenaries"),"ILEGAL",(IF(D38&lt;&gt;"",(IF($B$3="Legendary Linemen",70000,(IF(D38="Big Hand",30000,(IF(D38="Extra Arms",20000,(IF(D38="Two Heads",30000,(IF(D38="Very Long Legs",30000,"ILEGAL")))))))))),0)))</f>
        <v>ILEGAL</v>
      </c>
      <c r="G38" s="271"/>
      <c r="H38" s="246"/>
      <c r="I38" s="171" t="str">
        <f>IF(OR($B$3="Stunty Superstar",$B$3="Brutal Blockers",$B$3="Bona Fide Big Guy",$B$3="Mercenaries"),"ILEGAL",(IF(G38&lt;&gt;"",(IF($B$3="Legendary Linemen",110000,(IF(G38="Big Hand",30000,(IF(G38="Extra Arms",20000,(IF(G38="Two Heads",30000,(IF(G38="Very Long Legs",30000,0)))))))))),0)))</f>
        <v>ILEGAL</v>
      </c>
      <c r="J38" s="271"/>
      <c r="K38" s="246"/>
      <c r="L38" s="171" t="str">
        <f>IF(OR($B$3="Stunty Superstar",$B$3="Brutal Blockers",$B$3="Bona Fide Big Guy",$B$3="Mercenaries"),"ILEGAL",(IF(J38&lt;&gt;"",(IF($B$3="Legendary Linemen",150000,(IF(J38="Big Hand",30000,(IF(J38="Extra Arms",20000,(IF(J38="Two Heads",30000,(IF(J38="Very Long Legs",30000,0)))))))))),0)))</f>
        <v>ILEGAL</v>
      </c>
      <c r="M38" s="271"/>
      <c r="N38" s="246"/>
      <c r="O38" s="171" t="str">
        <f>IF(B29&lt;&gt;"Legendary Linemen","ILEGAL",(IF(M38&lt;&gt;"",190000,0)))</f>
        <v>ILEGAL</v>
      </c>
      <c r="P38" s="271"/>
      <c r="Q38" s="246"/>
      <c r="R38" s="171" t="str">
        <f>IF(B29&lt;&gt;"Legendary Linemen","ILEGAL",(IF(P38&lt;&gt;"",230000,0)))</f>
        <v>ILEGAL</v>
      </c>
      <c r="S38" s="171">
        <f t="shared" si="29"/>
        <v>0</v>
      </c>
      <c r="T38" s="250"/>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51"/>
      <c r="B39" s="253"/>
      <c r="C39" s="253"/>
      <c r="D39" s="253"/>
      <c r="E39" s="253"/>
      <c r="F39" s="253"/>
      <c r="G39" s="253"/>
      <c r="H39" s="253"/>
      <c r="I39" s="253"/>
      <c r="J39" s="253"/>
      <c r="K39" s="253"/>
      <c r="L39" s="253"/>
      <c r="M39" s="253"/>
      <c r="N39" s="253"/>
      <c r="O39" s="253"/>
      <c r="P39" s="253"/>
      <c r="Q39" s="253"/>
      <c r="R39" s="253"/>
      <c r="S39" s="253"/>
      <c r="T39" s="254"/>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0" t="s">
        <v>339</v>
      </c>
      <c r="D41" s="287"/>
      <c r="E41" s="2"/>
      <c r="F41" s="350" t="s">
        <v>340</v>
      </c>
      <c r="G41" s="287"/>
      <c r="H41" s="2"/>
      <c r="I41" s="350" t="s">
        <v>341</v>
      </c>
      <c r="J41" s="287"/>
      <c r="K41" s="2"/>
      <c r="L41" s="350" t="s">
        <v>342</v>
      </c>
      <c r="M41" s="287"/>
      <c r="N41" s="2"/>
      <c r="O41" s="350" t="s">
        <v>343</v>
      </c>
      <c r="P41" s="287"/>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Dirty Player (+1), Sneaky Git, Loner (5+)</v>
      </c>
      <c r="D43" s="163">
        <v>50000</v>
      </c>
      <c r="E43" s="45"/>
      <c r="F43" s="162" t="s">
        <v>344</v>
      </c>
      <c r="G43" s="163">
        <v>70000</v>
      </c>
      <c r="H43" s="45"/>
      <c r="I43" s="162" t="str">
        <f>IF(Roster!BU2&lt;&gt;"Favouredof",(IF(Roster!BU2&lt;&gt;"ElvenKingdomsLeague",(IF(Roster!BU2&lt;&gt;"SylvanianSpotlight",(IF(Roster!BU2&lt;&gt;"UnderworldChallenge","Dirty Player (+1), Sneaky Git, Loner (5+)","")),"")),"")),"")</f>
        <v>Dirty Player (+1), Sneaky Git, Loner (5+)</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163">
        <v>80000</v>
      </c>
      <c r="E44" s="65"/>
      <c r="F44" s="162" t="str">
        <f>IF(Roster!BU2&lt;&gt;"LustrianSuperleague",(IF(Roster!BU2&lt;&gt;"ElvenKingdomsLeague","Dirty Player (+2), Sneaky Git, Loner (5+)","")),"")</f>
        <v>Dirty Player (+2), Sneaky Git, Loner (5+)</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3">
        <v>20000</v>
      </c>
      <c r="N44" s="65"/>
      <c r="O44" s="162" t="str">
        <f>IF(Roster!BU2&lt;&gt;"LustrianSuperleague",(IF(Roster!BU2&lt;&gt;"ElvenKingdomsLeague",(IF(Roster!BU2&lt;&gt;"SylvanianSpotlight","Frenzy, Unchannelled Fury, Horns, -Throw Team Mate, -Bone Head","")),"")),"")</f>
        <v>Frenzy, Unchannelled Fury, Horns, -Throw Team Mate, -Bone Head</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Bombardier, Secret Weapon</v>
      </c>
      <c r="D45" s="163">
        <v>40000</v>
      </c>
      <c r="E45" s="45"/>
      <c r="F45" s="162" t="str">
        <f>IF(Roster!BU2&lt;&gt;"LustrianSuperleague",(IF(Roster!BU2&lt;&gt;"ElvenKingdomsLeague","Bombardier, Secret Weapon","")),"")</f>
        <v>Bombardier, Secret Weapon</v>
      </c>
      <c r="G45" s="163">
        <v>40000</v>
      </c>
      <c r="H45" s="45"/>
      <c r="I45" s="162" t="str">
        <f>IF(Roster!BU2&lt;&gt;"ElvenKingdomsLeague",(IF(Roster!BU2&lt;&gt;"UnderworldChallenge","Mighty Blow (+2), Loner (5+)","")),"")</f>
        <v>Mighty Blow (+2), Loner (5+)</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Stab, Secret Weapon</v>
      </c>
      <c r="D46" s="163">
        <v>20000</v>
      </c>
      <c r="E46" s="45"/>
      <c r="F46" s="162" t="str">
        <f>IF(Roster!BU2&lt;&gt;"Favouredof","Stab, Secret Weapon","")</f>
        <v>Stab, Secret Weapon</v>
      </c>
      <c r="G46" s="163">
        <v>20000</v>
      </c>
      <c r="H46" s="45"/>
      <c r="I46" s="162" t="str">
        <f>IF(Roster!BU2&lt;&gt;"ElvenKingdomsLeague",(IF(Roster!BU2&lt;&gt;"Favouredof","Stab, Secret Weapon","")),"")</f>
        <v>Stab, Secret Weapon</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Chainsaw, No Hands, Secret Weapon</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Pogo Stick</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8"/>
      <c r="C2" s="183"/>
      <c r="D2" s="183"/>
      <c r="E2" s="183"/>
      <c r="F2" s="183"/>
      <c r="G2" s="183"/>
      <c r="H2" s="183"/>
      <c r="I2" s="183"/>
      <c r="J2" s="183"/>
      <c r="K2" s="183"/>
      <c r="L2" s="183"/>
      <c r="M2" s="183"/>
      <c r="N2" s="183"/>
      <c r="O2" s="183"/>
      <c r="P2" s="2"/>
      <c r="Q2" s="371" t="str">
        <f>IF(Roster!$A$2=0,"","#"&amp;Roster!$A$2)</f>
        <v>#1</v>
      </c>
      <c r="R2" s="183"/>
      <c r="S2" s="183"/>
      <c r="T2" s="183"/>
      <c r="U2" s="183"/>
      <c r="V2" s="183"/>
      <c r="W2" s="183"/>
      <c r="X2" s="183"/>
      <c r="Y2" s="183"/>
      <c r="Z2" s="183"/>
      <c r="AA2" s="183"/>
      <c r="AB2" s="183"/>
      <c r="AC2" s="183"/>
      <c r="AD2" s="183"/>
      <c r="AE2" s="2"/>
      <c r="AF2" s="371" t="str">
        <f>IF(Roster!$A$3=0,"","#"&amp;Roster!$A$3)</f>
        <v>#2</v>
      </c>
      <c r="AG2" s="183"/>
      <c r="AH2" s="183"/>
      <c r="AI2" s="183"/>
      <c r="AJ2" s="183"/>
      <c r="AK2" s="183"/>
      <c r="AL2" s="183"/>
      <c r="AM2" s="183"/>
      <c r="AN2" s="183"/>
      <c r="AO2" s="183"/>
      <c r="AP2" s="183"/>
      <c r="AQ2" s="183"/>
      <c r="AR2" s="183"/>
      <c r="AS2" s="183"/>
      <c r="AT2" s="2"/>
      <c r="AU2" s="371" t="str">
        <f>IF(Roster!$A$4=0,"","#"&amp;Roster!$A$4)</f>
        <v>#3</v>
      </c>
      <c r="AV2" s="183"/>
      <c r="AW2" s="183"/>
      <c r="AX2" s="183"/>
      <c r="AY2" s="183"/>
      <c r="AZ2" s="183"/>
      <c r="BA2" s="183"/>
      <c r="BB2" s="183"/>
      <c r="BC2" s="183"/>
      <c r="BD2" s="183"/>
      <c r="BE2" s="183"/>
      <c r="BF2" s="183"/>
      <c r="BG2" s="183"/>
      <c r="BH2" s="183"/>
    </row>
    <row r="3" spans="1:60" ht="15" customHeight="1">
      <c r="A3" s="2"/>
      <c r="B3" s="249"/>
      <c r="C3" s="356" t="str">
        <f>IF(Roster!$J$24=0,Roster!$C$24,Roster!$J$24)</f>
        <v>ZPAKKA TUTT' I COZ</v>
      </c>
      <c r="D3" s="253"/>
      <c r="E3" s="253"/>
      <c r="F3" s="253"/>
      <c r="G3" s="253"/>
      <c r="H3" s="253"/>
      <c r="I3" s="253"/>
      <c r="J3" s="253"/>
      <c r="K3" s="253"/>
      <c r="L3" s="253"/>
      <c r="M3" s="253"/>
      <c r="N3" s="254"/>
      <c r="O3" s="183"/>
      <c r="P3" s="2"/>
      <c r="Q3" s="249"/>
      <c r="R3" s="356" t="str">
        <f>IF(Roster!$B$2=0,"",Roster!$B$2)</f>
        <v>Sniper</v>
      </c>
      <c r="S3" s="253"/>
      <c r="T3" s="253"/>
      <c r="U3" s="253"/>
      <c r="V3" s="253"/>
      <c r="W3" s="253"/>
      <c r="X3" s="253"/>
      <c r="Y3" s="253"/>
      <c r="Z3" s="253"/>
      <c r="AA3" s="253"/>
      <c r="AB3" s="253"/>
      <c r="AC3" s="254"/>
      <c r="AD3" s="183"/>
      <c r="AE3" s="2"/>
      <c r="AF3" s="249"/>
      <c r="AG3" s="356" t="str">
        <f>IF(Roster!$B$3=0,"",Roster!$B$3)</f>
        <v>Speedy</v>
      </c>
      <c r="AH3" s="253"/>
      <c r="AI3" s="253"/>
      <c r="AJ3" s="253"/>
      <c r="AK3" s="253"/>
      <c r="AL3" s="253"/>
      <c r="AM3" s="253"/>
      <c r="AN3" s="253"/>
      <c r="AO3" s="253"/>
      <c r="AP3" s="253"/>
      <c r="AQ3" s="253"/>
      <c r="AR3" s="254"/>
      <c r="AS3" s="183"/>
      <c r="AT3" s="2"/>
      <c r="AU3" s="249"/>
      <c r="AV3" s="356" t="str">
        <f>IF(Roster!$B$4=0,"",Roster!$B$4)</f>
        <v>Burst</v>
      </c>
      <c r="AW3" s="253"/>
      <c r="AX3" s="253"/>
      <c r="AY3" s="253"/>
      <c r="AZ3" s="253"/>
      <c r="BA3" s="253"/>
      <c r="BB3" s="253"/>
      <c r="BC3" s="253"/>
      <c r="BD3" s="253"/>
      <c r="BE3" s="253"/>
      <c r="BF3" s="253"/>
      <c r="BG3" s="254"/>
      <c r="BH3" s="183"/>
    </row>
    <row r="4" spans="1:60" ht="11.25" customHeight="1">
      <c r="A4" s="2"/>
      <c r="B4" s="249"/>
      <c r="C4" s="372" t="str">
        <f>IF(Roster!$J$21="SPONSORS",Roster!$J$23,Roster!$J$23&amp;"; Sponsor: "&amp;Roster!$J$21)</f>
        <v xml:space="preserve">Orc; Sponsor: </v>
      </c>
      <c r="D4" s="253"/>
      <c r="E4" s="253"/>
      <c r="F4" s="253"/>
      <c r="G4" s="253"/>
      <c r="H4" s="253"/>
      <c r="I4" s="253"/>
      <c r="J4" s="253"/>
      <c r="K4" s="253"/>
      <c r="L4" s="253"/>
      <c r="M4" s="253"/>
      <c r="N4" s="254"/>
      <c r="O4" s="184"/>
      <c r="P4" s="2"/>
      <c r="Q4" s="250"/>
      <c r="R4" s="372" t="str">
        <f>IF(Roster!$C$2=0,"",Roster!$C$2)</f>
        <v>Thrower</v>
      </c>
      <c r="S4" s="253"/>
      <c r="T4" s="253"/>
      <c r="U4" s="253"/>
      <c r="V4" s="253"/>
      <c r="W4" s="253"/>
      <c r="X4" s="253"/>
      <c r="Y4" s="253"/>
      <c r="Z4" s="253"/>
      <c r="AA4" s="253"/>
      <c r="AB4" s="253"/>
      <c r="AC4" s="254"/>
      <c r="AD4" s="184"/>
      <c r="AE4" s="2"/>
      <c r="AF4" s="250"/>
      <c r="AG4" s="372" t="str">
        <f>IF(Roster!$C$3=0,"",Roster!$C$3)</f>
        <v>Blitzer</v>
      </c>
      <c r="AH4" s="253"/>
      <c r="AI4" s="253"/>
      <c r="AJ4" s="253"/>
      <c r="AK4" s="253"/>
      <c r="AL4" s="253"/>
      <c r="AM4" s="253"/>
      <c r="AN4" s="253"/>
      <c r="AO4" s="253"/>
      <c r="AP4" s="253"/>
      <c r="AQ4" s="253"/>
      <c r="AR4" s="254"/>
      <c r="AS4" s="184"/>
      <c r="AT4" s="2"/>
      <c r="AU4" s="250"/>
      <c r="AV4" s="372" t="str">
        <f>IF(Roster!$C$4=0,"",Roster!$C$4)</f>
        <v>Blitzer</v>
      </c>
      <c r="AW4" s="253"/>
      <c r="AX4" s="253"/>
      <c r="AY4" s="253"/>
      <c r="AZ4" s="253"/>
      <c r="BA4" s="253"/>
      <c r="BB4" s="253"/>
      <c r="BC4" s="253"/>
      <c r="BD4" s="253"/>
      <c r="BE4" s="253"/>
      <c r="BF4" s="253"/>
      <c r="BG4" s="254"/>
      <c r="BH4" s="184"/>
    </row>
    <row r="5" spans="1:60" ht="11.25" customHeight="1">
      <c r="A5" s="2"/>
      <c r="B5" s="250"/>
      <c r="C5" s="185"/>
      <c r="D5" s="372" t="str">
        <f>IF(Roster!$C$32=0,"",Roster!$C$32)</f>
        <v>VALORE SQUADRA</v>
      </c>
      <c r="E5" s="253"/>
      <c r="F5" s="254"/>
      <c r="G5" s="186"/>
      <c r="H5" s="372" t="str">
        <f>IF(Roster!$C$26=0,"",Roster!$C$26)</f>
        <v>TIFOSI SFEGATATI</v>
      </c>
      <c r="I5" s="253"/>
      <c r="J5" s="254"/>
      <c r="K5" s="186"/>
      <c r="L5" s="372" t="str">
        <f>IF(Roster!$AD$21=0,"",Roster!$AD$21)</f>
        <v>REROLLS TOTALI</v>
      </c>
      <c r="M5" s="253"/>
      <c r="N5" s="254"/>
      <c r="O5" s="183"/>
      <c r="P5" s="2"/>
      <c r="Q5" s="187" t="str">
        <f>IF(Roster!$J$1=0,"",Roster!$J$1)</f>
        <v>MA</v>
      </c>
      <c r="R5" s="186"/>
      <c r="S5" s="370"/>
      <c r="T5" s="279"/>
      <c r="U5" s="279"/>
      <c r="V5" s="279"/>
      <c r="W5" s="279"/>
      <c r="X5" s="279"/>
      <c r="Y5" s="279"/>
      <c r="Z5" s="279"/>
      <c r="AA5" s="279"/>
      <c r="AB5" s="279"/>
      <c r="AC5" s="279"/>
      <c r="AD5" s="183"/>
      <c r="AE5" s="2"/>
      <c r="AF5" s="187" t="str">
        <f>IF(Roster!$J$1=0,"",Roster!$J$1)</f>
        <v>MA</v>
      </c>
      <c r="AG5" s="186"/>
      <c r="AH5" s="370"/>
      <c r="AI5" s="279"/>
      <c r="AJ5" s="279"/>
      <c r="AK5" s="279"/>
      <c r="AL5" s="279"/>
      <c r="AM5" s="279"/>
      <c r="AN5" s="279"/>
      <c r="AO5" s="279"/>
      <c r="AP5" s="279"/>
      <c r="AQ5" s="279"/>
      <c r="AR5" s="279"/>
      <c r="AS5" s="183"/>
      <c r="AT5" s="2"/>
      <c r="AU5" s="187" t="str">
        <f>IF(Roster!$J$1=0,"",Roster!$J$1)</f>
        <v>MA</v>
      </c>
      <c r="AV5" s="186"/>
      <c r="AW5" s="370"/>
      <c r="AX5" s="279"/>
      <c r="AY5" s="279"/>
      <c r="AZ5" s="279"/>
      <c r="BA5" s="279"/>
      <c r="BB5" s="279"/>
      <c r="BC5" s="279"/>
      <c r="BD5" s="279"/>
      <c r="BE5" s="279"/>
      <c r="BF5" s="279"/>
      <c r="BG5" s="279"/>
      <c r="BH5" s="183"/>
    </row>
    <row r="6" spans="1:60" ht="37.5" customHeight="1">
      <c r="A6" s="2"/>
      <c r="B6" s="379" t="str">
        <f>IF(Roster!$J$22=0,"",Roster!$J$22)</f>
        <v>Luix</v>
      </c>
      <c r="C6" s="188"/>
      <c r="D6" s="374">
        <f>Roster!$J$32</f>
        <v>1165</v>
      </c>
      <c r="E6" s="253"/>
      <c r="F6" s="254"/>
      <c r="G6" s="186"/>
      <c r="H6" s="374">
        <f>IF(Roster!$J$26=0,"",Roster!$J$26)</f>
        <v>1</v>
      </c>
      <c r="I6" s="253"/>
      <c r="J6" s="254"/>
      <c r="K6" s="186"/>
      <c r="L6" s="374">
        <f>Roster!$AI$22</f>
        <v>2</v>
      </c>
      <c r="M6" s="253"/>
      <c r="N6" s="254"/>
      <c r="O6" s="183"/>
      <c r="P6" s="2"/>
      <c r="Q6" s="189">
        <f>IF(Roster!$J$2=0,"",Roster!$J$2)</f>
        <v>5</v>
      </c>
      <c r="R6" s="186"/>
      <c r="S6" s="279"/>
      <c r="T6" s="279"/>
      <c r="U6" s="279"/>
      <c r="V6" s="279"/>
      <c r="W6" s="279"/>
      <c r="X6" s="279"/>
      <c r="Y6" s="279"/>
      <c r="Z6" s="279"/>
      <c r="AA6" s="279"/>
      <c r="AB6" s="279"/>
      <c r="AC6" s="279"/>
      <c r="AD6" s="183"/>
      <c r="AE6" s="2"/>
      <c r="AF6" s="189">
        <f>IF(Roster!$J$3=0,"",Roster!$J$3)</f>
        <v>6</v>
      </c>
      <c r="AG6" s="186"/>
      <c r="AH6" s="279"/>
      <c r="AI6" s="279"/>
      <c r="AJ6" s="279"/>
      <c r="AK6" s="279"/>
      <c r="AL6" s="279"/>
      <c r="AM6" s="279"/>
      <c r="AN6" s="279"/>
      <c r="AO6" s="279"/>
      <c r="AP6" s="279"/>
      <c r="AQ6" s="279"/>
      <c r="AR6" s="279"/>
      <c r="AS6" s="183"/>
      <c r="AT6" s="2"/>
      <c r="AU6" s="189">
        <f>IF(Roster!$J$4=0,"",Roster!$J$4)</f>
        <v>6</v>
      </c>
      <c r="AV6" s="186"/>
      <c r="AW6" s="279"/>
      <c r="AX6" s="279"/>
      <c r="AY6" s="279"/>
      <c r="AZ6" s="279"/>
      <c r="BA6" s="279"/>
      <c r="BB6" s="279"/>
      <c r="BC6" s="279"/>
      <c r="BD6" s="279"/>
      <c r="BE6" s="279"/>
      <c r="BF6" s="279"/>
      <c r="BG6" s="279"/>
      <c r="BH6" s="183"/>
    </row>
    <row r="7" spans="1:60" ht="11.25" customHeight="1">
      <c r="A7" s="2"/>
      <c r="B7" s="249"/>
      <c r="C7" s="187"/>
      <c r="D7" s="372" t="str">
        <f>IF(Roster!$R$22=0,"",Roster!$R$22)</f>
        <v>MEDICO</v>
      </c>
      <c r="E7" s="253"/>
      <c r="F7" s="254"/>
      <c r="G7" s="186"/>
      <c r="H7" s="372" t="str">
        <f>IF(Roster!$R$23=0,"",Roster!$R$23)</f>
        <v>CHEERLEADERS</v>
      </c>
      <c r="I7" s="253"/>
      <c r="J7" s="254"/>
      <c r="K7" s="186"/>
      <c r="L7" s="372" t="str">
        <f>IF(Roster!$R$24=0,"",Roster!$R$24)</f>
        <v>ASSISTENTI ALLENATORI</v>
      </c>
      <c r="M7" s="253"/>
      <c r="N7" s="254"/>
      <c r="O7" s="183"/>
      <c r="P7" s="2"/>
      <c r="Q7" s="187" t="str">
        <f>IF(Roster!$K$1=0,"",Roster!$K$1)</f>
        <v>ST</v>
      </c>
      <c r="R7" s="186"/>
      <c r="S7" s="279"/>
      <c r="T7" s="279"/>
      <c r="U7" s="279"/>
      <c r="V7" s="279"/>
      <c r="W7" s="279"/>
      <c r="X7" s="279"/>
      <c r="Y7" s="279"/>
      <c r="Z7" s="279"/>
      <c r="AA7" s="279"/>
      <c r="AB7" s="279"/>
      <c r="AC7" s="279"/>
      <c r="AD7" s="183"/>
      <c r="AE7" s="2"/>
      <c r="AF7" s="187" t="str">
        <f>IF(Roster!$K$1=0,"",Roster!$K$1)</f>
        <v>ST</v>
      </c>
      <c r="AG7" s="186"/>
      <c r="AH7" s="279"/>
      <c r="AI7" s="279"/>
      <c r="AJ7" s="279"/>
      <c r="AK7" s="279"/>
      <c r="AL7" s="279"/>
      <c r="AM7" s="279"/>
      <c r="AN7" s="279"/>
      <c r="AO7" s="279"/>
      <c r="AP7" s="279"/>
      <c r="AQ7" s="279"/>
      <c r="AR7" s="279"/>
      <c r="AS7" s="183"/>
      <c r="AT7" s="2"/>
      <c r="AU7" s="187" t="str">
        <f>IF(Roster!$K$1=0,"",Roster!$K$1)</f>
        <v>ST</v>
      </c>
      <c r="AV7" s="186"/>
      <c r="AW7" s="279"/>
      <c r="AX7" s="279"/>
      <c r="AY7" s="279"/>
      <c r="AZ7" s="279"/>
      <c r="BA7" s="279"/>
      <c r="BB7" s="279"/>
      <c r="BC7" s="279"/>
      <c r="BD7" s="279"/>
      <c r="BE7" s="279"/>
      <c r="BF7" s="279"/>
      <c r="BG7" s="279"/>
      <c r="BH7" s="183"/>
    </row>
    <row r="8" spans="1:60" ht="37.5" customHeight="1">
      <c r="A8" s="2"/>
      <c r="B8" s="249"/>
      <c r="C8" s="190"/>
      <c r="D8" s="374">
        <f>Roster!$W$22</f>
        <v>0</v>
      </c>
      <c r="E8" s="253"/>
      <c r="F8" s="254"/>
      <c r="G8" s="186"/>
      <c r="H8" s="374">
        <f>Roster!$W$23</f>
        <v>0</v>
      </c>
      <c r="I8" s="253"/>
      <c r="J8" s="254"/>
      <c r="K8" s="186"/>
      <c r="L8" s="374">
        <f>Roster!$W$24</f>
        <v>0</v>
      </c>
      <c r="M8" s="253"/>
      <c r="N8" s="254"/>
      <c r="O8" s="183"/>
      <c r="P8" s="2"/>
      <c r="Q8" s="189">
        <f>IF(Roster!$K$2=0,"",Roster!$K$2)</f>
        <v>3</v>
      </c>
      <c r="R8" s="186"/>
      <c r="S8" s="279"/>
      <c r="T8" s="279"/>
      <c r="U8" s="279"/>
      <c r="V8" s="279"/>
      <c r="W8" s="279"/>
      <c r="X8" s="279"/>
      <c r="Y8" s="279"/>
      <c r="Z8" s="279"/>
      <c r="AA8" s="279"/>
      <c r="AB8" s="279"/>
      <c r="AC8" s="279"/>
      <c r="AD8" s="183"/>
      <c r="AE8" s="2"/>
      <c r="AF8" s="189">
        <f>IF(Roster!$K$3=0,"",Roster!$K$3)</f>
        <v>3</v>
      </c>
      <c r="AG8" s="186"/>
      <c r="AH8" s="279"/>
      <c r="AI8" s="279"/>
      <c r="AJ8" s="279"/>
      <c r="AK8" s="279"/>
      <c r="AL8" s="279"/>
      <c r="AM8" s="279"/>
      <c r="AN8" s="279"/>
      <c r="AO8" s="279"/>
      <c r="AP8" s="279"/>
      <c r="AQ8" s="279"/>
      <c r="AR8" s="279"/>
      <c r="AS8" s="183"/>
      <c r="AT8" s="2"/>
      <c r="AU8" s="189">
        <f>IF(Roster!$K$4=0,"",Roster!$K$4)</f>
        <v>3</v>
      </c>
      <c r="AV8" s="186"/>
      <c r="AW8" s="279"/>
      <c r="AX8" s="279"/>
      <c r="AY8" s="279"/>
      <c r="AZ8" s="279"/>
      <c r="BA8" s="279"/>
      <c r="BB8" s="279"/>
      <c r="BC8" s="279"/>
      <c r="BD8" s="279"/>
      <c r="BE8" s="279"/>
      <c r="BF8" s="279"/>
      <c r="BG8" s="279"/>
      <c r="BH8" s="183"/>
    </row>
    <row r="9" spans="1:60" ht="11.25" customHeight="1">
      <c r="A9" s="2"/>
      <c r="B9" s="249"/>
      <c r="C9" s="185"/>
      <c r="D9" s="372" t="str">
        <f>IF(Roster!$R$25=0,"",Roster!$R$25)</f>
        <v>FUSTI DI BLOODWEISER</v>
      </c>
      <c r="E9" s="253"/>
      <c r="F9" s="254"/>
      <c r="G9" s="186"/>
      <c r="H9" s="372" t="str">
        <f>IF(Roster!$R$29=0,"",Roster!$R$29)</f>
        <v>MAZZETTE</v>
      </c>
      <c r="I9" s="253"/>
      <c r="J9" s="254"/>
      <c r="K9" s="186"/>
      <c r="L9" s="372" t="str">
        <f>IF(Roster!$R$30=0,"",Roster!$R$30)</f>
        <v>CAPOCUOCO</v>
      </c>
      <c r="M9" s="253"/>
      <c r="N9" s="254"/>
      <c r="O9" s="183"/>
      <c r="P9" s="2"/>
      <c r="Q9" s="187" t="str">
        <f>IF(Roster!$L$1=0,"",Roster!$L$1)</f>
        <v>AG</v>
      </c>
      <c r="R9" s="186"/>
      <c r="S9" s="279"/>
      <c r="T9" s="279"/>
      <c r="U9" s="279"/>
      <c r="V9" s="279"/>
      <c r="W9" s="279"/>
      <c r="X9" s="279"/>
      <c r="Y9" s="279"/>
      <c r="Z9" s="279"/>
      <c r="AA9" s="279"/>
      <c r="AB9" s="279"/>
      <c r="AC9" s="279"/>
      <c r="AD9" s="183"/>
      <c r="AE9" s="2"/>
      <c r="AF9" s="187" t="str">
        <f>IF(Roster!$L$1=0,"",Roster!$L$1)</f>
        <v>AG</v>
      </c>
      <c r="AG9" s="186"/>
      <c r="AH9" s="279"/>
      <c r="AI9" s="279"/>
      <c r="AJ9" s="279"/>
      <c r="AK9" s="279"/>
      <c r="AL9" s="279"/>
      <c r="AM9" s="279"/>
      <c r="AN9" s="279"/>
      <c r="AO9" s="279"/>
      <c r="AP9" s="279"/>
      <c r="AQ9" s="279"/>
      <c r="AR9" s="279"/>
      <c r="AS9" s="183"/>
      <c r="AT9" s="2"/>
      <c r="AU9" s="187" t="str">
        <f>IF(Roster!$L$1=0,"",Roster!$L$1)</f>
        <v>AG</v>
      </c>
      <c r="AV9" s="186"/>
      <c r="AW9" s="279"/>
      <c r="AX9" s="279"/>
      <c r="AY9" s="279"/>
      <c r="AZ9" s="279"/>
      <c r="BA9" s="279"/>
      <c r="BB9" s="279"/>
      <c r="BC9" s="279"/>
      <c r="BD9" s="279"/>
      <c r="BE9" s="279"/>
      <c r="BF9" s="279"/>
      <c r="BG9" s="279"/>
      <c r="BH9" s="183"/>
    </row>
    <row r="10" spans="1:60" ht="37.5" customHeight="1">
      <c r="A10" s="2"/>
      <c r="B10" s="249"/>
      <c r="C10" s="190"/>
      <c r="D10" s="374">
        <f>Roster!$W$25</f>
        <v>0</v>
      </c>
      <c r="E10" s="253"/>
      <c r="F10" s="254"/>
      <c r="G10" s="186"/>
      <c r="H10" s="374">
        <f>Roster!$W$29</f>
        <v>0</v>
      </c>
      <c r="I10" s="253"/>
      <c r="J10" s="254"/>
      <c r="K10" s="186"/>
      <c r="L10" s="374">
        <f>Roster!$W$30</f>
        <v>0</v>
      </c>
      <c r="M10" s="253"/>
      <c r="N10" s="254"/>
      <c r="O10" s="183"/>
      <c r="P10" s="2"/>
      <c r="Q10" s="189" t="str">
        <f>IF(Roster!$L$2=0&amp;"+","",Roster!$L$2)</f>
        <v>3+</v>
      </c>
      <c r="R10" s="186"/>
      <c r="S10" s="279"/>
      <c r="T10" s="279"/>
      <c r="U10" s="279"/>
      <c r="V10" s="279"/>
      <c r="W10" s="279"/>
      <c r="X10" s="279"/>
      <c r="Y10" s="279"/>
      <c r="Z10" s="279"/>
      <c r="AA10" s="279"/>
      <c r="AB10" s="279"/>
      <c r="AC10" s="279"/>
      <c r="AD10" s="183"/>
      <c r="AE10" s="2"/>
      <c r="AF10" s="189" t="str">
        <f>IF(Roster!$L$3=0&amp;"+","",Roster!$L$3)</f>
        <v>3+</v>
      </c>
      <c r="AG10" s="186"/>
      <c r="AH10" s="279"/>
      <c r="AI10" s="279"/>
      <c r="AJ10" s="279"/>
      <c r="AK10" s="279"/>
      <c r="AL10" s="279"/>
      <c r="AM10" s="279"/>
      <c r="AN10" s="279"/>
      <c r="AO10" s="279"/>
      <c r="AP10" s="279"/>
      <c r="AQ10" s="279"/>
      <c r="AR10" s="279"/>
      <c r="AS10" s="183"/>
      <c r="AT10" s="2"/>
      <c r="AU10" s="189" t="str">
        <f>IF(Roster!$L$4=0&amp;"+","",Roster!$L$4)</f>
        <v>3+</v>
      </c>
      <c r="AV10" s="186"/>
      <c r="AW10" s="279"/>
      <c r="AX10" s="279"/>
      <c r="AY10" s="279"/>
      <c r="AZ10" s="279"/>
      <c r="BA10" s="279"/>
      <c r="BB10" s="279"/>
      <c r="BC10" s="279"/>
      <c r="BD10" s="279"/>
      <c r="BE10" s="279"/>
      <c r="BF10" s="279"/>
      <c r="BG10" s="279"/>
      <c r="BH10" s="183"/>
    </row>
    <row r="11" spans="1:60" ht="11.25" customHeight="1">
      <c r="A11" s="2"/>
      <c r="B11" s="249"/>
      <c r="C11" s="187"/>
      <c r="D11" s="375" t="str">
        <f>IF(Roster!$R$31=0,"",Roster!$R$31)</f>
        <v>ESORDIENTI RIBELLI</v>
      </c>
      <c r="E11" s="253"/>
      <c r="F11" s="254"/>
      <c r="G11" s="191"/>
      <c r="H11" s="375" t="str">
        <f>IF(Roster!$AD$25=0,"",Roster!$AD$25)</f>
        <v>WIZARDS</v>
      </c>
      <c r="I11" s="253"/>
      <c r="J11" s="254"/>
      <c r="K11" s="191"/>
      <c r="L11" s="372" t="str">
        <f>IF(Roster!$AD$24=0,"",Roster!$AD$24)</f>
        <v>MAGO DEL CLIMA</v>
      </c>
      <c r="M11" s="253"/>
      <c r="N11" s="254"/>
      <c r="O11" s="192"/>
      <c r="P11" s="2"/>
      <c r="Q11" s="187" t="str">
        <f>IF(Roster!$M$1=0,"",Roster!$M$1)</f>
        <v>PA</v>
      </c>
      <c r="R11" s="186"/>
      <c r="S11" s="279"/>
      <c r="T11" s="279"/>
      <c r="U11" s="279"/>
      <c r="V11" s="279"/>
      <c r="W11" s="279"/>
      <c r="X11" s="279"/>
      <c r="Y11" s="279"/>
      <c r="Z11" s="279"/>
      <c r="AA11" s="279"/>
      <c r="AB11" s="279"/>
      <c r="AC11" s="279"/>
      <c r="AD11" s="192"/>
      <c r="AE11" s="2"/>
      <c r="AF11" s="187" t="str">
        <f>IF(Roster!$M$1=0,"",Roster!$M$1)</f>
        <v>PA</v>
      </c>
      <c r="AG11" s="186"/>
      <c r="AH11" s="279"/>
      <c r="AI11" s="279"/>
      <c r="AJ11" s="279"/>
      <c r="AK11" s="279"/>
      <c r="AL11" s="279"/>
      <c r="AM11" s="279"/>
      <c r="AN11" s="279"/>
      <c r="AO11" s="279"/>
      <c r="AP11" s="279"/>
      <c r="AQ11" s="279"/>
      <c r="AR11" s="279"/>
      <c r="AS11" s="192"/>
      <c r="AT11" s="2"/>
      <c r="AU11" s="187" t="str">
        <f>IF(Roster!$M$1=0,"",Roster!$M$1)</f>
        <v>PA</v>
      </c>
      <c r="AV11" s="186"/>
      <c r="AW11" s="279"/>
      <c r="AX11" s="279"/>
      <c r="AY11" s="279"/>
      <c r="AZ11" s="279"/>
      <c r="BA11" s="279"/>
      <c r="BB11" s="279"/>
      <c r="BC11" s="279"/>
      <c r="BD11" s="279"/>
      <c r="BE11" s="279"/>
      <c r="BF11" s="279"/>
      <c r="BG11" s="279"/>
      <c r="BH11" s="192"/>
    </row>
    <row r="12" spans="1:60" ht="6" customHeight="1">
      <c r="A12" s="2"/>
      <c r="B12" s="249"/>
      <c r="C12" s="188"/>
      <c r="D12" s="376">
        <f>Roster!$W$31</f>
        <v>0</v>
      </c>
      <c r="E12" s="358"/>
      <c r="F12" s="359"/>
      <c r="G12" s="193"/>
      <c r="H12" s="376">
        <f>Roster!$AI$25</f>
        <v>0</v>
      </c>
      <c r="I12" s="358"/>
      <c r="J12" s="359"/>
      <c r="K12" s="193"/>
      <c r="L12" s="376">
        <f>Roster!$AI$24</f>
        <v>0</v>
      </c>
      <c r="M12" s="358"/>
      <c r="N12" s="359"/>
      <c r="O12" s="194"/>
      <c r="P12" s="2"/>
      <c r="Q12" s="369" t="str">
        <f>IF(Roster!$M$2=0&amp;"+","",Roster!$M$2)</f>
        <v>3+</v>
      </c>
      <c r="R12" s="186"/>
      <c r="S12" s="279"/>
      <c r="T12" s="279"/>
      <c r="U12" s="279"/>
      <c r="V12" s="279"/>
      <c r="W12" s="279"/>
      <c r="X12" s="279"/>
      <c r="Y12" s="279"/>
      <c r="Z12" s="279"/>
      <c r="AA12" s="279"/>
      <c r="AB12" s="279"/>
      <c r="AC12" s="279"/>
      <c r="AD12" s="194"/>
      <c r="AE12" s="2"/>
      <c r="AF12" s="369" t="str">
        <f>IF(Roster!$M$3=0&amp;"+","",Roster!$M$3)</f>
        <v>4+</v>
      </c>
      <c r="AG12" s="186"/>
      <c r="AH12" s="279"/>
      <c r="AI12" s="279"/>
      <c r="AJ12" s="279"/>
      <c r="AK12" s="279"/>
      <c r="AL12" s="279"/>
      <c r="AM12" s="279"/>
      <c r="AN12" s="279"/>
      <c r="AO12" s="279"/>
      <c r="AP12" s="279"/>
      <c r="AQ12" s="279"/>
      <c r="AR12" s="279"/>
      <c r="AS12" s="194"/>
      <c r="AT12" s="2"/>
      <c r="AU12" s="369" t="str">
        <f>IF(Roster!$M$4=0&amp;"+","",Roster!$M$4)</f>
        <v>4+</v>
      </c>
      <c r="AV12" s="186"/>
      <c r="AW12" s="279"/>
      <c r="AX12" s="279"/>
      <c r="AY12" s="279"/>
      <c r="AZ12" s="279"/>
      <c r="BA12" s="279"/>
      <c r="BB12" s="279"/>
      <c r="BC12" s="279"/>
      <c r="BD12" s="279"/>
      <c r="BE12" s="279"/>
      <c r="BF12" s="279"/>
      <c r="BG12" s="279"/>
      <c r="BH12" s="194"/>
    </row>
    <row r="13" spans="1:60" ht="4.5" customHeight="1">
      <c r="A13" s="2"/>
      <c r="B13" s="249"/>
      <c r="C13" s="188"/>
      <c r="D13" s="360"/>
      <c r="E13" s="279"/>
      <c r="F13" s="338"/>
      <c r="G13" s="193"/>
      <c r="H13" s="360"/>
      <c r="I13" s="279"/>
      <c r="J13" s="338"/>
      <c r="K13" s="193"/>
      <c r="L13" s="360"/>
      <c r="M13" s="279"/>
      <c r="N13" s="338"/>
      <c r="O13" s="194"/>
      <c r="P13" s="2"/>
      <c r="Q13" s="249"/>
      <c r="R13" s="186"/>
      <c r="S13" s="183"/>
      <c r="T13" s="193"/>
      <c r="U13" s="183"/>
      <c r="V13" s="193"/>
      <c r="W13" s="183"/>
      <c r="X13" s="193"/>
      <c r="Y13" s="183"/>
      <c r="Z13" s="193"/>
      <c r="AA13" s="183"/>
      <c r="AB13" s="193"/>
      <c r="AC13" s="183"/>
      <c r="AD13" s="194"/>
      <c r="AE13" s="2"/>
      <c r="AF13" s="249"/>
      <c r="AG13" s="186"/>
      <c r="AH13" s="183"/>
      <c r="AI13" s="193"/>
      <c r="AJ13" s="183"/>
      <c r="AK13" s="193"/>
      <c r="AL13" s="183"/>
      <c r="AM13" s="193"/>
      <c r="AN13" s="183"/>
      <c r="AO13" s="193"/>
      <c r="AP13" s="183"/>
      <c r="AQ13" s="193"/>
      <c r="AR13" s="183"/>
      <c r="AS13" s="194"/>
      <c r="AT13" s="2"/>
      <c r="AU13" s="249"/>
      <c r="AV13" s="186"/>
      <c r="AW13" s="183"/>
      <c r="AX13" s="193"/>
      <c r="AY13" s="183"/>
      <c r="AZ13" s="193"/>
      <c r="BA13" s="183"/>
      <c r="BB13" s="193"/>
      <c r="BC13" s="183"/>
      <c r="BD13" s="193"/>
      <c r="BE13" s="183"/>
      <c r="BF13" s="193"/>
      <c r="BG13" s="183"/>
      <c r="BH13" s="194"/>
    </row>
    <row r="14" spans="1:60" ht="11.25" customHeight="1">
      <c r="A14" s="2"/>
      <c r="B14" s="249"/>
      <c r="C14" s="188"/>
      <c r="D14" s="360"/>
      <c r="E14" s="279"/>
      <c r="F14" s="338"/>
      <c r="G14" s="193"/>
      <c r="H14" s="360"/>
      <c r="I14" s="279"/>
      <c r="J14" s="338"/>
      <c r="K14" s="193"/>
      <c r="L14" s="360"/>
      <c r="M14" s="279"/>
      <c r="N14" s="338"/>
      <c r="O14" s="194"/>
      <c r="P14" s="2"/>
      <c r="Q14" s="249"/>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49"/>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49"/>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49"/>
      <c r="C15" s="188"/>
      <c r="D15" s="360"/>
      <c r="E15" s="279"/>
      <c r="F15" s="338"/>
      <c r="G15" s="188"/>
      <c r="H15" s="360"/>
      <c r="I15" s="279"/>
      <c r="J15" s="338"/>
      <c r="K15" s="188"/>
      <c r="L15" s="360"/>
      <c r="M15" s="279"/>
      <c r="N15" s="338"/>
      <c r="O15" s="194"/>
      <c r="P15" s="2"/>
      <c r="Q15" s="249"/>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49"/>
      <c r="AG15" s="188"/>
      <c r="AH15" s="196">
        <f>IF(Roster!$AC$3=0,"",Roster!$AC$3)</f>
        <v>2</v>
      </c>
      <c r="AI15" s="188"/>
      <c r="AJ15" s="196">
        <f>IF((SUM(AL15,AN15,AP15))=0,"",(SUM(AL15,AN15,AP15)))</f>
        <v>3</v>
      </c>
      <c r="AK15" s="188"/>
      <c r="AL15" s="196">
        <f>IF(Roster!$AF$3=0,"",Roster!$AF$3)</f>
        <v>1</v>
      </c>
      <c r="AM15" s="188"/>
      <c r="AN15" s="196">
        <f>IF(Roster!$AG$3=0,"",Roster!$AG$3)</f>
        <v>2</v>
      </c>
      <c r="AO15" s="188"/>
      <c r="AP15" s="196" t="str">
        <f>IF(Roster!$AH$3=0,"",Roster!$AH$3)</f>
        <v/>
      </c>
      <c r="AQ15" s="188"/>
      <c r="AR15" s="196" t="str">
        <f>IF(Roster!$AB$3=0,"",Roster!$AB$3)</f>
        <v/>
      </c>
      <c r="AS15" s="194"/>
      <c r="AT15" s="2"/>
      <c r="AU15" s="249"/>
      <c r="AV15" s="188"/>
      <c r="AW15" s="196">
        <f>IF(Roster!$AC$4=0,"",Roster!$AC$4)</f>
        <v>2</v>
      </c>
      <c r="AX15" s="188"/>
      <c r="AY15" s="196">
        <f>IF((SUM(BA15,BC15,BE15))=0,"",(SUM(BA15,BC15,BE15)))</f>
        <v>2</v>
      </c>
      <c r="AZ15" s="188"/>
      <c r="BA15" s="196" t="str">
        <f>IF(Roster!$AF$4=0,"",Roster!$AF$4)</f>
        <v/>
      </c>
      <c r="BB15" s="188"/>
      <c r="BC15" s="196">
        <f>IF(Roster!$AG$4=0,"",Roster!$AG$4)</f>
        <v>2</v>
      </c>
      <c r="BD15" s="188"/>
      <c r="BE15" s="196" t="str">
        <f>IF(Roster!$AH$4=0,"",Roster!$AH$4)</f>
        <v/>
      </c>
      <c r="BF15" s="188"/>
      <c r="BG15" s="196" t="str">
        <f>IF(Roster!$AB$4=0,"",Roster!$AB$4)</f>
        <v/>
      </c>
      <c r="BH15" s="194"/>
    </row>
    <row r="16" spans="1:60" ht="4.5" customHeight="1">
      <c r="A16" s="2"/>
      <c r="B16" s="249"/>
      <c r="C16" s="188"/>
      <c r="D16" s="361"/>
      <c r="E16" s="362"/>
      <c r="F16" s="363"/>
      <c r="G16" s="188"/>
      <c r="H16" s="361"/>
      <c r="I16" s="362"/>
      <c r="J16" s="363"/>
      <c r="K16" s="188"/>
      <c r="L16" s="361"/>
      <c r="M16" s="362"/>
      <c r="N16" s="363"/>
      <c r="O16" s="194"/>
      <c r="P16" s="2"/>
      <c r="Q16" s="250"/>
      <c r="R16" s="188"/>
      <c r="S16" s="197"/>
      <c r="T16" s="188"/>
      <c r="U16" s="197"/>
      <c r="V16" s="188"/>
      <c r="W16" s="197"/>
      <c r="X16" s="188"/>
      <c r="Y16" s="197"/>
      <c r="Z16" s="188"/>
      <c r="AA16" s="197"/>
      <c r="AB16" s="188"/>
      <c r="AC16" s="197"/>
      <c r="AD16" s="194"/>
      <c r="AE16" s="2"/>
      <c r="AF16" s="250"/>
      <c r="AG16" s="188"/>
      <c r="AH16" s="197"/>
      <c r="AI16" s="188"/>
      <c r="AJ16" s="197"/>
      <c r="AK16" s="188"/>
      <c r="AL16" s="197"/>
      <c r="AM16" s="188"/>
      <c r="AN16" s="197"/>
      <c r="AO16" s="188"/>
      <c r="AP16" s="197"/>
      <c r="AQ16" s="188"/>
      <c r="AR16" s="197"/>
      <c r="AS16" s="194"/>
      <c r="AT16" s="2"/>
      <c r="AU16" s="250"/>
      <c r="AV16" s="188"/>
      <c r="AW16" s="197"/>
      <c r="AX16" s="188"/>
      <c r="AY16" s="197"/>
      <c r="AZ16" s="188"/>
      <c r="BA16" s="197"/>
      <c r="BB16" s="188"/>
      <c r="BC16" s="197"/>
      <c r="BD16" s="188"/>
      <c r="BE16" s="197"/>
      <c r="BF16" s="188"/>
      <c r="BG16" s="197"/>
      <c r="BH16" s="194"/>
    </row>
    <row r="17" spans="1:60" ht="11.25" customHeight="1">
      <c r="A17" s="2"/>
      <c r="B17" s="249"/>
      <c r="C17" s="187"/>
      <c r="D17" s="372" t="str">
        <f>IF(Roster!$R$26=0,"",Roster!$R$26)</f>
        <v>CARTE SPECIALI</v>
      </c>
      <c r="E17" s="253"/>
      <c r="F17" s="254"/>
      <c r="G17" s="187"/>
      <c r="H17" s="375" t="str">
        <f>IF(Roster!$AD$26=0,"",Roster!$AD$26)</f>
        <v>(IN)FAMOUS COACHES</v>
      </c>
      <c r="I17" s="253"/>
      <c r="J17" s="254"/>
      <c r="K17" s="187"/>
      <c r="L17" s="375" t="str">
        <f>IF(Roster!$AD$27=0,"",Roster!$AD$27)</f>
        <v>(IN)FAMOUS COACHES</v>
      </c>
      <c r="M17" s="253"/>
      <c r="N17" s="254"/>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49"/>
      <c r="C18" s="188"/>
      <c r="D18" s="376">
        <f>Roster!$W$26</f>
        <v>0</v>
      </c>
      <c r="E18" s="358"/>
      <c r="F18" s="359"/>
      <c r="G18" s="188"/>
      <c r="H18" s="376">
        <f>Roster!$AI$26</f>
        <v>0</v>
      </c>
      <c r="I18" s="358"/>
      <c r="J18" s="359"/>
      <c r="K18" s="188"/>
      <c r="L18" s="376">
        <f>Roster!$AI$27</f>
        <v>0</v>
      </c>
      <c r="M18" s="358"/>
      <c r="N18" s="359"/>
      <c r="O18" s="199"/>
      <c r="P18" s="2"/>
      <c r="Q18" s="369" t="str">
        <f>IF(Roster!$N$2=0&amp;"+","",Roster!$N$2)</f>
        <v>9+</v>
      </c>
      <c r="R18" s="188"/>
      <c r="S18" s="196" t="str">
        <f>IF(Roster!$AD$2=0,"",Roster!$AD$2)</f>
        <v/>
      </c>
      <c r="T18" s="188"/>
      <c r="U18" s="196" t="str">
        <f>IF(Roster!$AE$2=0,"",Roster!$AE$2)</f>
        <v/>
      </c>
      <c r="V18" s="188"/>
      <c r="W18" s="196" t="str">
        <f>IF(Roster!$AA$2=0,"",Roster!$AA$2)</f>
        <v/>
      </c>
      <c r="X18" s="188"/>
      <c r="Y18" s="196" t="str">
        <f>IF(Roster!$AI$2=0,"",Roster!$AI$2)</f>
        <v/>
      </c>
      <c r="Z18" s="188"/>
      <c r="AA18" s="196" t="str">
        <f>IF(Roster!$AJ$2=0,"",Roster!$AJ$2)</f>
        <v/>
      </c>
      <c r="AB18" s="188"/>
      <c r="AC18" s="196" t="str">
        <f>IF(Roster!$Z$2=0,"",Roster!$Z$2)</f>
        <v/>
      </c>
      <c r="AD18" s="199"/>
      <c r="AE18" s="2"/>
      <c r="AF18" s="369" t="str">
        <f>IF(Roster!$N$3=0&amp;"+","",Roster!$N$3)</f>
        <v>10+</v>
      </c>
      <c r="AG18" s="188"/>
      <c r="AH18" s="196" t="str">
        <f>IF(Roster!$AD$3=0,"",Roster!$AD$3)</f>
        <v/>
      </c>
      <c r="AI18" s="188"/>
      <c r="AJ18" s="196" t="str">
        <f>IF(Roster!$AE$3=0,"",Roster!$AE$3)</f>
        <v/>
      </c>
      <c r="AK18" s="188"/>
      <c r="AL18" s="196" t="str">
        <f>IF(Roster!$AA$3=0,"",Roster!$AA$3)</f>
        <v/>
      </c>
      <c r="AM18" s="188"/>
      <c r="AN18" s="196">
        <f>IF(Roster!$AI$3=0,"",Roster!$AI$3)</f>
        <v>1</v>
      </c>
      <c r="AO18" s="188"/>
      <c r="AP18" s="196">
        <f>IF(Roster!$AJ$3=0,"",Roster!$AJ$3)</f>
        <v>16</v>
      </c>
      <c r="AQ18" s="188"/>
      <c r="AR18" s="196" t="str">
        <f>IF(Roster!$Z$3=0,"",Roster!$Z$3)</f>
        <v/>
      </c>
      <c r="AS18" s="199"/>
      <c r="AT18" s="2"/>
      <c r="AU18" s="369" t="str">
        <f>IF(Roster!$N$4=0&amp;"+","",Roster!$N$4)</f>
        <v>10+</v>
      </c>
      <c r="AV18" s="188"/>
      <c r="AW18" s="196" t="str">
        <f>IF(Roster!$AD$4=0,"",Roster!$AD$4)</f>
        <v/>
      </c>
      <c r="AX18" s="188"/>
      <c r="AY18" s="196" t="str">
        <f>IF(Roster!$AE$4=0,"",Roster!$AE$4)</f>
        <v/>
      </c>
      <c r="AZ18" s="188"/>
      <c r="BA18" s="196" t="str">
        <f>IF(Roster!$AA$4=0,"",Roster!$AA$4)</f>
        <v/>
      </c>
      <c r="BB18" s="188"/>
      <c r="BC18" s="196" t="str">
        <f>IF(Roster!$AI$4=0,"",Roster!$AI$4)</f>
        <v/>
      </c>
      <c r="BD18" s="188"/>
      <c r="BE18" s="196">
        <f>IF(Roster!$AJ$4=0,"",Roster!$AJ$4)</f>
        <v>10</v>
      </c>
      <c r="BF18" s="188"/>
      <c r="BG18" s="196" t="str">
        <f>IF(Roster!$Z$4=0,"",Roster!$Z$4)</f>
        <v/>
      </c>
      <c r="BH18" s="199"/>
    </row>
    <row r="19" spans="1:60" ht="4.5" customHeight="1">
      <c r="A19" s="2"/>
      <c r="B19" s="249"/>
      <c r="C19" s="188"/>
      <c r="D19" s="360"/>
      <c r="E19" s="279"/>
      <c r="F19" s="338"/>
      <c r="G19" s="188"/>
      <c r="H19" s="360"/>
      <c r="I19" s="279"/>
      <c r="J19" s="338"/>
      <c r="K19" s="188"/>
      <c r="L19" s="360"/>
      <c r="M19" s="279"/>
      <c r="N19" s="338"/>
      <c r="O19" s="199"/>
      <c r="P19" s="2"/>
      <c r="Q19" s="249"/>
      <c r="R19" s="188"/>
      <c r="S19" s="188"/>
      <c r="T19" s="188"/>
      <c r="U19" s="188"/>
      <c r="V19" s="188"/>
      <c r="W19" s="188"/>
      <c r="X19" s="188"/>
      <c r="Y19" s="188"/>
      <c r="Z19" s="188"/>
      <c r="AA19" s="188"/>
      <c r="AB19" s="188"/>
      <c r="AC19" s="194"/>
      <c r="AD19" s="199"/>
      <c r="AE19" s="2"/>
      <c r="AF19" s="249"/>
      <c r="AG19" s="188"/>
      <c r="AH19" s="188"/>
      <c r="AI19" s="188"/>
      <c r="AJ19" s="188"/>
      <c r="AK19" s="188"/>
      <c r="AL19" s="188"/>
      <c r="AM19" s="188"/>
      <c r="AN19" s="188"/>
      <c r="AO19" s="188"/>
      <c r="AP19" s="188"/>
      <c r="AQ19" s="188"/>
      <c r="AR19" s="194"/>
      <c r="AS19" s="199"/>
      <c r="AT19" s="2"/>
      <c r="AU19" s="249"/>
      <c r="AV19" s="188"/>
      <c r="AW19" s="188"/>
      <c r="AX19" s="188"/>
      <c r="AY19" s="188"/>
      <c r="AZ19" s="188"/>
      <c r="BA19" s="188"/>
      <c r="BB19" s="188"/>
      <c r="BC19" s="188"/>
      <c r="BD19" s="188"/>
      <c r="BE19" s="188"/>
      <c r="BF19" s="188"/>
      <c r="BG19" s="194"/>
      <c r="BH19" s="199"/>
    </row>
    <row r="20" spans="1:60" ht="11.25" customHeight="1">
      <c r="A20" s="2"/>
      <c r="B20" s="249"/>
      <c r="C20" s="188"/>
      <c r="D20" s="360"/>
      <c r="E20" s="279"/>
      <c r="F20" s="338"/>
      <c r="G20" s="192"/>
      <c r="H20" s="360"/>
      <c r="I20" s="279"/>
      <c r="J20" s="338"/>
      <c r="K20" s="192"/>
      <c r="L20" s="360"/>
      <c r="M20" s="279"/>
      <c r="N20" s="338"/>
      <c r="O20" s="199"/>
      <c r="P20" s="2"/>
      <c r="Q20" s="249"/>
      <c r="R20" s="188"/>
      <c r="S20" s="355" t="str">
        <f>IF(Roster!$J$25="Italiano","ABILITÀ &amp; TRATTI",(IF(Roster!$J$25="Español","HABILIDADES Y RASGOS","SKILLS &amp; TRAITS")))</f>
        <v>ABILITÀ &amp; TRATTI</v>
      </c>
      <c r="T20" s="253"/>
      <c r="U20" s="253"/>
      <c r="V20" s="253"/>
      <c r="W20" s="253"/>
      <c r="X20" s="253"/>
      <c r="Y20" s="253"/>
      <c r="Z20" s="253"/>
      <c r="AA20" s="253"/>
      <c r="AB20" s="253"/>
      <c r="AC20" s="254"/>
      <c r="AD20" s="199"/>
      <c r="AE20" s="2"/>
      <c r="AF20" s="249"/>
      <c r="AG20" s="188"/>
      <c r="AH20" s="355" t="str">
        <f>IF(Roster!$J$25="Italiano","ABILITÀ &amp; TRATTI",(IF(Roster!$J$25="Español","HABILIDADES Y RASGOS","SKILLS &amp; TRAITS")))</f>
        <v>ABILITÀ &amp; TRATTI</v>
      </c>
      <c r="AI20" s="253"/>
      <c r="AJ20" s="253"/>
      <c r="AK20" s="253"/>
      <c r="AL20" s="253"/>
      <c r="AM20" s="253"/>
      <c r="AN20" s="253"/>
      <c r="AO20" s="253"/>
      <c r="AP20" s="253"/>
      <c r="AQ20" s="253"/>
      <c r="AR20" s="254"/>
      <c r="AS20" s="199"/>
      <c r="AT20" s="2"/>
      <c r="AU20" s="249"/>
      <c r="AV20" s="188"/>
      <c r="AW20" s="355" t="str">
        <f>IF(Roster!$J$25="Italiano","ABILITÀ &amp; TRATTI",(IF(Roster!$J$25="Español","HABILIDADES Y RASGOS","SKILLS &amp; TRAITS")))</f>
        <v>ABILITÀ &amp; TRATTI</v>
      </c>
      <c r="AX20" s="253"/>
      <c r="AY20" s="253"/>
      <c r="AZ20" s="253"/>
      <c r="BA20" s="253"/>
      <c r="BB20" s="253"/>
      <c r="BC20" s="253"/>
      <c r="BD20" s="253"/>
      <c r="BE20" s="253"/>
      <c r="BF20" s="253"/>
      <c r="BG20" s="254"/>
      <c r="BH20" s="199"/>
    </row>
    <row r="21" spans="1:60" ht="6.75" customHeight="1">
      <c r="A21" s="2"/>
      <c r="B21" s="249"/>
      <c r="C21" s="188"/>
      <c r="D21" s="361"/>
      <c r="E21" s="362"/>
      <c r="F21" s="363"/>
      <c r="G21" s="200"/>
      <c r="H21" s="361"/>
      <c r="I21" s="362"/>
      <c r="J21" s="363"/>
      <c r="K21" s="200"/>
      <c r="L21" s="361"/>
      <c r="M21" s="362"/>
      <c r="N21" s="363"/>
      <c r="O21" s="199"/>
      <c r="P21" s="2"/>
      <c r="Q21" s="250"/>
      <c r="R21" s="188"/>
      <c r="S21" s="365" t="str">
        <f>IF(Roster!$O$2=0&amp;BF2,"",Roster!$O$2)</f>
        <v>Animosity (alle Mitspieler), Pass, Sure Hands</v>
      </c>
      <c r="T21" s="358"/>
      <c r="U21" s="358"/>
      <c r="V21" s="358"/>
      <c r="W21" s="358"/>
      <c r="X21" s="358"/>
      <c r="Y21" s="358"/>
      <c r="Z21" s="358"/>
      <c r="AA21" s="358"/>
      <c r="AB21" s="358"/>
      <c r="AC21" s="359"/>
      <c r="AD21" s="199"/>
      <c r="AE21" s="2"/>
      <c r="AF21" s="250"/>
      <c r="AG21" s="188"/>
      <c r="AH21" s="365" t="str">
        <f>IF(Roster!$O$3=0&amp;BF3,"",Roster!$O$3)</f>
        <v>Animosity (alle Mitspieler), Block, Tackle, Dauntless, Brawler</v>
      </c>
      <c r="AI21" s="358"/>
      <c r="AJ21" s="358"/>
      <c r="AK21" s="358"/>
      <c r="AL21" s="358"/>
      <c r="AM21" s="358"/>
      <c r="AN21" s="358"/>
      <c r="AO21" s="358"/>
      <c r="AP21" s="358"/>
      <c r="AQ21" s="358"/>
      <c r="AR21" s="359"/>
      <c r="AS21" s="199"/>
      <c r="AT21" s="2"/>
      <c r="AU21" s="250"/>
      <c r="AV21" s="188"/>
      <c r="AW21" s="365" t="str">
        <f>IF(Roster!$O$4=0&amp;BF4,"",Roster!$O$4)</f>
        <v>Animosity (alle Mitspieler), Block, Tackle</v>
      </c>
      <c r="AX21" s="358"/>
      <c r="AY21" s="358"/>
      <c r="AZ21" s="358"/>
      <c r="BA21" s="358"/>
      <c r="BB21" s="358"/>
      <c r="BC21" s="358"/>
      <c r="BD21" s="358"/>
      <c r="BE21" s="358"/>
      <c r="BF21" s="358"/>
      <c r="BG21" s="359"/>
      <c r="BH21" s="199"/>
    </row>
    <row r="22" spans="1:60" ht="11.25" customHeight="1">
      <c r="A22" s="2"/>
      <c r="B22" s="249"/>
      <c r="C22" s="185"/>
      <c r="D22" s="375" t="str">
        <f>IF(Roster!$AD$28=0,"",Roster!$AD$28)</f>
        <v>BIASED REFEREE</v>
      </c>
      <c r="E22" s="253"/>
      <c r="F22" s="254"/>
      <c r="G22" s="200"/>
      <c r="H22" s="375" t="str">
        <f>IF(Roster!$AD$29=0,"",Roster!$AD$29)</f>
        <v>OTHER INDUCEMENTS</v>
      </c>
      <c r="I22" s="253"/>
      <c r="J22" s="254"/>
      <c r="K22" s="200"/>
      <c r="L22" s="372" t="str">
        <f>IF(Roster!$AD$31=0,"",Roster!$AD$31)</f>
        <v>MEDICI VAGABONDI</v>
      </c>
      <c r="M22" s="253"/>
      <c r="N22" s="254"/>
      <c r="O22" s="200"/>
      <c r="P22" s="2"/>
      <c r="Q22" s="187" t="str">
        <f>IF(Roster!$AN$1=0,"",Roster!$AN$1)</f>
        <v>COSTO</v>
      </c>
      <c r="R22" s="187"/>
      <c r="S22" s="360"/>
      <c r="T22" s="279"/>
      <c r="U22" s="279"/>
      <c r="V22" s="279"/>
      <c r="W22" s="279"/>
      <c r="X22" s="279"/>
      <c r="Y22" s="279"/>
      <c r="Z22" s="279"/>
      <c r="AA22" s="279"/>
      <c r="AB22" s="279"/>
      <c r="AC22" s="338"/>
      <c r="AD22" s="200"/>
      <c r="AE22" s="2"/>
      <c r="AF22" s="187" t="str">
        <f>IF(Roster!$AN$1=0,"",Roster!$AN$1)</f>
        <v>COSTO</v>
      </c>
      <c r="AG22" s="187"/>
      <c r="AH22" s="360"/>
      <c r="AI22" s="279"/>
      <c r="AJ22" s="279"/>
      <c r="AK22" s="279"/>
      <c r="AL22" s="279"/>
      <c r="AM22" s="279"/>
      <c r="AN22" s="279"/>
      <c r="AO22" s="279"/>
      <c r="AP22" s="279"/>
      <c r="AQ22" s="279"/>
      <c r="AR22" s="338"/>
      <c r="AS22" s="200"/>
      <c r="AT22" s="2"/>
      <c r="AU22" s="187" t="str">
        <f>IF(Roster!$AN$1=0,"",Roster!$AN$1)</f>
        <v>COSTO</v>
      </c>
      <c r="AV22" s="187"/>
      <c r="AW22" s="360"/>
      <c r="AX22" s="279"/>
      <c r="AY22" s="279"/>
      <c r="AZ22" s="279"/>
      <c r="BA22" s="279"/>
      <c r="BB22" s="279"/>
      <c r="BC22" s="279"/>
      <c r="BD22" s="279"/>
      <c r="BE22" s="279"/>
      <c r="BF22" s="279"/>
      <c r="BG22" s="338"/>
      <c r="BH22" s="200"/>
    </row>
    <row r="23" spans="1:60" ht="34.5" customHeight="1">
      <c r="A23" s="2"/>
      <c r="B23" s="250"/>
      <c r="C23" s="201"/>
      <c r="D23" s="377">
        <f>Roster!$AI$28</f>
        <v>0</v>
      </c>
      <c r="E23" s="253"/>
      <c r="F23" s="254"/>
      <c r="G23" s="200"/>
      <c r="H23" s="377">
        <f>Roster!$AI$29</f>
        <v>0</v>
      </c>
      <c r="I23" s="253"/>
      <c r="J23" s="254"/>
      <c r="K23" s="200"/>
      <c r="L23" s="377">
        <f>Roster!$AI$31</f>
        <v>0</v>
      </c>
      <c r="M23" s="253"/>
      <c r="N23" s="254"/>
      <c r="O23" s="200"/>
      <c r="P23" s="2"/>
      <c r="Q23" s="202">
        <f>IF(Roster!$AN$2=0,"",Roster!$AN$2)</f>
        <v>65000</v>
      </c>
      <c r="R23" s="203"/>
      <c r="S23" s="361"/>
      <c r="T23" s="362"/>
      <c r="U23" s="362"/>
      <c r="V23" s="362"/>
      <c r="W23" s="362"/>
      <c r="X23" s="362"/>
      <c r="Y23" s="362"/>
      <c r="Z23" s="362"/>
      <c r="AA23" s="362"/>
      <c r="AB23" s="362"/>
      <c r="AC23" s="363"/>
      <c r="AD23" s="200"/>
      <c r="AE23" s="2"/>
      <c r="AF23" s="202">
        <f>IF(Roster!$AN$3=0,"",Roster!$AN$3)</f>
        <v>120000</v>
      </c>
      <c r="AG23" s="203"/>
      <c r="AH23" s="361"/>
      <c r="AI23" s="362"/>
      <c r="AJ23" s="362"/>
      <c r="AK23" s="362"/>
      <c r="AL23" s="362"/>
      <c r="AM23" s="362"/>
      <c r="AN23" s="362"/>
      <c r="AO23" s="362"/>
      <c r="AP23" s="362"/>
      <c r="AQ23" s="362"/>
      <c r="AR23" s="363"/>
      <c r="AS23" s="200"/>
      <c r="AT23" s="2"/>
      <c r="AU23" s="202">
        <f>IF(Roster!$AN$4=0,"",Roster!$AN$4)</f>
        <v>100000</v>
      </c>
      <c r="AV23" s="203"/>
      <c r="AW23" s="361"/>
      <c r="AX23" s="362"/>
      <c r="AY23" s="362"/>
      <c r="AZ23" s="362"/>
      <c r="BA23" s="362"/>
      <c r="BB23" s="362"/>
      <c r="BC23" s="362"/>
      <c r="BD23" s="362"/>
      <c r="BE23" s="362"/>
      <c r="BF23" s="362"/>
      <c r="BG23" s="363"/>
      <c r="BH23" s="200"/>
    </row>
    <row r="24" spans="1:60" ht="4.5" customHeight="1">
      <c r="A24" s="2"/>
      <c r="B24" s="373"/>
      <c r="C24" s="253"/>
      <c r="D24" s="253"/>
      <c r="E24" s="253"/>
      <c r="F24" s="253"/>
      <c r="G24" s="253"/>
      <c r="H24" s="253"/>
      <c r="I24" s="253"/>
      <c r="J24" s="253"/>
      <c r="K24" s="253"/>
      <c r="L24" s="253"/>
      <c r="M24" s="253"/>
      <c r="N24" s="254"/>
      <c r="O24" s="200"/>
      <c r="P24" s="2"/>
      <c r="Q24" s="373"/>
      <c r="R24" s="253"/>
      <c r="S24" s="253"/>
      <c r="T24" s="253"/>
      <c r="U24" s="253"/>
      <c r="V24" s="253"/>
      <c r="W24" s="253"/>
      <c r="X24" s="253"/>
      <c r="Y24" s="253"/>
      <c r="Z24" s="253"/>
      <c r="AA24" s="253"/>
      <c r="AB24" s="253"/>
      <c r="AC24" s="254"/>
      <c r="AD24" s="200"/>
      <c r="AE24" s="2"/>
      <c r="AF24" s="373"/>
      <c r="AG24" s="253"/>
      <c r="AH24" s="253"/>
      <c r="AI24" s="253"/>
      <c r="AJ24" s="253"/>
      <c r="AK24" s="253"/>
      <c r="AL24" s="253"/>
      <c r="AM24" s="253"/>
      <c r="AN24" s="253"/>
      <c r="AO24" s="253"/>
      <c r="AP24" s="253"/>
      <c r="AQ24" s="253"/>
      <c r="AR24" s="254"/>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1" t="str">
        <f>IF(Roster!$A$5=0,"","#"&amp;Roster!$A$5)</f>
        <v>#4</v>
      </c>
      <c r="C26" s="183"/>
      <c r="D26" s="183"/>
      <c r="E26" s="183"/>
      <c r="F26" s="183"/>
      <c r="G26" s="183"/>
      <c r="H26" s="183"/>
      <c r="I26" s="183"/>
      <c r="J26" s="183"/>
      <c r="K26" s="183"/>
      <c r="L26" s="183"/>
      <c r="M26" s="183"/>
      <c r="N26" s="183"/>
      <c r="O26" s="183"/>
      <c r="P26" s="2"/>
      <c r="Q26" s="371" t="str">
        <f>IF(Roster!$A$6=0,"","#"&amp;Roster!$A$6)</f>
        <v>#5</v>
      </c>
      <c r="R26" s="183"/>
      <c r="S26" s="183"/>
      <c r="T26" s="183"/>
      <c r="U26" s="183"/>
      <c r="V26" s="183"/>
      <c r="W26" s="183"/>
      <c r="X26" s="183"/>
      <c r="Y26" s="183"/>
      <c r="Z26" s="183"/>
      <c r="AA26" s="183"/>
      <c r="AB26" s="183"/>
      <c r="AC26" s="183"/>
      <c r="AD26" s="183"/>
      <c r="AE26" s="2"/>
      <c r="AF26" s="371" t="str">
        <f>IF(Roster!$A$7=0,"","#"&amp;Roster!$A$7)</f>
        <v>#6</v>
      </c>
      <c r="AG26" s="183"/>
      <c r="AH26" s="183"/>
      <c r="AI26" s="183"/>
      <c r="AJ26" s="183"/>
      <c r="AK26" s="183"/>
      <c r="AL26" s="183"/>
      <c r="AM26" s="183"/>
      <c r="AN26" s="183"/>
      <c r="AO26" s="183"/>
      <c r="AP26" s="183"/>
      <c r="AQ26" s="183"/>
      <c r="AR26" s="183"/>
      <c r="AS26" s="183"/>
      <c r="AT26" s="2"/>
      <c r="AU26" s="371" t="str">
        <f>IF(Roster!$A$8=0,"","#"&amp;Roster!$A$8)</f>
        <v>#7</v>
      </c>
      <c r="AV26" s="183"/>
      <c r="AW26" s="183"/>
      <c r="AX26" s="183"/>
      <c r="AY26" s="183"/>
      <c r="AZ26" s="183"/>
      <c r="BA26" s="183"/>
      <c r="BB26" s="183"/>
      <c r="BC26" s="183"/>
      <c r="BD26" s="183"/>
      <c r="BE26" s="183"/>
      <c r="BF26" s="183"/>
      <c r="BG26" s="183"/>
      <c r="BH26" s="183"/>
    </row>
    <row r="27" spans="1:60" ht="15" customHeight="1">
      <c r="A27" s="2"/>
      <c r="B27" s="249"/>
      <c r="C27" s="356" t="str">
        <f>IF(Roster!$B$5=0,"",Roster!$B$5)</f>
        <v>Click</v>
      </c>
      <c r="D27" s="253"/>
      <c r="E27" s="253"/>
      <c r="F27" s="253"/>
      <c r="G27" s="253"/>
      <c r="H27" s="253"/>
      <c r="I27" s="253"/>
      <c r="J27" s="253"/>
      <c r="K27" s="253"/>
      <c r="L27" s="253"/>
      <c r="M27" s="253"/>
      <c r="N27" s="254"/>
      <c r="O27" s="183"/>
      <c r="P27" s="2"/>
      <c r="Q27" s="249"/>
      <c r="R27" s="356" t="str">
        <f>IF(Roster!$B$6=0,"",Roster!$B$6)</f>
        <v>Blitz</v>
      </c>
      <c r="S27" s="253"/>
      <c r="T27" s="253"/>
      <c r="U27" s="253"/>
      <c r="V27" s="253"/>
      <c r="W27" s="253"/>
      <c r="X27" s="253"/>
      <c r="Y27" s="253"/>
      <c r="Z27" s="253"/>
      <c r="AA27" s="253"/>
      <c r="AB27" s="253"/>
      <c r="AC27" s="254"/>
      <c r="AD27" s="183"/>
      <c r="AE27" s="2"/>
      <c r="AF27" s="249"/>
      <c r="AG27" s="356" t="str">
        <f>IF(Roster!$B$7=0,"",Roster!$B$7)</f>
        <v>Strokk</v>
      </c>
      <c r="AH27" s="253"/>
      <c r="AI27" s="253"/>
      <c r="AJ27" s="253"/>
      <c r="AK27" s="253"/>
      <c r="AL27" s="253"/>
      <c r="AM27" s="253"/>
      <c r="AN27" s="253"/>
      <c r="AO27" s="253"/>
      <c r="AP27" s="253"/>
      <c r="AQ27" s="253"/>
      <c r="AR27" s="254"/>
      <c r="AS27" s="183"/>
      <c r="AT27" s="2"/>
      <c r="AU27" s="249"/>
      <c r="AV27" s="356" t="str">
        <f>IF(Roster!$B$8=0,"",Roster!$B$8)</f>
        <v>Teddy</v>
      </c>
      <c r="AW27" s="253"/>
      <c r="AX27" s="253"/>
      <c r="AY27" s="253"/>
      <c r="AZ27" s="253"/>
      <c r="BA27" s="253"/>
      <c r="BB27" s="253"/>
      <c r="BC27" s="253"/>
      <c r="BD27" s="253"/>
      <c r="BE27" s="253"/>
      <c r="BF27" s="253"/>
      <c r="BG27" s="254"/>
      <c r="BH27" s="183"/>
    </row>
    <row r="28" spans="1:60" ht="11.25" customHeight="1">
      <c r="A28" s="2"/>
      <c r="B28" s="250"/>
      <c r="C28" s="372" t="str">
        <f>IF(Roster!$C$5=0,"",Roster!$C$5)</f>
        <v>Blitzer</v>
      </c>
      <c r="D28" s="253"/>
      <c r="E28" s="253"/>
      <c r="F28" s="253"/>
      <c r="G28" s="253"/>
      <c r="H28" s="253"/>
      <c r="I28" s="253"/>
      <c r="J28" s="253"/>
      <c r="K28" s="253"/>
      <c r="L28" s="253"/>
      <c r="M28" s="253"/>
      <c r="N28" s="254"/>
      <c r="O28" s="184"/>
      <c r="P28" s="2"/>
      <c r="Q28" s="250"/>
      <c r="R28" s="372" t="str">
        <f>IF(Roster!$C$6=0,"",Roster!$C$6)</f>
        <v>Blitzer</v>
      </c>
      <c r="S28" s="253"/>
      <c r="T28" s="253"/>
      <c r="U28" s="253"/>
      <c r="V28" s="253"/>
      <c r="W28" s="253"/>
      <c r="X28" s="253"/>
      <c r="Y28" s="253"/>
      <c r="Z28" s="253"/>
      <c r="AA28" s="253"/>
      <c r="AB28" s="253"/>
      <c r="AC28" s="254"/>
      <c r="AD28" s="184"/>
      <c r="AE28" s="2"/>
      <c r="AF28" s="250"/>
      <c r="AG28" s="372" t="str">
        <f>IF(Roster!$C$7=0,"",Roster!$C$7)</f>
        <v>Big Un</v>
      </c>
      <c r="AH28" s="253"/>
      <c r="AI28" s="253"/>
      <c r="AJ28" s="253"/>
      <c r="AK28" s="253"/>
      <c r="AL28" s="253"/>
      <c r="AM28" s="253"/>
      <c r="AN28" s="253"/>
      <c r="AO28" s="253"/>
      <c r="AP28" s="253"/>
      <c r="AQ28" s="253"/>
      <c r="AR28" s="254"/>
      <c r="AS28" s="184"/>
      <c r="AT28" s="2"/>
      <c r="AU28" s="250"/>
      <c r="AV28" s="372" t="str">
        <f>IF(Roster!$C$8=0,"",Roster!$C$8)</f>
        <v>Big Un</v>
      </c>
      <c r="AW28" s="253"/>
      <c r="AX28" s="253"/>
      <c r="AY28" s="253"/>
      <c r="AZ28" s="253"/>
      <c r="BA28" s="253"/>
      <c r="BB28" s="253"/>
      <c r="BC28" s="253"/>
      <c r="BD28" s="253"/>
      <c r="BE28" s="253"/>
      <c r="BF28" s="253"/>
      <c r="BG28" s="254"/>
      <c r="BH28" s="184"/>
    </row>
    <row r="29" spans="1:60" ht="11.25" customHeight="1">
      <c r="A29" s="2"/>
      <c r="B29" s="187" t="str">
        <f>IF(Roster!$J$1=0,"",Roster!$J$1)</f>
        <v>MA</v>
      </c>
      <c r="C29" s="186"/>
      <c r="D29" s="370"/>
      <c r="E29" s="279"/>
      <c r="F29" s="279"/>
      <c r="G29" s="279"/>
      <c r="H29" s="279"/>
      <c r="I29" s="279"/>
      <c r="J29" s="279"/>
      <c r="K29" s="279"/>
      <c r="L29" s="279"/>
      <c r="M29" s="279"/>
      <c r="N29" s="279"/>
      <c r="O29" s="183"/>
      <c r="P29" s="2"/>
      <c r="Q29" s="187" t="str">
        <f>IF(Roster!$J$1=0,"",Roster!$J$1)</f>
        <v>MA</v>
      </c>
      <c r="R29" s="186"/>
      <c r="S29" s="370"/>
      <c r="T29" s="279"/>
      <c r="U29" s="279"/>
      <c r="V29" s="279"/>
      <c r="W29" s="279"/>
      <c r="X29" s="279"/>
      <c r="Y29" s="279"/>
      <c r="Z29" s="279"/>
      <c r="AA29" s="279"/>
      <c r="AB29" s="279"/>
      <c r="AC29" s="279"/>
      <c r="AD29" s="183"/>
      <c r="AE29" s="2"/>
      <c r="AF29" s="187" t="str">
        <f>IF(Roster!$J$1=0,"",Roster!$J$1)</f>
        <v>MA</v>
      </c>
      <c r="AG29" s="186"/>
      <c r="AH29" s="370"/>
      <c r="AI29" s="279"/>
      <c r="AJ29" s="279"/>
      <c r="AK29" s="279"/>
      <c r="AL29" s="279"/>
      <c r="AM29" s="279"/>
      <c r="AN29" s="279"/>
      <c r="AO29" s="279"/>
      <c r="AP29" s="279"/>
      <c r="AQ29" s="279"/>
      <c r="AR29" s="279"/>
      <c r="AS29" s="183"/>
      <c r="AT29" s="2"/>
      <c r="AU29" s="187" t="str">
        <f>IF(Roster!$J$1=0,"",Roster!$J$1)</f>
        <v>MA</v>
      </c>
      <c r="AV29" s="186"/>
      <c r="AW29" s="370"/>
      <c r="AX29" s="279"/>
      <c r="AY29" s="279"/>
      <c r="AZ29" s="279"/>
      <c r="BA29" s="279"/>
      <c r="BB29" s="279"/>
      <c r="BC29" s="279"/>
      <c r="BD29" s="279"/>
      <c r="BE29" s="279"/>
      <c r="BF29" s="279"/>
      <c r="BG29" s="279"/>
      <c r="BH29" s="183"/>
    </row>
    <row r="30" spans="1:60" ht="37.5" customHeight="1">
      <c r="A30" s="2"/>
      <c r="B30" s="189">
        <f>IF(Roster!$J$5=0,"",Roster!$J$5)</f>
        <v>6</v>
      </c>
      <c r="C30" s="186"/>
      <c r="D30" s="279"/>
      <c r="E30" s="279"/>
      <c r="F30" s="279"/>
      <c r="G30" s="279"/>
      <c r="H30" s="279"/>
      <c r="I30" s="279"/>
      <c r="J30" s="279"/>
      <c r="K30" s="279"/>
      <c r="L30" s="279"/>
      <c r="M30" s="279"/>
      <c r="N30" s="279"/>
      <c r="O30" s="183"/>
      <c r="P30" s="2"/>
      <c r="Q30" s="189">
        <f>IF(Roster!$J$6=0,"",Roster!$J$6)</f>
        <v>6</v>
      </c>
      <c r="R30" s="186"/>
      <c r="S30" s="279"/>
      <c r="T30" s="279"/>
      <c r="U30" s="279"/>
      <c r="V30" s="279"/>
      <c r="W30" s="279"/>
      <c r="X30" s="279"/>
      <c r="Y30" s="279"/>
      <c r="Z30" s="279"/>
      <c r="AA30" s="279"/>
      <c r="AB30" s="279"/>
      <c r="AC30" s="279"/>
      <c r="AD30" s="183"/>
      <c r="AE30" s="2"/>
      <c r="AF30" s="189">
        <f>IF(Roster!$J$7=0,"",Roster!$J$7)</f>
        <v>5</v>
      </c>
      <c r="AG30" s="186"/>
      <c r="AH30" s="279"/>
      <c r="AI30" s="279"/>
      <c r="AJ30" s="279"/>
      <c r="AK30" s="279"/>
      <c r="AL30" s="279"/>
      <c r="AM30" s="279"/>
      <c r="AN30" s="279"/>
      <c r="AO30" s="279"/>
      <c r="AP30" s="279"/>
      <c r="AQ30" s="279"/>
      <c r="AR30" s="279"/>
      <c r="AS30" s="183"/>
      <c r="AT30" s="2"/>
      <c r="AU30" s="189">
        <f>IF(Roster!$J$8=0,"",Roster!$J$8)</f>
        <v>5</v>
      </c>
      <c r="AV30" s="186"/>
      <c r="AW30" s="279"/>
      <c r="AX30" s="279"/>
      <c r="AY30" s="279"/>
      <c r="AZ30" s="279"/>
      <c r="BA30" s="279"/>
      <c r="BB30" s="279"/>
      <c r="BC30" s="279"/>
      <c r="BD30" s="279"/>
      <c r="BE30" s="279"/>
      <c r="BF30" s="279"/>
      <c r="BG30" s="279"/>
      <c r="BH30" s="183"/>
    </row>
    <row r="31" spans="1:60" ht="11.25" customHeight="1">
      <c r="A31" s="2"/>
      <c r="B31" s="187" t="str">
        <f>IF(Roster!$K$1=0,"",Roster!$K$1)</f>
        <v>ST</v>
      </c>
      <c r="C31" s="186"/>
      <c r="D31" s="279"/>
      <c r="E31" s="279"/>
      <c r="F31" s="279"/>
      <c r="G31" s="279"/>
      <c r="H31" s="279"/>
      <c r="I31" s="279"/>
      <c r="J31" s="279"/>
      <c r="K31" s="279"/>
      <c r="L31" s="279"/>
      <c r="M31" s="279"/>
      <c r="N31" s="279"/>
      <c r="O31" s="183"/>
      <c r="P31" s="2"/>
      <c r="Q31" s="187" t="str">
        <f>IF(Roster!$K$1=0,"",Roster!$K$1)</f>
        <v>ST</v>
      </c>
      <c r="R31" s="186"/>
      <c r="S31" s="279"/>
      <c r="T31" s="279"/>
      <c r="U31" s="279"/>
      <c r="V31" s="279"/>
      <c r="W31" s="279"/>
      <c r="X31" s="279"/>
      <c r="Y31" s="279"/>
      <c r="Z31" s="279"/>
      <c r="AA31" s="279"/>
      <c r="AB31" s="279"/>
      <c r="AC31" s="279"/>
      <c r="AD31" s="183"/>
      <c r="AE31" s="2"/>
      <c r="AF31" s="187" t="str">
        <f>IF(Roster!$K$1=0,"",Roster!$K$1)</f>
        <v>ST</v>
      </c>
      <c r="AG31" s="186"/>
      <c r="AH31" s="279"/>
      <c r="AI31" s="279"/>
      <c r="AJ31" s="279"/>
      <c r="AK31" s="279"/>
      <c r="AL31" s="279"/>
      <c r="AM31" s="279"/>
      <c r="AN31" s="279"/>
      <c r="AO31" s="279"/>
      <c r="AP31" s="279"/>
      <c r="AQ31" s="279"/>
      <c r="AR31" s="279"/>
      <c r="AS31" s="183"/>
      <c r="AT31" s="2"/>
      <c r="AU31" s="187" t="str">
        <f>IF(Roster!$K$1=0,"",Roster!$K$1)</f>
        <v>ST</v>
      </c>
      <c r="AV31" s="186"/>
      <c r="AW31" s="279"/>
      <c r="AX31" s="279"/>
      <c r="AY31" s="279"/>
      <c r="AZ31" s="279"/>
      <c r="BA31" s="279"/>
      <c r="BB31" s="279"/>
      <c r="BC31" s="279"/>
      <c r="BD31" s="279"/>
      <c r="BE31" s="279"/>
      <c r="BF31" s="279"/>
      <c r="BG31" s="279"/>
      <c r="BH31" s="183"/>
    </row>
    <row r="32" spans="1:60" ht="37.5" customHeight="1">
      <c r="A32" s="2"/>
      <c r="B32" s="189">
        <f>IF(Roster!$K$5=0,"",Roster!$K$5)</f>
        <v>3</v>
      </c>
      <c r="C32" s="186"/>
      <c r="D32" s="279"/>
      <c r="E32" s="279"/>
      <c r="F32" s="279"/>
      <c r="G32" s="279"/>
      <c r="H32" s="279"/>
      <c r="I32" s="279"/>
      <c r="J32" s="279"/>
      <c r="K32" s="279"/>
      <c r="L32" s="279"/>
      <c r="M32" s="279"/>
      <c r="N32" s="279"/>
      <c r="O32" s="183"/>
      <c r="P32" s="2"/>
      <c r="Q32" s="189">
        <f>IF(Roster!$K$6=0,"",Roster!$K$6)</f>
        <v>3</v>
      </c>
      <c r="R32" s="186"/>
      <c r="S32" s="279"/>
      <c r="T32" s="279"/>
      <c r="U32" s="279"/>
      <c r="V32" s="279"/>
      <c r="W32" s="279"/>
      <c r="X32" s="279"/>
      <c r="Y32" s="279"/>
      <c r="Z32" s="279"/>
      <c r="AA32" s="279"/>
      <c r="AB32" s="279"/>
      <c r="AC32" s="279"/>
      <c r="AD32" s="183"/>
      <c r="AE32" s="2"/>
      <c r="AF32" s="189">
        <f>IF(Roster!$K$7=0,"",Roster!$K$7)</f>
        <v>4</v>
      </c>
      <c r="AG32" s="186"/>
      <c r="AH32" s="279"/>
      <c r="AI32" s="279"/>
      <c r="AJ32" s="279"/>
      <c r="AK32" s="279"/>
      <c r="AL32" s="279"/>
      <c r="AM32" s="279"/>
      <c r="AN32" s="279"/>
      <c r="AO32" s="279"/>
      <c r="AP32" s="279"/>
      <c r="AQ32" s="279"/>
      <c r="AR32" s="279"/>
      <c r="AS32" s="183"/>
      <c r="AT32" s="2"/>
      <c r="AU32" s="189">
        <f>IF(Roster!$K$8=0,"",Roster!$K$8)</f>
        <v>4</v>
      </c>
      <c r="AV32" s="186"/>
      <c r="AW32" s="279"/>
      <c r="AX32" s="279"/>
      <c r="AY32" s="279"/>
      <c r="AZ32" s="279"/>
      <c r="BA32" s="279"/>
      <c r="BB32" s="279"/>
      <c r="BC32" s="279"/>
      <c r="BD32" s="279"/>
      <c r="BE32" s="279"/>
      <c r="BF32" s="279"/>
      <c r="BG32" s="279"/>
      <c r="BH32" s="183"/>
    </row>
    <row r="33" spans="1:60" ht="11.25" customHeight="1">
      <c r="A33" s="2"/>
      <c r="B33" s="187" t="str">
        <f>IF(Roster!$L$1=0,"",Roster!$L$1)</f>
        <v>AG</v>
      </c>
      <c r="C33" s="186"/>
      <c r="D33" s="279"/>
      <c r="E33" s="279"/>
      <c r="F33" s="279"/>
      <c r="G33" s="279"/>
      <c r="H33" s="279"/>
      <c r="I33" s="279"/>
      <c r="J33" s="279"/>
      <c r="K33" s="279"/>
      <c r="L33" s="279"/>
      <c r="M33" s="279"/>
      <c r="N33" s="279"/>
      <c r="O33" s="183"/>
      <c r="P33" s="2"/>
      <c r="Q33" s="187" t="str">
        <f>IF(Roster!$L$1=0,"",Roster!$L$1)</f>
        <v>AG</v>
      </c>
      <c r="R33" s="186"/>
      <c r="S33" s="279"/>
      <c r="T33" s="279"/>
      <c r="U33" s="279"/>
      <c r="V33" s="279"/>
      <c r="W33" s="279"/>
      <c r="X33" s="279"/>
      <c r="Y33" s="279"/>
      <c r="Z33" s="279"/>
      <c r="AA33" s="279"/>
      <c r="AB33" s="279"/>
      <c r="AC33" s="279"/>
      <c r="AD33" s="183"/>
      <c r="AE33" s="2"/>
      <c r="AF33" s="187" t="str">
        <f>IF(Roster!$L$1=0,"",Roster!$L$1)</f>
        <v>AG</v>
      </c>
      <c r="AG33" s="186"/>
      <c r="AH33" s="279"/>
      <c r="AI33" s="279"/>
      <c r="AJ33" s="279"/>
      <c r="AK33" s="279"/>
      <c r="AL33" s="279"/>
      <c r="AM33" s="279"/>
      <c r="AN33" s="279"/>
      <c r="AO33" s="279"/>
      <c r="AP33" s="279"/>
      <c r="AQ33" s="279"/>
      <c r="AR33" s="279"/>
      <c r="AS33" s="183"/>
      <c r="AT33" s="2"/>
      <c r="AU33" s="187" t="str">
        <f>IF(Roster!$L$1=0,"",Roster!$L$1)</f>
        <v>AG</v>
      </c>
      <c r="AV33" s="186"/>
      <c r="AW33" s="279"/>
      <c r="AX33" s="279"/>
      <c r="AY33" s="279"/>
      <c r="AZ33" s="279"/>
      <c r="BA33" s="279"/>
      <c r="BB33" s="279"/>
      <c r="BC33" s="279"/>
      <c r="BD33" s="279"/>
      <c r="BE33" s="279"/>
      <c r="BF33" s="279"/>
      <c r="BG33" s="279"/>
      <c r="BH33" s="183"/>
    </row>
    <row r="34" spans="1:60" ht="37.5" customHeight="1">
      <c r="A34" s="2"/>
      <c r="B34" s="189" t="str">
        <f>IF(Roster!$L$5=0&amp;"+","",Roster!$L$5)</f>
        <v>3+</v>
      </c>
      <c r="C34" s="186"/>
      <c r="D34" s="279"/>
      <c r="E34" s="279"/>
      <c r="F34" s="279"/>
      <c r="G34" s="279"/>
      <c r="H34" s="279"/>
      <c r="I34" s="279"/>
      <c r="J34" s="279"/>
      <c r="K34" s="279"/>
      <c r="L34" s="279"/>
      <c r="M34" s="279"/>
      <c r="N34" s="279"/>
      <c r="O34" s="183"/>
      <c r="P34" s="2"/>
      <c r="Q34" s="189" t="str">
        <f>IF(Roster!$L$6=0&amp;"+","",Roster!$L$6)</f>
        <v>3+</v>
      </c>
      <c r="R34" s="186"/>
      <c r="S34" s="279"/>
      <c r="T34" s="279"/>
      <c r="U34" s="279"/>
      <c r="V34" s="279"/>
      <c r="W34" s="279"/>
      <c r="X34" s="279"/>
      <c r="Y34" s="279"/>
      <c r="Z34" s="279"/>
      <c r="AA34" s="279"/>
      <c r="AB34" s="279"/>
      <c r="AC34" s="279"/>
      <c r="AD34" s="183"/>
      <c r="AE34" s="2"/>
      <c r="AF34" s="189" t="str">
        <f>IF(Roster!$L$7=0&amp;"+","",Roster!$L$7)</f>
        <v>4+</v>
      </c>
      <c r="AG34" s="186"/>
      <c r="AH34" s="279"/>
      <c r="AI34" s="279"/>
      <c r="AJ34" s="279"/>
      <c r="AK34" s="279"/>
      <c r="AL34" s="279"/>
      <c r="AM34" s="279"/>
      <c r="AN34" s="279"/>
      <c r="AO34" s="279"/>
      <c r="AP34" s="279"/>
      <c r="AQ34" s="279"/>
      <c r="AR34" s="279"/>
      <c r="AS34" s="183"/>
      <c r="AT34" s="2"/>
      <c r="AU34" s="189" t="str">
        <f>IF(Roster!$L$8=0&amp;"+","",Roster!$L$8)</f>
        <v>4+</v>
      </c>
      <c r="AV34" s="186"/>
      <c r="AW34" s="279"/>
      <c r="AX34" s="279"/>
      <c r="AY34" s="279"/>
      <c r="AZ34" s="279"/>
      <c r="BA34" s="279"/>
      <c r="BB34" s="279"/>
      <c r="BC34" s="279"/>
      <c r="BD34" s="279"/>
      <c r="BE34" s="279"/>
      <c r="BF34" s="279"/>
      <c r="BG34" s="279"/>
      <c r="BH34" s="183"/>
    </row>
    <row r="35" spans="1:60" ht="11.25" customHeight="1">
      <c r="A35" s="2"/>
      <c r="B35" s="187" t="str">
        <f>IF(Roster!$M$1=0,"",Roster!$M$1)</f>
        <v>PA</v>
      </c>
      <c r="C35" s="186"/>
      <c r="D35" s="279"/>
      <c r="E35" s="279"/>
      <c r="F35" s="279"/>
      <c r="G35" s="279"/>
      <c r="H35" s="279"/>
      <c r="I35" s="279"/>
      <c r="J35" s="279"/>
      <c r="K35" s="279"/>
      <c r="L35" s="279"/>
      <c r="M35" s="279"/>
      <c r="N35" s="279"/>
      <c r="O35" s="192"/>
      <c r="P35" s="2"/>
      <c r="Q35" s="187" t="str">
        <f>IF(Roster!$M$1=0,"",Roster!$M$1)</f>
        <v>PA</v>
      </c>
      <c r="R35" s="186"/>
      <c r="S35" s="279"/>
      <c r="T35" s="279"/>
      <c r="U35" s="279"/>
      <c r="V35" s="279"/>
      <c r="W35" s="279"/>
      <c r="X35" s="279"/>
      <c r="Y35" s="279"/>
      <c r="Z35" s="279"/>
      <c r="AA35" s="279"/>
      <c r="AB35" s="279"/>
      <c r="AC35" s="279"/>
      <c r="AD35" s="192"/>
      <c r="AE35" s="2"/>
      <c r="AF35" s="187" t="str">
        <f>IF(Roster!$M$1=0,"",Roster!$M$1)</f>
        <v>PA</v>
      </c>
      <c r="AG35" s="186"/>
      <c r="AH35" s="279"/>
      <c r="AI35" s="279"/>
      <c r="AJ35" s="279"/>
      <c r="AK35" s="279"/>
      <c r="AL35" s="279"/>
      <c r="AM35" s="279"/>
      <c r="AN35" s="279"/>
      <c r="AO35" s="279"/>
      <c r="AP35" s="279"/>
      <c r="AQ35" s="279"/>
      <c r="AR35" s="279"/>
      <c r="AS35" s="192"/>
      <c r="AT35" s="2"/>
      <c r="AU35" s="187" t="str">
        <f>IF(Roster!$M$1=0,"",Roster!$M$1)</f>
        <v>PA</v>
      </c>
      <c r="AV35" s="186"/>
      <c r="AW35" s="279"/>
      <c r="AX35" s="279"/>
      <c r="AY35" s="279"/>
      <c r="AZ35" s="279"/>
      <c r="BA35" s="279"/>
      <c r="BB35" s="279"/>
      <c r="BC35" s="279"/>
      <c r="BD35" s="279"/>
      <c r="BE35" s="279"/>
      <c r="BF35" s="279"/>
      <c r="BG35" s="279"/>
      <c r="BH35" s="192"/>
    </row>
    <row r="36" spans="1:60" ht="6" customHeight="1">
      <c r="A36" s="2"/>
      <c r="B36" s="369" t="str">
        <f>IF(Roster!$M$5=0&amp;"+","",Roster!$M$5)</f>
        <v>4+</v>
      </c>
      <c r="C36" s="186"/>
      <c r="D36" s="279"/>
      <c r="E36" s="279"/>
      <c r="F36" s="279"/>
      <c r="G36" s="279"/>
      <c r="H36" s="279"/>
      <c r="I36" s="279"/>
      <c r="J36" s="279"/>
      <c r="K36" s="279"/>
      <c r="L36" s="279"/>
      <c r="M36" s="279"/>
      <c r="N36" s="279"/>
      <c r="O36" s="194"/>
      <c r="P36" s="2"/>
      <c r="Q36" s="369" t="str">
        <f>IF(Roster!$M$6=0&amp;"+","",Roster!$M$6)</f>
        <v>4+</v>
      </c>
      <c r="R36" s="186"/>
      <c r="S36" s="279"/>
      <c r="T36" s="279"/>
      <c r="U36" s="279"/>
      <c r="V36" s="279"/>
      <c r="W36" s="279"/>
      <c r="X36" s="279"/>
      <c r="Y36" s="279"/>
      <c r="Z36" s="279"/>
      <c r="AA36" s="279"/>
      <c r="AB36" s="279"/>
      <c r="AC36" s="279"/>
      <c r="AD36" s="194"/>
      <c r="AE36" s="2"/>
      <c r="AF36" s="369" t="str">
        <f>IF(Roster!$M$7=0&amp;"+","",Roster!$M$7)</f>
        <v/>
      </c>
      <c r="AG36" s="186"/>
      <c r="AH36" s="279"/>
      <c r="AI36" s="279"/>
      <c r="AJ36" s="279"/>
      <c r="AK36" s="279"/>
      <c r="AL36" s="279"/>
      <c r="AM36" s="279"/>
      <c r="AN36" s="279"/>
      <c r="AO36" s="279"/>
      <c r="AP36" s="279"/>
      <c r="AQ36" s="279"/>
      <c r="AR36" s="279"/>
      <c r="AS36" s="194"/>
      <c r="AT36" s="2"/>
      <c r="AU36" s="369" t="str">
        <f>IF(Roster!$M$8=0&amp;"+","",Roster!$M$8)</f>
        <v/>
      </c>
      <c r="AV36" s="186"/>
      <c r="AW36" s="279"/>
      <c r="AX36" s="279"/>
      <c r="AY36" s="279"/>
      <c r="AZ36" s="279"/>
      <c r="BA36" s="279"/>
      <c r="BB36" s="279"/>
      <c r="BC36" s="279"/>
      <c r="BD36" s="279"/>
      <c r="BE36" s="279"/>
      <c r="BF36" s="279"/>
      <c r="BG36" s="279"/>
      <c r="BH36" s="194"/>
    </row>
    <row r="37" spans="1:60" ht="4.5" customHeight="1">
      <c r="A37" s="2"/>
      <c r="B37" s="249"/>
      <c r="C37" s="186"/>
      <c r="D37" s="183"/>
      <c r="E37" s="193"/>
      <c r="F37" s="183"/>
      <c r="G37" s="193"/>
      <c r="H37" s="183"/>
      <c r="I37" s="193"/>
      <c r="J37" s="183"/>
      <c r="K37" s="193"/>
      <c r="L37" s="183"/>
      <c r="M37" s="193"/>
      <c r="N37" s="183"/>
      <c r="O37" s="194"/>
      <c r="P37" s="2"/>
      <c r="Q37" s="249"/>
      <c r="R37" s="186"/>
      <c r="S37" s="183"/>
      <c r="T37" s="193"/>
      <c r="U37" s="183"/>
      <c r="V37" s="193"/>
      <c r="W37" s="183"/>
      <c r="X37" s="193"/>
      <c r="Y37" s="183"/>
      <c r="Z37" s="193"/>
      <c r="AA37" s="183"/>
      <c r="AB37" s="193"/>
      <c r="AC37" s="183"/>
      <c r="AD37" s="194"/>
      <c r="AE37" s="2"/>
      <c r="AF37" s="249"/>
      <c r="AG37" s="186"/>
      <c r="AH37" s="183"/>
      <c r="AI37" s="193"/>
      <c r="AJ37" s="183"/>
      <c r="AK37" s="193"/>
      <c r="AL37" s="183"/>
      <c r="AM37" s="193"/>
      <c r="AN37" s="183"/>
      <c r="AO37" s="193"/>
      <c r="AP37" s="183"/>
      <c r="AQ37" s="193"/>
      <c r="AR37" s="183"/>
      <c r="AS37" s="194"/>
      <c r="AT37" s="2"/>
      <c r="AU37" s="249"/>
      <c r="AV37" s="186"/>
      <c r="AW37" s="183"/>
      <c r="AX37" s="193"/>
      <c r="AY37" s="183"/>
      <c r="AZ37" s="193"/>
      <c r="BA37" s="183"/>
      <c r="BB37" s="193"/>
      <c r="BC37" s="183"/>
      <c r="BD37" s="193"/>
      <c r="BE37" s="183"/>
      <c r="BF37" s="193"/>
      <c r="BG37" s="183"/>
      <c r="BH37" s="194"/>
    </row>
    <row r="38" spans="1:60" ht="11.25" customHeight="1">
      <c r="A38" s="2"/>
      <c r="B38" s="249"/>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49"/>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49"/>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49"/>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49"/>
      <c r="C39" s="188"/>
      <c r="D39" s="196" t="str">
        <f>IF(Roster!$AC$5=0,"",Roster!$AC$5)</f>
        <v/>
      </c>
      <c r="E39" s="188"/>
      <c r="F39" s="196" t="str">
        <f>IF((SUM(H39,J39,L39))=0,"",(SUM(H39,J39,L39)))</f>
        <v/>
      </c>
      <c r="G39" s="188"/>
      <c r="H39" s="196" t="str">
        <f>IF(Roster!$AF$5=0,"",Roster!$AF$5)</f>
        <v/>
      </c>
      <c r="I39" s="188"/>
      <c r="J39" s="196" t="str">
        <f>IF(Roster!$AG$5=0,"",Roster!$AG$5)</f>
        <v/>
      </c>
      <c r="K39" s="188"/>
      <c r="L39" s="196" t="str">
        <f>IF(Roster!$AH$5=0,"",Roster!$AH$5)</f>
        <v/>
      </c>
      <c r="M39" s="188"/>
      <c r="N39" s="196" t="str">
        <f>IF(Roster!$AB$5=0,"",Roster!$AB$5)</f>
        <v/>
      </c>
      <c r="O39" s="194"/>
      <c r="P39" s="2"/>
      <c r="Q39" s="249"/>
      <c r="R39" s="188"/>
      <c r="S39" s="196" t="str">
        <f>IF(Roster!$AC$6=0,"",Roster!$AC$6)</f>
        <v/>
      </c>
      <c r="T39" s="188"/>
      <c r="U39" s="196">
        <f>IF((SUM(W39,Y39,AA39))=0,"",(SUM(W39,Y39,AA39)))</f>
        <v>2</v>
      </c>
      <c r="V39" s="188"/>
      <c r="W39" s="196">
        <f>IF(Roster!$AF$6=0,"",Roster!$AF$6)</f>
        <v>1</v>
      </c>
      <c r="X39" s="188"/>
      <c r="Y39" s="196">
        <f>IF(Roster!$AG$6=0,"",Roster!$AG$6)</f>
        <v>1</v>
      </c>
      <c r="Z39" s="188"/>
      <c r="AA39" s="196" t="str">
        <f>IF(Roster!$AH$6=0,"",Roster!$AH$6)</f>
        <v/>
      </c>
      <c r="AB39" s="188"/>
      <c r="AC39" s="196" t="str">
        <f>IF(Roster!$AB$6=0,"",Roster!$AB$6)</f>
        <v/>
      </c>
      <c r="AD39" s="194"/>
      <c r="AE39" s="2"/>
      <c r="AF39" s="249"/>
      <c r="AG39" s="188"/>
      <c r="AH39" s="196" t="str">
        <f>IF(Roster!$AC$7=0,"",Roster!$AC$7)</f>
        <v/>
      </c>
      <c r="AI39" s="188"/>
      <c r="AJ39" s="196">
        <f>IF((SUM(AL39,AN39,AP39))=0,"",(SUM(AL39,AN39,AP39)))</f>
        <v>1</v>
      </c>
      <c r="AK39" s="188"/>
      <c r="AL39" s="196">
        <f>IF(Roster!$AF$7=0,"",Roster!$AF$7)</f>
        <v>1</v>
      </c>
      <c r="AM39" s="188"/>
      <c r="AN39" s="196" t="str">
        <f>IF(Roster!$AG$7=0,"",Roster!$AG$7)</f>
        <v/>
      </c>
      <c r="AO39" s="188"/>
      <c r="AP39" s="196" t="str">
        <f>IF(Roster!$AH$7=0,"",Roster!$AH$7)</f>
        <v/>
      </c>
      <c r="AQ39" s="188"/>
      <c r="AR39" s="196" t="str">
        <f>IF(Roster!$AB$7=0,"",Roster!$AB$7)</f>
        <v/>
      </c>
      <c r="AS39" s="194"/>
      <c r="AT39" s="2"/>
      <c r="AU39" s="249"/>
      <c r="AV39" s="188"/>
      <c r="AW39" s="196" t="str">
        <f>IF(Roster!$AC$8=0,"",Roster!$AC$8)</f>
        <v/>
      </c>
      <c r="AX39" s="188"/>
      <c r="AY39" s="196" t="str">
        <f>IF((SUM(BA39,BC39,BE39))=0,"",(SUM(BA39,BC39,BE39)))</f>
        <v/>
      </c>
      <c r="AZ39" s="188"/>
      <c r="BA39" s="196" t="str">
        <f>IF(Roster!$AF$8=0,"",Roster!$AF$8)</f>
        <v/>
      </c>
      <c r="BB39" s="188"/>
      <c r="BC39" s="196" t="str">
        <f>IF(Roster!$AG$8=0,"",Roster!$AG$8)</f>
        <v/>
      </c>
      <c r="BD39" s="188"/>
      <c r="BE39" s="196" t="str">
        <f>IF(Roster!$AH$8=0,"",Roster!$AH$8)</f>
        <v/>
      </c>
      <c r="BF39" s="188"/>
      <c r="BG39" s="196" t="str">
        <f>IF(Roster!$AB$8=0,"",Roster!$AB$8)</f>
        <v/>
      </c>
      <c r="BH39" s="194"/>
    </row>
    <row r="40" spans="1:60" ht="4.5" customHeight="1">
      <c r="A40" s="2"/>
      <c r="B40" s="250"/>
      <c r="C40" s="188"/>
      <c r="D40" s="197"/>
      <c r="E40" s="188"/>
      <c r="F40" s="197"/>
      <c r="G40" s="188"/>
      <c r="H40" s="197"/>
      <c r="I40" s="188"/>
      <c r="J40" s="197"/>
      <c r="K40" s="188"/>
      <c r="L40" s="197"/>
      <c r="M40" s="188"/>
      <c r="N40" s="197"/>
      <c r="O40" s="194"/>
      <c r="P40" s="2"/>
      <c r="Q40" s="250"/>
      <c r="R40" s="188"/>
      <c r="S40" s="197"/>
      <c r="T40" s="188"/>
      <c r="U40" s="197"/>
      <c r="V40" s="188"/>
      <c r="W40" s="197"/>
      <c r="X40" s="188"/>
      <c r="Y40" s="197"/>
      <c r="Z40" s="188"/>
      <c r="AA40" s="197"/>
      <c r="AB40" s="188"/>
      <c r="AC40" s="197"/>
      <c r="AD40" s="194"/>
      <c r="AE40" s="2"/>
      <c r="AF40" s="250"/>
      <c r="AG40" s="188"/>
      <c r="AH40" s="197"/>
      <c r="AI40" s="188"/>
      <c r="AJ40" s="197"/>
      <c r="AK40" s="188"/>
      <c r="AL40" s="197"/>
      <c r="AM40" s="188"/>
      <c r="AN40" s="197"/>
      <c r="AO40" s="188"/>
      <c r="AP40" s="197"/>
      <c r="AQ40" s="188"/>
      <c r="AR40" s="197"/>
      <c r="AS40" s="194"/>
      <c r="AT40" s="2"/>
      <c r="AU40" s="250"/>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69" t="str">
        <f>IF(Roster!$N$5=0&amp;"+","",Roster!$N$5)</f>
        <v>10+</v>
      </c>
      <c r="C42" s="188"/>
      <c r="D42" s="196" t="str">
        <f>IF(Roster!$AD$5=0,"",Roster!$AD$5)</f>
        <v/>
      </c>
      <c r="E42" s="188"/>
      <c r="F42" s="196" t="str">
        <f>IF(Roster!$AE$5=0,"",Roster!$AE$5)</f>
        <v/>
      </c>
      <c r="G42" s="188"/>
      <c r="H42" s="196" t="str">
        <f>IF(Roster!$AA$5=0,"",Roster!$AA$5)</f>
        <v/>
      </c>
      <c r="I42" s="188"/>
      <c r="J42" s="196" t="str">
        <f>IF(Roster!$AI$5=0,"",Roster!$AI$5)</f>
        <v/>
      </c>
      <c r="K42" s="188"/>
      <c r="L42" s="196" t="str">
        <f>IF(Roster!$AJ$5=0,"",Roster!$AJ$5)</f>
        <v/>
      </c>
      <c r="M42" s="188"/>
      <c r="N42" s="196" t="str">
        <f>IF(Roster!$Z$5=0,"",Roster!$Z$5)</f>
        <v/>
      </c>
      <c r="O42" s="199"/>
      <c r="P42" s="2"/>
      <c r="Q42" s="369" t="str">
        <f>IF(Roster!$N$6=0&amp;"+","",Roster!$N$6)</f>
        <v>10+</v>
      </c>
      <c r="R42" s="188"/>
      <c r="S42" s="196" t="str">
        <f>IF(Roster!$AD$6=0,"",Roster!$AD$6)</f>
        <v/>
      </c>
      <c r="T42" s="188"/>
      <c r="U42" s="196" t="str">
        <f>IF(Roster!$AE$6=0,"",Roster!$AE$6)</f>
        <v/>
      </c>
      <c r="V42" s="188"/>
      <c r="W42" s="196" t="str">
        <f>IF(Roster!$AA$6=0,"",Roster!$AA$6)</f>
        <v/>
      </c>
      <c r="X42" s="188"/>
      <c r="Y42" s="196">
        <f>IF(Roster!$AI$6=0,"",Roster!$AI$6)</f>
        <v>1</v>
      </c>
      <c r="Z42" s="188"/>
      <c r="AA42" s="196">
        <f>IF(Roster!$AJ$6=0,"",Roster!$AJ$6)</f>
        <v>8</v>
      </c>
      <c r="AB42" s="188"/>
      <c r="AC42" s="196" t="str">
        <f>IF(Roster!$Z$6=0,"",Roster!$Z$6)</f>
        <v/>
      </c>
      <c r="AD42" s="199"/>
      <c r="AE42" s="2"/>
      <c r="AF42" s="369" t="str">
        <f>IF(Roster!$N$7=0&amp;"+","",Roster!$N$7)</f>
        <v>10+</v>
      </c>
      <c r="AG42" s="188"/>
      <c r="AH42" s="196" t="str">
        <f>IF(Roster!$AD$7=0,"",Roster!$AD$7)</f>
        <v/>
      </c>
      <c r="AI42" s="188"/>
      <c r="AJ42" s="196" t="str">
        <f>IF(Roster!$AE$7=0,"",Roster!$AE$7)</f>
        <v/>
      </c>
      <c r="AK42" s="188"/>
      <c r="AL42" s="196" t="str">
        <f>IF(Roster!$AA$7=0,"",Roster!$AA$7)</f>
        <v/>
      </c>
      <c r="AM42" s="188"/>
      <c r="AN42" s="196">
        <f>IF(Roster!$AI$7=0,"",Roster!$AI$7)</f>
        <v>1</v>
      </c>
      <c r="AO42" s="188"/>
      <c r="AP42" s="196">
        <f>IF(Roster!$AJ$7=0,"",Roster!$AJ$7)</f>
        <v>6</v>
      </c>
      <c r="AQ42" s="188"/>
      <c r="AR42" s="196" t="str">
        <f>IF(Roster!$Z$7=0,"",Roster!$Z$7)</f>
        <v/>
      </c>
      <c r="AS42" s="199"/>
      <c r="AT42" s="2"/>
      <c r="AU42" s="369" t="str">
        <f>IF(Roster!$N$8=0&amp;"+","",Roster!$N$8)</f>
        <v>10+</v>
      </c>
      <c r="AV42" s="188"/>
      <c r="AW42" s="196" t="str">
        <f>IF(Roster!$AD$8=0,"",Roster!$AD$8)</f>
        <v/>
      </c>
      <c r="AX42" s="188"/>
      <c r="AY42" s="196" t="str">
        <f>IF(Roster!$AE$8=0,"",Roster!$AE$8)</f>
        <v/>
      </c>
      <c r="AZ42" s="188"/>
      <c r="BA42" s="196" t="str">
        <f>IF(Roster!$AA$8=0,"",Roster!$AA$8)</f>
        <v/>
      </c>
      <c r="BB42" s="188"/>
      <c r="BC42" s="196" t="str">
        <f>IF(Roster!$AI$8=0,"",Roster!$AI$8)</f>
        <v/>
      </c>
      <c r="BD42" s="188"/>
      <c r="BE42" s="196" t="str">
        <f>IF(Roster!$AJ$8=0,"",Roster!$AJ$8)</f>
        <v/>
      </c>
      <c r="BF42" s="188"/>
      <c r="BG42" s="196" t="str">
        <f>IF(Roster!$Z$8=0,"",Roster!$Z$8)</f>
        <v/>
      </c>
      <c r="BH42" s="199"/>
    </row>
    <row r="43" spans="1:60" ht="4.5" customHeight="1">
      <c r="A43" s="2"/>
      <c r="B43" s="249"/>
      <c r="C43" s="188"/>
      <c r="D43" s="188"/>
      <c r="E43" s="188"/>
      <c r="F43" s="188"/>
      <c r="G43" s="188"/>
      <c r="H43" s="188"/>
      <c r="I43" s="188"/>
      <c r="J43" s="188"/>
      <c r="K43" s="188"/>
      <c r="L43" s="188"/>
      <c r="M43" s="188"/>
      <c r="N43" s="194"/>
      <c r="O43" s="199"/>
      <c r="P43" s="2"/>
      <c r="Q43" s="249"/>
      <c r="R43" s="188"/>
      <c r="S43" s="188"/>
      <c r="T43" s="188"/>
      <c r="U43" s="188"/>
      <c r="V43" s="188"/>
      <c r="W43" s="188"/>
      <c r="X43" s="188"/>
      <c r="Y43" s="188"/>
      <c r="Z43" s="188"/>
      <c r="AA43" s="188"/>
      <c r="AB43" s="188"/>
      <c r="AC43" s="194"/>
      <c r="AD43" s="199"/>
      <c r="AE43" s="2"/>
      <c r="AF43" s="249"/>
      <c r="AG43" s="188"/>
      <c r="AH43" s="188"/>
      <c r="AI43" s="188"/>
      <c r="AJ43" s="188"/>
      <c r="AK43" s="188"/>
      <c r="AL43" s="188"/>
      <c r="AM43" s="188"/>
      <c r="AN43" s="188"/>
      <c r="AO43" s="188"/>
      <c r="AP43" s="188"/>
      <c r="AQ43" s="188"/>
      <c r="AR43" s="194"/>
      <c r="AS43" s="199"/>
      <c r="AT43" s="2"/>
      <c r="AU43" s="249"/>
      <c r="AV43" s="188"/>
      <c r="AW43" s="188"/>
      <c r="AX43" s="188"/>
      <c r="AY43" s="188"/>
      <c r="AZ43" s="188"/>
      <c r="BA43" s="188"/>
      <c r="BB43" s="188"/>
      <c r="BC43" s="188"/>
      <c r="BD43" s="188"/>
      <c r="BE43" s="188"/>
      <c r="BF43" s="188"/>
      <c r="BG43" s="194"/>
      <c r="BH43" s="199"/>
    </row>
    <row r="44" spans="1:60" ht="11.25" customHeight="1">
      <c r="A44" s="2"/>
      <c r="B44" s="249"/>
      <c r="C44" s="188"/>
      <c r="D44" s="355" t="str">
        <f>IF(Roster!$J$25="Italiano","ABILITÀ &amp; TRATTI",(IF(Roster!$J$25="Español","HABILIDADES Y RASGOS","SKILLS &amp; TRAITS")))</f>
        <v>ABILITÀ &amp; TRATTI</v>
      </c>
      <c r="E44" s="253"/>
      <c r="F44" s="253"/>
      <c r="G44" s="253"/>
      <c r="H44" s="253"/>
      <c r="I44" s="253"/>
      <c r="J44" s="253"/>
      <c r="K44" s="253"/>
      <c r="L44" s="253"/>
      <c r="M44" s="253"/>
      <c r="N44" s="254"/>
      <c r="O44" s="199"/>
      <c r="P44" s="2"/>
      <c r="Q44" s="249"/>
      <c r="R44" s="188"/>
      <c r="S44" s="355" t="str">
        <f>IF(Roster!$J$25="Italiano","ABILITÀ &amp; TRATTI",(IF(Roster!$J$25="Español","HABILIDADES Y RASGOS","SKILLS &amp; TRAITS")))</f>
        <v>ABILITÀ &amp; TRATTI</v>
      </c>
      <c r="T44" s="253"/>
      <c r="U44" s="253"/>
      <c r="V44" s="253"/>
      <c r="W44" s="253"/>
      <c r="X44" s="253"/>
      <c r="Y44" s="253"/>
      <c r="Z44" s="253"/>
      <c r="AA44" s="253"/>
      <c r="AB44" s="253"/>
      <c r="AC44" s="254"/>
      <c r="AD44" s="199"/>
      <c r="AE44" s="2"/>
      <c r="AF44" s="249"/>
      <c r="AG44" s="188"/>
      <c r="AH44" s="355" t="str">
        <f>IF(Roster!$J$25="Italiano","ABILITÀ &amp; TRATTI",(IF(Roster!$J$25="Español","HABILIDADES Y RASGOS","SKILLS &amp; TRAITS")))</f>
        <v>ABILITÀ &amp; TRATTI</v>
      </c>
      <c r="AI44" s="253"/>
      <c r="AJ44" s="253"/>
      <c r="AK44" s="253"/>
      <c r="AL44" s="253"/>
      <c r="AM44" s="253"/>
      <c r="AN44" s="253"/>
      <c r="AO44" s="253"/>
      <c r="AP44" s="253"/>
      <c r="AQ44" s="253"/>
      <c r="AR44" s="254"/>
      <c r="AS44" s="199"/>
      <c r="AT44" s="2"/>
      <c r="AU44" s="249"/>
      <c r="AV44" s="188"/>
      <c r="AW44" s="355" t="str">
        <f>IF(Roster!$J$25="Italiano","ABILITÀ &amp; TRATTI",(IF(Roster!$J$25="Español","HABILIDADES Y RASGOS","SKILLS &amp; TRAITS")))</f>
        <v>ABILITÀ &amp; TRATTI</v>
      </c>
      <c r="AX44" s="253"/>
      <c r="AY44" s="253"/>
      <c r="AZ44" s="253"/>
      <c r="BA44" s="253"/>
      <c r="BB44" s="253"/>
      <c r="BC44" s="253"/>
      <c r="BD44" s="253"/>
      <c r="BE44" s="253"/>
      <c r="BF44" s="253"/>
      <c r="BG44" s="254"/>
      <c r="BH44" s="199"/>
    </row>
    <row r="45" spans="1:60" ht="6.75" customHeight="1">
      <c r="A45" s="2"/>
      <c r="B45" s="250"/>
      <c r="C45" s="188"/>
      <c r="D45" s="365" t="str">
        <f>IF(Roster!$O$5=0&amp;BF5,"",Roster!$O$5)</f>
        <v>Animosity (alle Mitspieler), Block</v>
      </c>
      <c r="E45" s="358"/>
      <c r="F45" s="358"/>
      <c r="G45" s="358"/>
      <c r="H45" s="358"/>
      <c r="I45" s="358"/>
      <c r="J45" s="358"/>
      <c r="K45" s="358"/>
      <c r="L45" s="358"/>
      <c r="M45" s="358"/>
      <c r="N45" s="359"/>
      <c r="O45" s="199"/>
      <c r="P45" s="2"/>
      <c r="Q45" s="250"/>
      <c r="R45" s="188"/>
      <c r="S45" s="365" t="str">
        <f>IF(Roster!$O$6=0&amp;BF6,"",Roster!$O$6)</f>
        <v>Animosity (alle Mitspieler), Block, Tackle</v>
      </c>
      <c r="T45" s="358"/>
      <c r="U45" s="358"/>
      <c r="V45" s="358"/>
      <c r="W45" s="358"/>
      <c r="X45" s="358"/>
      <c r="Y45" s="358"/>
      <c r="Z45" s="358"/>
      <c r="AA45" s="358"/>
      <c r="AB45" s="358"/>
      <c r="AC45" s="359"/>
      <c r="AD45" s="199"/>
      <c r="AE45" s="2"/>
      <c r="AF45" s="250"/>
      <c r="AG45" s="188"/>
      <c r="AH45" s="365" t="str">
        <f>IF(Roster!$O$7=0&amp;BF7,"",Roster!$O$7)</f>
        <v>Animosity (Big Un Blockers)</v>
      </c>
      <c r="AI45" s="358"/>
      <c r="AJ45" s="358"/>
      <c r="AK45" s="358"/>
      <c r="AL45" s="358"/>
      <c r="AM45" s="358"/>
      <c r="AN45" s="358"/>
      <c r="AO45" s="358"/>
      <c r="AP45" s="358"/>
      <c r="AQ45" s="358"/>
      <c r="AR45" s="359"/>
      <c r="AS45" s="199"/>
      <c r="AT45" s="2"/>
      <c r="AU45" s="250"/>
      <c r="AV45" s="188"/>
      <c r="AW45" s="365" t="str">
        <f>IF(Roster!$O$8=0&amp;BF8,"",Roster!$O$8)</f>
        <v>Animosity (Big Un Blockers) - 1 NI</v>
      </c>
      <c r="AX45" s="358"/>
      <c r="AY45" s="358"/>
      <c r="AZ45" s="358"/>
      <c r="BA45" s="358"/>
      <c r="BB45" s="358"/>
      <c r="BC45" s="358"/>
      <c r="BD45" s="358"/>
      <c r="BE45" s="358"/>
      <c r="BF45" s="358"/>
      <c r="BG45" s="359"/>
      <c r="BH45" s="199"/>
    </row>
    <row r="46" spans="1:60" ht="11.25" customHeight="1">
      <c r="A46" s="2"/>
      <c r="B46" s="187" t="str">
        <f>IF(Roster!$AN$1=0,"",Roster!$AN$1)</f>
        <v>COSTO</v>
      </c>
      <c r="C46" s="187"/>
      <c r="D46" s="360"/>
      <c r="E46" s="279"/>
      <c r="F46" s="279"/>
      <c r="G46" s="279"/>
      <c r="H46" s="279"/>
      <c r="I46" s="279"/>
      <c r="J46" s="279"/>
      <c r="K46" s="279"/>
      <c r="L46" s="279"/>
      <c r="M46" s="279"/>
      <c r="N46" s="338"/>
      <c r="O46" s="200"/>
      <c r="P46" s="2"/>
      <c r="Q46" s="187" t="str">
        <f>IF(Roster!$AN$1=0,"",Roster!$AN$1)</f>
        <v>COSTO</v>
      </c>
      <c r="R46" s="187"/>
      <c r="S46" s="360"/>
      <c r="T46" s="279"/>
      <c r="U46" s="279"/>
      <c r="V46" s="279"/>
      <c r="W46" s="279"/>
      <c r="X46" s="279"/>
      <c r="Y46" s="279"/>
      <c r="Z46" s="279"/>
      <c r="AA46" s="279"/>
      <c r="AB46" s="279"/>
      <c r="AC46" s="338"/>
      <c r="AD46" s="200"/>
      <c r="AE46" s="2"/>
      <c r="AF46" s="187" t="str">
        <f>IF(Roster!$AN$1=0,"",Roster!$AN$1)</f>
        <v>COSTO</v>
      </c>
      <c r="AG46" s="187"/>
      <c r="AH46" s="360"/>
      <c r="AI46" s="279"/>
      <c r="AJ46" s="279"/>
      <c r="AK46" s="279"/>
      <c r="AL46" s="279"/>
      <c r="AM46" s="279"/>
      <c r="AN46" s="279"/>
      <c r="AO46" s="279"/>
      <c r="AP46" s="279"/>
      <c r="AQ46" s="279"/>
      <c r="AR46" s="338"/>
      <c r="AS46" s="200"/>
      <c r="AT46" s="2"/>
      <c r="AU46" s="187" t="str">
        <f>IF(Roster!$AN$1=0,"",Roster!$AN$1)</f>
        <v>COSTO</v>
      </c>
      <c r="AV46" s="187"/>
      <c r="AW46" s="360"/>
      <c r="AX46" s="279"/>
      <c r="AY46" s="279"/>
      <c r="AZ46" s="279"/>
      <c r="BA46" s="279"/>
      <c r="BB46" s="279"/>
      <c r="BC46" s="279"/>
      <c r="BD46" s="279"/>
      <c r="BE46" s="279"/>
      <c r="BF46" s="279"/>
      <c r="BG46" s="338"/>
      <c r="BH46" s="200"/>
    </row>
    <row r="47" spans="1:60" ht="34.5" customHeight="1">
      <c r="A47" s="2"/>
      <c r="B47" s="202">
        <f>IF(Roster!$AN$5=0,"",Roster!$AN$5)</f>
        <v>80000</v>
      </c>
      <c r="C47" s="203"/>
      <c r="D47" s="361"/>
      <c r="E47" s="362"/>
      <c r="F47" s="362"/>
      <c r="G47" s="362"/>
      <c r="H47" s="362"/>
      <c r="I47" s="362"/>
      <c r="J47" s="362"/>
      <c r="K47" s="362"/>
      <c r="L47" s="362"/>
      <c r="M47" s="362"/>
      <c r="N47" s="363"/>
      <c r="O47" s="200"/>
      <c r="P47" s="2"/>
      <c r="Q47" s="202">
        <f>IF(Roster!$AN$6=0,"",Roster!$AN$6)</f>
        <v>100000</v>
      </c>
      <c r="R47" s="203"/>
      <c r="S47" s="361"/>
      <c r="T47" s="362"/>
      <c r="U47" s="362"/>
      <c r="V47" s="362"/>
      <c r="W47" s="362"/>
      <c r="X47" s="362"/>
      <c r="Y47" s="362"/>
      <c r="Z47" s="362"/>
      <c r="AA47" s="362"/>
      <c r="AB47" s="362"/>
      <c r="AC47" s="363"/>
      <c r="AD47" s="200"/>
      <c r="AE47" s="2"/>
      <c r="AF47" s="202">
        <f>IF(Roster!$AN$7=0,"",Roster!$AN$7)</f>
        <v>90000</v>
      </c>
      <c r="AG47" s="203"/>
      <c r="AH47" s="361"/>
      <c r="AI47" s="362"/>
      <c r="AJ47" s="362"/>
      <c r="AK47" s="362"/>
      <c r="AL47" s="362"/>
      <c r="AM47" s="362"/>
      <c r="AN47" s="362"/>
      <c r="AO47" s="362"/>
      <c r="AP47" s="362"/>
      <c r="AQ47" s="362"/>
      <c r="AR47" s="363"/>
      <c r="AS47" s="200"/>
      <c r="AT47" s="2"/>
      <c r="AU47" s="202">
        <f>IF(Roster!$AN$8=0,"",Roster!$AN$8)</f>
        <v>90000</v>
      </c>
      <c r="AV47" s="203"/>
      <c r="AW47" s="361"/>
      <c r="AX47" s="362"/>
      <c r="AY47" s="362"/>
      <c r="AZ47" s="362"/>
      <c r="BA47" s="362"/>
      <c r="BB47" s="362"/>
      <c r="BC47" s="362"/>
      <c r="BD47" s="362"/>
      <c r="BE47" s="362"/>
      <c r="BF47" s="362"/>
      <c r="BG47" s="363"/>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1" t="str">
        <f>IF(Roster!$A$9=0,"","#"&amp;Roster!$A$9)</f>
        <v>#8</v>
      </c>
      <c r="C50" s="183"/>
      <c r="D50" s="183"/>
      <c r="E50" s="183"/>
      <c r="F50" s="183"/>
      <c r="G50" s="183"/>
      <c r="H50" s="183"/>
      <c r="I50" s="183"/>
      <c r="J50" s="183"/>
      <c r="K50" s="183"/>
      <c r="L50" s="183"/>
      <c r="M50" s="183"/>
      <c r="N50" s="183"/>
      <c r="O50" s="183"/>
      <c r="P50" s="2"/>
      <c r="Q50" s="371" t="str">
        <f>IF(Roster!$A$10=0,"","#"&amp;Roster!$A$10)</f>
        <v>#9</v>
      </c>
      <c r="R50" s="183"/>
      <c r="S50" s="183"/>
      <c r="T50" s="183"/>
      <c r="U50" s="183"/>
      <c r="V50" s="183"/>
      <c r="W50" s="183"/>
      <c r="X50" s="183"/>
      <c r="Y50" s="183"/>
      <c r="Z50" s="183"/>
      <c r="AA50" s="183"/>
      <c r="AB50" s="183"/>
      <c r="AC50" s="183"/>
      <c r="AD50" s="183"/>
      <c r="AE50" s="2"/>
      <c r="AF50" s="371" t="str">
        <f>IF(Roster!$A$11=0,"","#"&amp;Roster!$A$11)</f>
        <v>#10</v>
      </c>
      <c r="AG50" s="183"/>
      <c r="AH50" s="183"/>
      <c r="AI50" s="183"/>
      <c r="AJ50" s="183"/>
      <c r="AK50" s="183"/>
      <c r="AL50" s="183"/>
      <c r="AM50" s="183"/>
      <c r="AN50" s="183"/>
      <c r="AO50" s="183"/>
      <c r="AP50" s="183"/>
      <c r="AQ50" s="183"/>
      <c r="AR50" s="183"/>
      <c r="AS50" s="183"/>
      <c r="AT50" s="2"/>
      <c r="AU50" s="371" t="str">
        <f>IF(Roster!$A$12=0,"","#"&amp;Roster!$A$12)</f>
        <v>#11</v>
      </c>
      <c r="AV50" s="183"/>
      <c r="AW50" s="183"/>
      <c r="AX50" s="183"/>
      <c r="AY50" s="183"/>
      <c r="AZ50" s="183"/>
      <c r="BA50" s="183"/>
      <c r="BB50" s="183"/>
      <c r="BC50" s="183"/>
      <c r="BD50" s="183"/>
      <c r="BE50" s="183"/>
      <c r="BF50" s="183"/>
      <c r="BG50" s="183"/>
      <c r="BH50" s="183"/>
    </row>
    <row r="51" spans="1:60" ht="15" customHeight="1">
      <c r="A51" s="2"/>
      <c r="B51" s="249"/>
      <c r="C51" s="356" t="str">
        <f>IF(Roster!$B$9=0,"",Roster!$B$9)</f>
        <v>Aramis</v>
      </c>
      <c r="D51" s="253"/>
      <c r="E51" s="253"/>
      <c r="F51" s="253"/>
      <c r="G51" s="253"/>
      <c r="H51" s="253"/>
      <c r="I51" s="253"/>
      <c r="J51" s="253"/>
      <c r="K51" s="253"/>
      <c r="L51" s="253"/>
      <c r="M51" s="253"/>
      <c r="N51" s="254"/>
      <c r="O51" s="183"/>
      <c r="P51" s="2"/>
      <c r="Q51" s="249"/>
      <c r="R51" s="356" t="str">
        <f>IF(Roster!$B$10=0,"",Roster!$B$10)</f>
        <v>D'Artagnan</v>
      </c>
      <c r="S51" s="253"/>
      <c r="T51" s="253"/>
      <c r="U51" s="253"/>
      <c r="V51" s="253"/>
      <c r="W51" s="253"/>
      <c r="X51" s="253"/>
      <c r="Y51" s="253"/>
      <c r="Z51" s="253"/>
      <c r="AA51" s="253"/>
      <c r="AB51" s="253"/>
      <c r="AC51" s="254"/>
      <c r="AD51" s="183"/>
      <c r="AE51" s="2"/>
      <c r="AF51" s="249"/>
      <c r="AG51" s="356" t="str">
        <f>IF(Roster!$B$11=0,"",Roster!$B$11)</f>
        <v>Gork</v>
      </c>
      <c r="AH51" s="253"/>
      <c r="AI51" s="253"/>
      <c r="AJ51" s="253"/>
      <c r="AK51" s="253"/>
      <c r="AL51" s="253"/>
      <c r="AM51" s="253"/>
      <c r="AN51" s="253"/>
      <c r="AO51" s="253"/>
      <c r="AP51" s="253"/>
      <c r="AQ51" s="253"/>
      <c r="AR51" s="254"/>
      <c r="AS51" s="183"/>
      <c r="AT51" s="2"/>
      <c r="AU51" s="249"/>
      <c r="AV51" s="356" t="str">
        <f>IF(Roster!$B$12=0,"",Roster!$B$12)</f>
        <v>Mork</v>
      </c>
      <c r="AW51" s="253"/>
      <c r="AX51" s="253"/>
      <c r="AY51" s="253"/>
      <c r="AZ51" s="253"/>
      <c r="BA51" s="253"/>
      <c r="BB51" s="253"/>
      <c r="BC51" s="253"/>
      <c r="BD51" s="253"/>
      <c r="BE51" s="253"/>
      <c r="BF51" s="253"/>
      <c r="BG51" s="254"/>
      <c r="BH51" s="183"/>
    </row>
    <row r="52" spans="1:60" ht="11.25" customHeight="1">
      <c r="A52" s="2"/>
      <c r="B52" s="250"/>
      <c r="C52" s="372" t="str">
        <f>IF(Roster!$C$9=0,"",Roster!$C$9)</f>
        <v>Big Un</v>
      </c>
      <c r="D52" s="253"/>
      <c r="E52" s="253"/>
      <c r="F52" s="253"/>
      <c r="G52" s="253"/>
      <c r="H52" s="253"/>
      <c r="I52" s="253"/>
      <c r="J52" s="253"/>
      <c r="K52" s="253"/>
      <c r="L52" s="253"/>
      <c r="M52" s="253"/>
      <c r="N52" s="254"/>
      <c r="O52" s="184"/>
      <c r="P52" s="2"/>
      <c r="Q52" s="250"/>
      <c r="R52" s="372" t="str">
        <f>IF(Roster!$C$10=0,"",Roster!$C$10)</f>
        <v>Big Un</v>
      </c>
      <c r="S52" s="253"/>
      <c r="T52" s="253"/>
      <c r="U52" s="253"/>
      <c r="V52" s="253"/>
      <c r="W52" s="253"/>
      <c r="X52" s="253"/>
      <c r="Y52" s="253"/>
      <c r="Z52" s="253"/>
      <c r="AA52" s="253"/>
      <c r="AB52" s="253"/>
      <c r="AC52" s="254"/>
      <c r="AD52" s="184"/>
      <c r="AE52" s="2"/>
      <c r="AF52" s="250"/>
      <c r="AG52" s="372" t="str">
        <f>IF(Roster!$C$11=0,"",Roster!$C$11)</f>
        <v>Lineman</v>
      </c>
      <c r="AH52" s="253"/>
      <c r="AI52" s="253"/>
      <c r="AJ52" s="253"/>
      <c r="AK52" s="253"/>
      <c r="AL52" s="253"/>
      <c r="AM52" s="253"/>
      <c r="AN52" s="253"/>
      <c r="AO52" s="253"/>
      <c r="AP52" s="253"/>
      <c r="AQ52" s="253"/>
      <c r="AR52" s="254"/>
      <c r="AS52" s="184"/>
      <c r="AT52" s="2"/>
      <c r="AU52" s="250"/>
      <c r="AV52" s="372" t="str">
        <f>IF(Roster!$C$12=0,"",Roster!$C$12)</f>
        <v>Lineman</v>
      </c>
      <c r="AW52" s="253"/>
      <c r="AX52" s="253"/>
      <c r="AY52" s="253"/>
      <c r="AZ52" s="253"/>
      <c r="BA52" s="253"/>
      <c r="BB52" s="253"/>
      <c r="BC52" s="253"/>
      <c r="BD52" s="253"/>
      <c r="BE52" s="253"/>
      <c r="BF52" s="253"/>
      <c r="BG52" s="254"/>
      <c r="BH52" s="184"/>
    </row>
    <row r="53" spans="1:60" ht="11.25" customHeight="1">
      <c r="A53" s="2"/>
      <c r="B53" s="187" t="str">
        <f>IF(Roster!$J$1=0,"",Roster!$J$1)</f>
        <v>MA</v>
      </c>
      <c r="C53" s="186"/>
      <c r="D53" s="370"/>
      <c r="E53" s="279"/>
      <c r="F53" s="279"/>
      <c r="G53" s="279"/>
      <c r="H53" s="279"/>
      <c r="I53" s="279"/>
      <c r="J53" s="279"/>
      <c r="K53" s="279"/>
      <c r="L53" s="279"/>
      <c r="M53" s="279"/>
      <c r="N53" s="279"/>
      <c r="O53" s="183"/>
      <c r="P53" s="2"/>
      <c r="Q53" s="187" t="str">
        <f>IF(Roster!$J$1=0,"",Roster!$J$1)</f>
        <v>MA</v>
      </c>
      <c r="R53" s="186"/>
      <c r="S53" s="370"/>
      <c r="T53" s="279"/>
      <c r="U53" s="279"/>
      <c r="V53" s="279"/>
      <c r="W53" s="279"/>
      <c r="X53" s="279"/>
      <c r="Y53" s="279"/>
      <c r="Z53" s="279"/>
      <c r="AA53" s="279"/>
      <c r="AB53" s="279"/>
      <c r="AC53" s="279"/>
      <c r="AD53" s="183"/>
      <c r="AE53" s="2"/>
      <c r="AF53" s="187" t="str">
        <f>IF(Roster!$J$1=0,"",Roster!$J$1)</f>
        <v>MA</v>
      </c>
      <c r="AG53" s="186"/>
      <c r="AH53" s="370"/>
      <c r="AI53" s="279"/>
      <c r="AJ53" s="279"/>
      <c r="AK53" s="279"/>
      <c r="AL53" s="279"/>
      <c r="AM53" s="279"/>
      <c r="AN53" s="279"/>
      <c r="AO53" s="279"/>
      <c r="AP53" s="279"/>
      <c r="AQ53" s="279"/>
      <c r="AR53" s="279"/>
      <c r="AS53" s="183"/>
      <c r="AT53" s="2"/>
      <c r="AU53" s="187" t="str">
        <f>IF(Roster!$J$1=0,"",Roster!$J$1)</f>
        <v>MA</v>
      </c>
      <c r="AV53" s="186"/>
      <c r="AW53" s="370"/>
      <c r="AX53" s="279"/>
      <c r="AY53" s="279"/>
      <c r="AZ53" s="279"/>
      <c r="BA53" s="279"/>
      <c r="BB53" s="279"/>
      <c r="BC53" s="279"/>
      <c r="BD53" s="279"/>
      <c r="BE53" s="279"/>
      <c r="BF53" s="279"/>
      <c r="BG53" s="279"/>
      <c r="BH53" s="183"/>
    </row>
    <row r="54" spans="1:60" ht="37.5" customHeight="1">
      <c r="A54" s="2"/>
      <c r="B54" s="189">
        <f>IF(Roster!$J$9=0,"",Roster!$J$9)</f>
        <v>5</v>
      </c>
      <c r="C54" s="186"/>
      <c r="D54" s="279"/>
      <c r="E54" s="279"/>
      <c r="F54" s="279"/>
      <c r="G54" s="279"/>
      <c r="H54" s="279"/>
      <c r="I54" s="279"/>
      <c r="J54" s="279"/>
      <c r="K54" s="279"/>
      <c r="L54" s="279"/>
      <c r="M54" s="279"/>
      <c r="N54" s="279"/>
      <c r="O54" s="183"/>
      <c r="P54" s="2"/>
      <c r="Q54" s="189">
        <f>IF(Roster!$J$10=0,"",Roster!$J$10)</f>
        <v>5</v>
      </c>
      <c r="R54" s="186"/>
      <c r="S54" s="279"/>
      <c r="T54" s="279"/>
      <c r="U54" s="279"/>
      <c r="V54" s="279"/>
      <c r="W54" s="279"/>
      <c r="X54" s="279"/>
      <c r="Y54" s="279"/>
      <c r="Z54" s="279"/>
      <c r="AA54" s="279"/>
      <c r="AB54" s="279"/>
      <c r="AC54" s="279"/>
      <c r="AD54" s="183"/>
      <c r="AE54" s="2"/>
      <c r="AF54" s="189">
        <f>IF(Roster!$J$11=0,"",Roster!$J$11)</f>
        <v>5</v>
      </c>
      <c r="AG54" s="186"/>
      <c r="AH54" s="279"/>
      <c r="AI54" s="279"/>
      <c r="AJ54" s="279"/>
      <c r="AK54" s="279"/>
      <c r="AL54" s="279"/>
      <c r="AM54" s="279"/>
      <c r="AN54" s="279"/>
      <c r="AO54" s="279"/>
      <c r="AP54" s="279"/>
      <c r="AQ54" s="279"/>
      <c r="AR54" s="279"/>
      <c r="AS54" s="183"/>
      <c r="AT54" s="2"/>
      <c r="AU54" s="189">
        <f>IF(Roster!$J$12=0,"",Roster!$J$12)</f>
        <v>5</v>
      </c>
      <c r="AV54" s="186"/>
      <c r="AW54" s="279"/>
      <c r="AX54" s="279"/>
      <c r="AY54" s="279"/>
      <c r="AZ54" s="279"/>
      <c r="BA54" s="279"/>
      <c r="BB54" s="279"/>
      <c r="BC54" s="279"/>
      <c r="BD54" s="279"/>
      <c r="BE54" s="279"/>
      <c r="BF54" s="279"/>
      <c r="BG54" s="279"/>
      <c r="BH54" s="183"/>
    </row>
    <row r="55" spans="1:60" ht="11.25" customHeight="1">
      <c r="A55" s="2"/>
      <c r="B55" s="187" t="str">
        <f>IF(Roster!$K$1=0,"",Roster!$K$1)</f>
        <v>ST</v>
      </c>
      <c r="C55" s="186"/>
      <c r="D55" s="279"/>
      <c r="E55" s="279"/>
      <c r="F55" s="279"/>
      <c r="G55" s="279"/>
      <c r="H55" s="279"/>
      <c r="I55" s="279"/>
      <c r="J55" s="279"/>
      <c r="K55" s="279"/>
      <c r="L55" s="279"/>
      <c r="M55" s="279"/>
      <c r="N55" s="279"/>
      <c r="O55" s="183"/>
      <c r="P55" s="2"/>
      <c r="Q55" s="187" t="str">
        <f>IF(Roster!$K$1=0,"",Roster!$K$1)</f>
        <v>ST</v>
      </c>
      <c r="R55" s="186"/>
      <c r="S55" s="279"/>
      <c r="T55" s="279"/>
      <c r="U55" s="279"/>
      <c r="V55" s="279"/>
      <c r="W55" s="279"/>
      <c r="X55" s="279"/>
      <c r="Y55" s="279"/>
      <c r="Z55" s="279"/>
      <c r="AA55" s="279"/>
      <c r="AB55" s="279"/>
      <c r="AC55" s="279"/>
      <c r="AD55" s="183"/>
      <c r="AE55" s="2"/>
      <c r="AF55" s="187" t="str">
        <f>IF(Roster!$K$1=0,"",Roster!$K$1)</f>
        <v>ST</v>
      </c>
      <c r="AG55" s="186"/>
      <c r="AH55" s="279"/>
      <c r="AI55" s="279"/>
      <c r="AJ55" s="279"/>
      <c r="AK55" s="279"/>
      <c r="AL55" s="279"/>
      <c r="AM55" s="279"/>
      <c r="AN55" s="279"/>
      <c r="AO55" s="279"/>
      <c r="AP55" s="279"/>
      <c r="AQ55" s="279"/>
      <c r="AR55" s="279"/>
      <c r="AS55" s="183"/>
      <c r="AT55" s="2"/>
      <c r="AU55" s="187" t="str">
        <f>IF(Roster!$K$1=0,"",Roster!$K$1)</f>
        <v>ST</v>
      </c>
      <c r="AV55" s="186"/>
      <c r="AW55" s="279"/>
      <c r="AX55" s="279"/>
      <c r="AY55" s="279"/>
      <c r="AZ55" s="279"/>
      <c r="BA55" s="279"/>
      <c r="BB55" s="279"/>
      <c r="BC55" s="279"/>
      <c r="BD55" s="279"/>
      <c r="BE55" s="279"/>
      <c r="BF55" s="279"/>
      <c r="BG55" s="279"/>
      <c r="BH55" s="183"/>
    </row>
    <row r="56" spans="1:60" ht="37.5" customHeight="1">
      <c r="A56" s="2"/>
      <c r="B56" s="189">
        <f>IF(Roster!$K$9=0,"",Roster!$K$9)</f>
        <v>4</v>
      </c>
      <c r="C56" s="186"/>
      <c r="D56" s="279"/>
      <c r="E56" s="279"/>
      <c r="F56" s="279"/>
      <c r="G56" s="279"/>
      <c r="H56" s="279"/>
      <c r="I56" s="279"/>
      <c r="J56" s="279"/>
      <c r="K56" s="279"/>
      <c r="L56" s="279"/>
      <c r="M56" s="279"/>
      <c r="N56" s="279"/>
      <c r="O56" s="183"/>
      <c r="P56" s="2"/>
      <c r="Q56" s="189">
        <f>IF(Roster!$K$10=0,"",Roster!$K$10)</f>
        <v>4</v>
      </c>
      <c r="R56" s="186"/>
      <c r="S56" s="279"/>
      <c r="T56" s="279"/>
      <c r="U56" s="279"/>
      <c r="V56" s="279"/>
      <c r="W56" s="279"/>
      <c r="X56" s="279"/>
      <c r="Y56" s="279"/>
      <c r="Z56" s="279"/>
      <c r="AA56" s="279"/>
      <c r="AB56" s="279"/>
      <c r="AC56" s="279"/>
      <c r="AD56" s="183"/>
      <c r="AE56" s="2"/>
      <c r="AF56" s="189">
        <f>IF(Roster!$K$11=0,"",Roster!$K$11)</f>
        <v>3</v>
      </c>
      <c r="AG56" s="186"/>
      <c r="AH56" s="279"/>
      <c r="AI56" s="279"/>
      <c r="AJ56" s="279"/>
      <c r="AK56" s="279"/>
      <c r="AL56" s="279"/>
      <c r="AM56" s="279"/>
      <c r="AN56" s="279"/>
      <c r="AO56" s="279"/>
      <c r="AP56" s="279"/>
      <c r="AQ56" s="279"/>
      <c r="AR56" s="279"/>
      <c r="AS56" s="183"/>
      <c r="AT56" s="2"/>
      <c r="AU56" s="189">
        <f>IF(Roster!$K$12=0,"",Roster!$K$12)</f>
        <v>3</v>
      </c>
      <c r="AV56" s="186"/>
      <c r="AW56" s="279"/>
      <c r="AX56" s="279"/>
      <c r="AY56" s="279"/>
      <c r="AZ56" s="279"/>
      <c r="BA56" s="279"/>
      <c r="BB56" s="279"/>
      <c r="BC56" s="279"/>
      <c r="BD56" s="279"/>
      <c r="BE56" s="279"/>
      <c r="BF56" s="279"/>
      <c r="BG56" s="279"/>
      <c r="BH56" s="183"/>
    </row>
    <row r="57" spans="1:60" ht="11.25" customHeight="1">
      <c r="A57" s="2"/>
      <c r="B57" s="187" t="str">
        <f>IF(Roster!$L$1=0,"",Roster!$L$1)</f>
        <v>AG</v>
      </c>
      <c r="C57" s="186"/>
      <c r="D57" s="279"/>
      <c r="E57" s="279"/>
      <c r="F57" s="279"/>
      <c r="G57" s="279"/>
      <c r="H57" s="279"/>
      <c r="I57" s="279"/>
      <c r="J57" s="279"/>
      <c r="K57" s="279"/>
      <c r="L57" s="279"/>
      <c r="M57" s="279"/>
      <c r="N57" s="279"/>
      <c r="O57" s="183"/>
      <c r="P57" s="2"/>
      <c r="Q57" s="187" t="str">
        <f>IF(Roster!$L$1=0,"",Roster!$L$1)</f>
        <v>AG</v>
      </c>
      <c r="R57" s="186"/>
      <c r="S57" s="279"/>
      <c r="T57" s="279"/>
      <c r="U57" s="279"/>
      <c r="V57" s="279"/>
      <c r="W57" s="279"/>
      <c r="X57" s="279"/>
      <c r="Y57" s="279"/>
      <c r="Z57" s="279"/>
      <c r="AA57" s="279"/>
      <c r="AB57" s="279"/>
      <c r="AC57" s="279"/>
      <c r="AD57" s="183"/>
      <c r="AE57" s="2"/>
      <c r="AF57" s="187" t="str">
        <f>IF(Roster!$L$1=0,"",Roster!$L$1)</f>
        <v>AG</v>
      </c>
      <c r="AG57" s="186"/>
      <c r="AH57" s="279"/>
      <c r="AI57" s="279"/>
      <c r="AJ57" s="279"/>
      <c r="AK57" s="279"/>
      <c r="AL57" s="279"/>
      <c r="AM57" s="279"/>
      <c r="AN57" s="279"/>
      <c r="AO57" s="279"/>
      <c r="AP57" s="279"/>
      <c r="AQ57" s="279"/>
      <c r="AR57" s="279"/>
      <c r="AS57" s="183"/>
      <c r="AT57" s="2"/>
      <c r="AU57" s="187" t="str">
        <f>IF(Roster!$L$1=0,"",Roster!$L$1)</f>
        <v>AG</v>
      </c>
      <c r="AV57" s="186"/>
      <c r="AW57" s="279"/>
      <c r="AX57" s="279"/>
      <c r="AY57" s="279"/>
      <c r="AZ57" s="279"/>
      <c r="BA57" s="279"/>
      <c r="BB57" s="279"/>
      <c r="BC57" s="279"/>
      <c r="BD57" s="279"/>
      <c r="BE57" s="279"/>
      <c r="BF57" s="279"/>
      <c r="BG57" s="279"/>
      <c r="BH57" s="183"/>
    </row>
    <row r="58" spans="1:60" ht="37.5" customHeight="1">
      <c r="A58" s="2"/>
      <c r="B58" s="189" t="str">
        <f>IF(Roster!$L$9=0&amp;"+","",Roster!$L$9)</f>
        <v>4+</v>
      </c>
      <c r="C58" s="186"/>
      <c r="D58" s="279"/>
      <c r="E58" s="279"/>
      <c r="F58" s="279"/>
      <c r="G58" s="279"/>
      <c r="H58" s="279"/>
      <c r="I58" s="279"/>
      <c r="J58" s="279"/>
      <c r="K58" s="279"/>
      <c r="L58" s="279"/>
      <c r="M58" s="279"/>
      <c r="N58" s="279"/>
      <c r="O58" s="183"/>
      <c r="P58" s="2"/>
      <c r="Q58" s="189" t="str">
        <f>IF(Roster!$L$10=0&amp;"+","",Roster!$L$10)</f>
        <v>4+</v>
      </c>
      <c r="R58" s="186"/>
      <c r="S58" s="279"/>
      <c r="T58" s="279"/>
      <c r="U58" s="279"/>
      <c r="V58" s="279"/>
      <c r="W58" s="279"/>
      <c r="X58" s="279"/>
      <c r="Y58" s="279"/>
      <c r="Z58" s="279"/>
      <c r="AA58" s="279"/>
      <c r="AB58" s="279"/>
      <c r="AC58" s="279"/>
      <c r="AD58" s="183"/>
      <c r="AE58" s="2"/>
      <c r="AF58" s="189" t="str">
        <f>IF(Roster!$L$11=0&amp;"+","",Roster!$L$11)</f>
        <v>3+</v>
      </c>
      <c r="AG58" s="186"/>
      <c r="AH58" s="279"/>
      <c r="AI58" s="279"/>
      <c r="AJ58" s="279"/>
      <c r="AK58" s="279"/>
      <c r="AL58" s="279"/>
      <c r="AM58" s="279"/>
      <c r="AN58" s="279"/>
      <c r="AO58" s="279"/>
      <c r="AP58" s="279"/>
      <c r="AQ58" s="279"/>
      <c r="AR58" s="279"/>
      <c r="AS58" s="183"/>
      <c r="AT58" s="2"/>
      <c r="AU58" s="189" t="str">
        <f>IF(Roster!$L$12=0&amp;"+","",Roster!$L$12)</f>
        <v>3+</v>
      </c>
      <c r="AV58" s="186"/>
      <c r="AW58" s="279"/>
      <c r="AX58" s="279"/>
      <c r="AY58" s="279"/>
      <c r="AZ58" s="279"/>
      <c r="BA58" s="279"/>
      <c r="BB58" s="279"/>
      <c r="BC58" s="279"/>
      <c r="BD58" s="279"/>
      <c r="BE58" s="279"/>
      <c r="BF58" s="279"/>
      <c r="BG58" s="279"/>
      <c r="BH58" s="183"/>
    </row>
    <row r="59" spans="1:60" ht="11.25" customHeight="1">
      <c r="A59" s="2"/>
      <c r="B59" s="187" t="str">
        <f>IF(Roster!$M$1=0,"",Roster!$M$1)</f>
        <v>PA</v>
      </c>
      <c r="C59" s="186"/>
      <c r="D59" s="279"/>
      <c r="E59" s="279"/>
      <c r="F59" s="279"/>
      <c r="G59" s="279"/>
      <c r="H59" s="279"/>
      <c r="I59" s="279"/>
      <c r="J59" s="279"/>
      <c r="K59" s="279"/>
      <c r="L59" s="279"/>
      <c r="M59" s="279"/>
      <c r="N59" s="279"/>
      <c r="O59" s="192"/>
      <c r="P59" s="2"/>
      <c r="Q59" s="187" t="str">
        <f>IF(Roster!$M$1=0,"",Roster!$M$1)</f>
        <v>PA</v>
      </c>
      <c r="R59" s="186"/>
      <c r="S59" s="279"/>
      <c r="T59" s="279"/>
      <c r="U59" s="279"/>
      <c r="V59" s="279"/>
      <c r="W59" s="279"/>
      <c r="X59" s="279"/>
      <c r="Y59" s="279"/>
      <c r="Z59" s="279"/>
      <c r="AA59" s="279"/>
      <c r="AB59" s="279"/>
      <c r="AC59" s="279"/>
      <c r="AD59" s="192"/>
      <c r="AE59" s="2"/>
      <c r="AF59" s="187" t="str">
        <f>IF(Roster!$M$1=0,"",Roster!$M$1)</f>
        <v>PA</v>
      </c>
      <c r="AG59" s="186"/>
      <c r="AH59" s="279"/>
      <c r="AI59" s="279"/>
      <c r="AJ59" s="279"/>
      <c r="AK59" s="279"/>
      <c r="AL59" s="279"/>
      <c r="AM59" s="279"/>
      <c r="AN59" s="279"/>
      <c r="AO59" s="279"/>
      <c r="AP59" s="279"/>
      <c r="AQ59" s="279"/>
      <c r="AR59" s="279"/>
      <c r="AS59" s="192"/>
      <c r="AT59" s="2"/>
      <c r="AU59" s="187" t="str">
        <f>IF(Roster!$M$1=0,"",Roster!$M$1)</f>
        <v>PA</v>
      </c>
      <c r="AV59" s="186"/>
      <c r="AW59" s="279"/>
      <c r="AX59" s="279"/>
      <c r="AY59" s="279"/>
      <c r="AZ59" s="279"/>
      <c r="BA59" s="279"/>
      <c r="BB59" s="279"/>
      <c r="BC59" s="279"/>
      <c r="BD59" s="279"/>
      <c r="BE59" s="279"/>
      <c r="BF59" s="279"/>
      <c r="BG59" s="279"/>
      <c r="BH59" s="192"/>
    </row>
    <row r="60" spans="1:60" ht="6" customHeight="1">
      <c r="A60" s="2"/>
      <c r="B60" s="369" t="str">
        <f>IF(Roster!$M$9=0&amp;"+","",Roster!$M$9)</f>
        <v/>
      </c>
      <c r="C60" s="186"/>
      <c r="D60" s="279"/>
      <c r="E60" s="279"/>
      <c r="F60" s="279"/>
      <c r="G60" s="279"/>
      <c r="H60" s="279"/>
      <c r="I60" s="279"/>
      <c r="J60" s="279"/>
      <c r="K60" s="279"/>
      <c r="L60" s="279"/>
      <c r="M60" s="279"/>
      <c r="N60" s="279"/>
      <c r="O60" s="194"/>
      <c r="P60" s="2"/>
      <c r="Q60" s="369" t="str">
        <f>IF(Roster!$M$10=0&amp;"+","",Roster!$M$10)</f>
        <v/>
      </c>
      <c r="R60" s="186"/>
      <c r="S60" s="279"/>
      <c r="T60" s="279"/>
      <c r="U60" s="279"/>
      <c r="V60" s="279"/>
      <c r="W60" s="279"/>
      <c r="X60" s="279"/>
      <c r="Y60" s="279"/>
      <c r="Z60" s="279"/>
      <c r="AA60" s="279"/>
      <c r="AB60" s="279"/>
      <c r="AC60" s="279"/>
      <c r="AD60" s="194"/>
      <c r="AE60" s="2"/>
      <c r="AF60" s="369" t="str">
        <f>IF(Roster!$M$11=0&amp;"+","",Roster!$M$11)</f>
        <v>4+</v>
      </c>
      <c r="AG60" s="186"/>
      <c r="AH60" s="279"/>
      <c r="AI60" s="279"/>
      <c r="AJ60" s="279"/>
      <c r="AK60" s="279"/>
      <c r="AL60" s="279"/>
      <c r="AM60" s="279"/>
      <c r="AN60" s="279"/>
      <c r="AO60" s="279"/>
      <c r="AP60" s="279"/>
      <c r="AQ60" s="279"/>
      <c r="AR60" s="279"/>
      <c r="AS60" s="194"/>
      <c r="AT60" s="2"/>
      <c r="AU60" s="369" t="str">
        <f>IF(Roster!$M$12=0&amp;"+","",Roster!$M$12)</f>
        <v>4+</v>
      </c>
      <c r="AV60" s="186"/>
      <c r="AW60" s="279"/>
      <c r="AX60" s="279"/>
      <c r="AY60" s="279"/>
      <c r="AZ60" s="279"/>
      <c r="BA60" s="279"/>
      <c r="BB60" s="279"/>
      <c r="BC60" s="279"/>
      <c r="BD60" s="279"/>
      <c r="BE60" s="279"/>
      <c r="BF60" s="279"/>
      <c r="BG60" s="279"/>
      <c r="BH60" s="194"/>
    </row>
    <row r="61" spans="1:60" ht="4.5" customHeight="1">
      <c r="A61" s="2"/>
      <c r="B61" s="249"/>
      <c r="C61" s="186"/>
      <c r="D61" s="183"/>
      <c r="E61" s="193"/>
      <c r="F61" s="183"/>
      <c r="G61" s="193"/>
      <c r="H61" s="183"/>
      <c r="I61" s="193"/>
      <c r="J61" s="183"/>
      <c r="K61" s="193"/>
      <c r="L61" s="183"/>
      <c r="M61" s="193"/>
      <c r="N61" s="183"/>
      <c r="O61" s="194"/>
      <c r="P61" s="2"/>
      <c r="Q61" s="249"/>
      <c r="R61" s="186"/>
      <c r="S61" s="183"/>
      <c r="T61" s="193"/>
      <c r="U61" s="183"/>
      <c r="V61" s="193"/>
      <c r="W61" s="183"/>
      <c r="X61" s="193"/>
      <c r="Y61" s="183"/>
      <c r="Z61" s="193"/>
      <c r="AA61" s="183"/>
      <c r="AB61" s="193"/>
      <c r="AC61" s="183"/>
      <c r="AD61" s="194"/>
      <c r="AE61" s="2"/>
      <c r="AF61" s="249"/>
      <c r="AG61" s="186"/>
      <c r="AH61" s="183"/>
      <c r="AI61" s="193"/>
      <c r="AJ61" s="183"/>
      <c r="AK61" s="193"/>
      <c r="AL61" s="183"/>
      <c r="AM61" s="193"/>
      <c r="AN61" s="183"/>
      <c r="AO61" s="193"/>
      <c r="AP61" s="183"/>
      <c r="AQ61" s="193"/>
      <c r="AR61" s="183"/>
      <c r="AS61" s="194"/>
      <c r="AT61" s="2"/>
      <c r="AU61" s="249"/>
      <c r="AV61" s="186"/>
      <c r="AW61" s="183"/>
      <c r="AX61" s="193"/>
      <c r="AY61" s="183"/>
      <c r="AZ61" s="193"/>
      <c r="BA61" s="183"/>
      <c r="BB61" s="193"/>
      <c r="BC61" s="183"/>
      <c r="BD61" s="193"/>
      <c r="BE61" s="183"/>
      <c r="BF61" s="193"/>
      <c r="BG61" s="183"/>
      <c r="BH61" s="194"/>
    </row>
    <row r="62" spans="1:60" ht="11.25" customHeight="1">
      <c r="A62" s="2"/>
      <c r="B62" s="249"/>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49"/>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49"/>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49"/>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49"/>
      <c r="C63" s="188"/>
      <c r="D63" s="196" t="str">
        <f>IF(Roster!$AC$9=0,"",Roster!$AC$9)</f>
        <v/>
      </c>
      <c r="E63" s="188"/>
      <c r="F63" s="196">
        <f>IF((SUM(H63,J63,L63))=0,"",(SUM(H63,J63,L63)))</f>
        <v>3</v>
      </c>
      <c r="G63" s="188"/>
      <c r="H63" s="196">
        <f>IF(Roster!$AF$9=0,"",Roster!$AF$9)</f>
        <v>2</v>
      </c>
      <c r="I63" s="188"/>
      <c r="J63" s="196">
        <f>IF(Roster!$AG$9=0,"",Roster!$AG$9)</f>
        <v>1</v>
      </c>
      <c r="K63" s="188"/>
      <c r="L63" s="196" t="str">
        <f>IF(Roster!$AH$9=0,"",Roster!$AH$9)</f>
        <v/>
      </c>
      <c r="M63" s="188"/>
      <c r="N63" s="196" t="str">
        <f>IF(Roster!$AB$9=0,"",Roster!$AB$9)</f>
        <v/>
      </c>
      <c r="O63" s="194"/>
      <c r="P63" s="2"/>
      <c r="Q63" s="249"/>
      <c r="R63" s="188"/>
      <c r="S63" s="196" t="str">
        <f>IF(Roster!$AC$10=0,"",Roster!$AC$10)</f>
        <v/>
      </c>
      <c r="T63" s="188"/>
      <c r="U63" s="196">
        <f>IF((SUM(W63,Y63,AA63))=0,"",(SUM(W63,Y63,AA63)))</f>
        <v>1</v>
      </c>
      <c r="V63" s="188"/>
      <c r="W63" s="196" t="str">
        <f>IF(Roster!$AF$10=0,"",Roster!$AF$10)</f>
        <v/>
      </c>
      <c r="X63" s="188"/>
      <c r="Y63" s="196">
        <f>IF(Roster!$AG$10=0,"",Roster!$AG$10)</f>
        <v>1</v>
      </c>
      <c r="Z63" s="188"/>
      <c r="AA63" s="196" t="str">
        <f>IF(Roster!$AH$10=0,"",Roster!$AH$10)</f>
        <v/>
      </c>
      <c r="AB63" s="188"/>
      <c r="AC63" s="196" t="str">
        <f>IF(Roster!$AB$10=0,"",Roster!$AB$10)</f>
        <v/>
      </c>
      <c r="AD63" s="194"/>
      <c r="AE63" s="2"/>
      <c r="AF63" s="249"/>
      <c r="AG63" s="188"/>
      <c r="AH63" s="196" t="str">
        <f>IF(Roster!$AC$11=0,"",Roster!$AC$11)</f>
        <v/>
      </c>
      <c r="AI63" s="188"/>
      <c r="AJ63" s="196">
        <f>IF((SUM(AL63,AN63,AP63))=0,"",(SUM(AL63,AN63,AP63)))</f>
        <v>1</v>
      </c>
      <c r="AK63" s="188"/>
      <c r="AL63" s="196" t="str">
        <f>IF(Roster!$AF$11=0,"",Roster!$AF$11)</f>
        <v/>
      </c>
      <c r="AM63" s="188"/>
      <c r="AN63" s="196">
        <f>IF(Roster!$AG$11=0,"",Roster!$AG$11)</f>
        <v>1</v>
      </c>
      <c r="AO63" s="188"/>
      <c r="AP63" s="196" t="str">
        <f>IF(Roster!$AH$11=0,"",Roster!$AH$11)</f>
        <v/>
      </c>
      <c r="AQ63" s="188"/>
      <c r="AR63" s="196">
        <f>IF(Roster!$AB$11=0,"",Roster!$AB$11)</f>
        <v>1</v>
      </c>
      <c r="AS63" s="194"/>
      <c r="AT63" s="2"/>
      <c r="AU63" s="249"/>
      <c r="AV63" s="188"/>
      <c r="AW63" s="196" t="str">
        <f>IF(Roster!$AC$12=0,"",Roster!$AC$12)</f>
        <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50"/>
      <c r="C64" s="188"/>
      <c r="D64" s="197"/>
      <c r="E64" s="188"/>
      <c r="F64" s="197"/>
      <c r="G64" s="188"/>
      <c r="H64" s="197"/>
      <c r="I64" s="188"/>
      <c r="J64" s="197"/>
      <c r="K64" s="188"/>
      <c r="L64" s="197"/>
      <c r="M64" s="188"/>
      <c r="N64" s="197"/>
      <c r="O64" s="194"/>
      <c r="P64" s="2"/>
      <c r="Q64" s="250"/>
      <c r="R64" s="188"/>
      <c r="S64" s="197"/>
      <c r="T64" s="188"/>
      <c r="U64" s="197"/>
      <c r="V64" s="188"/>
      <c r="W64" s="197"/>
      <c r="X64" s="188"/>
      <c r="Y64" s="197"/>
      <c r="Z64" s="188"/>
      <c r="AA64" s="197"/>
      <c r="AB64" s="188"/>
      <c r="AC64" s="197"/>
      <c r="AD64" s="194"/>
      <c r="AE64" s="2"/>
      <c r="AF64" s="250"/>
      <c r="AG64" s="188"/>
      <c r="AH64" s="197"/>
      <c r="AI64" s="188"/>
      <c r="AJ64" s="197"/>
      <c r="AK64" s="188"/>
      <c r="AL64" s="197"/>
      <c r="AM64" s="188"/>
      <c r="AN64" s="197"/>
      <c r="AO64" s="188"/>
      <c r="AP64" s="197"/>
      <c r="AQ64" s="188"/>
      <c r="AR64" s="197"/>
      <c r="AS64" s="194"/>
      <c r="AT64" s="2"/>
      <c r="AU64" s="250"/>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69" t="str">
        <f>IF(Roster!$N$9=0&amp;"+","",Roster!$N$9)</f>
        <v>10+</v>
      </c>
      <c r="C66" s="188"/>
      <c r="D66" s="196" t="str">
        <f>IF(Roster!$AD$9=0,"",Roster!$AD$9)</f>
        <v/>
      </c>
      <c r="E66" s="188"/>
      <c r="F66" s="196" t="str">
        <f>IF(Roster!$AE$9=0,"",Roster!$AE$9)</f>
        <v/>
      </c>
      <c r="G66" s="188"/>
      <c r="H66" s="196" t="str">
        <f>IF(Roster!$AA$9=0,"",Roster!$AA$9)</f>
        <v/>
      </c>
      <c r="I66" s="188"/>
      <c r="J66" s="196">
        <f>IF(Roster!$AI$9=0,"",Roster!$AI$9)</f>
        <v>1</v>
      </c>
      <c r="K66" s="188"/>
      <c r="L66" s="196">
        <f>IF(Roster!$AJ$9=0,"",Roster!$AJ$9)</f>
        <v>10</v>
      </c>
      <c r="M66" s="188"/>
      <c r="N66" s="196" t="str">
        <f>IF(Roster!$Z$9=0,"",Roster!$Z$9)</f>
        <v/>
      </c>
      <c r="O66" s="199"/>
      <c r="P66" s="2"/>
      <c r="Q66" s="369" t="str">
        <f>IF(Roster!$N$10=0&amp;"+","",Roster!$N$10)</f>
        <v>10+</v>
      </c>
      <c r="R66" s="188"/>
      <c r="S66" s="196" t="str">
        <f>IF(Roster!$AD$10=0,"",Roster!$AD$10)</f>
        <v/>
      </c>
      <c r="T66" s="188"/>
      <c r="U66" s="196" t="str">
        <f>IF(Roster!$AE$10=0,"",Roster!$AE$10)</f>
        <v/>
      </c>
      <c r="V66" s="188"/>
      <c r="W66" s="196" t="str">
        <f>IF(Roster!$AA$10=0,"",Roster!$AA$10)</f>
        <v/>
      </c>
      <c r="X66" s="188"/>
      <c r="Y66" s="196">
        <f>IF(Roster!$AI$10=0,"",Roster!$AI$10)</f>
        <v>1</v>
      </c>
      <c r="Z66" s="188"/>
      <c r="AA66" s="196">
        <f>IF(Roster!$AJ$10=0,"",Roster!$AJ$10)</f>
        <v>6</v>
      </c>
      <c r="AB66" s="188"/>
      <c r="AC66" s="196" t="str">
        <f>IF(Roster!$Z$10=0,"",Roster!$Z$10)</f>
        <v/>
      </c>
      <c r="AD66" s="199"/>
      <c r="AE66" s="2"/>
      <c r="AF66" s="369" t="str">
        <f>IF(Roster!$N$11=0&amp;"+","",Roster!$N$11)</f>
        <v>10+</v>
      </c>
      <c r="AG66" s="188"/>
      <c r="AH66" s="196" t="str">
        <f>IF(Roster!$AD$11=0,"",Roster!$AD$11)</f>
        <v/>
      </c>
      <c r="AI66" s="188"/>
      <c r="AJ66" s="196" t="str">
        <f>IF(Roster!$AE$11=0,"",Roster!$AE$11)</f>
        <v/>
      </c>
      <c r="AK66" s="188"/>
      <c r="AL66" s="196" t="str">
        <f>IF(Roster!$AA$11=0,"",Roster!$AA$11)</f>
        <v/>
      </c>
      <c r="AM66" s="188"/>
      <c r="AN66" s="196">
        <f>IF(Roster!$AI$11=0,"",Roster!$AI$11)</f>
        <v>1</v>
      </c>
      <c r="AO66" s="188"/>
      <c r="AP66" s="196">
        <f>IF(Roster!$AJ$11=0,"",Roster!$AJ$11)</f>
        <v>7</v>
      </c>
      <c r="AQ66" s="188"/>
      <c r="AR66" s="196" t="str">
        <f>IF(Roster!$Z$11=0,"",Roster!$Z$11)</f>
        <v/>
      </c>
      <c r="AS66" s="199"/>
      <c r="AT66" s="2"/>
      <c r="AU66" s="369" t="str">
        <f>IF(Roster!$N$12=0&amp;"+","",Roster!$N$12)</f>
        <v>10+</v>
      </c>
      <c r="AV66" s="188"/>
      <c r="AW66" s="196" t="str">
        <f>IF(Roster!$AD$12=0,"",Roster!$AD$12)</f>
        <v/>
      </c>
      <c r="AX66" s="188"/>
      <c r="AY66" s="196" t="str">
        <f>IF(Roster!$AE$12=0,"",Roster!$AE$12)</f>
        <v/>
      </c>
      <c r="AZ66" s="188"/>
      <c r="BA66" s="196" t="str">
        <f>IF(Roster!$AA$12=0,"",Roster!$AA$12)</f>
        <v/>
      </c>
      <c r="BB66" s="188"/>
      <c r="BC66" s="196" t="str">
        <f>IF(Roster!$AI$12=0,"",Roster!$AI$12)</f>
        <v/>
      </c>
      <c r="BD66" s="188"/>
      <c r="BE66" s="196" t="str">
        <f>IF(Roster!$AJ$12=0,"",Roster!$AJ$12)</f>
        <v/>
      </c>
      <c r="BF66" s="188"/>
      <c r="BG66" s="196" t="str">
        <f>IF(Roster!$Z$12=0,"",Roster!$Z$12)</f>
        <v/>
      </c>
      <c r="BH66" s="199"/>
    </row>
    <row r="67" spans="1:60" ht="4.5" customHeight="1">
      <c r="A67" s="2"/>
      <c r="B67" s="249"/>
      <c r="C67" s="188"/>
      <c r="D67" s="188"/>
      <c r="E67" s="188"/>
      <c r="F67" s="188"/>
      <c r="G67" s="188"/>
      <c r="H67" s="188"/>
      <c r="I67" s="188"/>
      <c r="J67" s="188"/>
      <c r="K67" s="188"/>
      <c r="L67" s="188"/>
      <c r="M67" s="188"/>
      <c r="N67" s="194"/>
      <c r="O67" s="199"/>
      <c r="P67" s="2"/>
      <c r="Q67" s="249"/>
      <c r="R67" s="188"/>
      <c r="S67" s="188"/>
      <c r="T67" s="188"/>
      <c r="U67" s="188"/>
      <c r="V67" s="188"/>
      <c r="W67" s="188"/>
      <c r="X67" s="188"/>
      <c r="Y67" s="188"/>
      <c r="Z67" s="188"/>
      <c r="AA67" s="188"/>
      <c r="AB67" s="188"/>
      <c r="AC67" s="194"/>
      <c r="AD67" s="199"/>
      <c r="AE67" s="2"/>
      <c r="AF67" s="249"/>
      <c r="AG67" s="188"/>
      <c r="AH67" s="188"/>
      <c r="AI67" s="188"/>
      <c r="AJ67" s="188"/>
      <c r="AK67" s="188"/>
      <c r="AL67" s="188"/>
      <c r="AM67" s="188"/>
      <c r="AN67" s="188"/>
      <c r="AO67" s="188"/>
      <c r="AP67" s="188"/>
      <c r="AQ67" s="188"/>
      <c r="AR67" s="194"/>
      <c r="AS67" s="199"/>
      <c r="AT67" s="2"/>
      <c r="AU67" s="249"/>
      <c r="AV67" s="188"/>
      <c r="AW67" s="188"/>
      <c r="AX67" s="188"/>
      <c r="AY67" s="188"/>
      <c r="AZ67" s="188"/>
      <c r="BA67" s="188"/>
      <c r="BB67" s="188"/>
      <c r="BC67" s="188"/>
      <c r="BD67" s="188"/>
      <c r="BE67" s="188"/>
      <c r="BF67" s="188"/>
      <c r="BG67" s="194"/>
      <c r="BH67" s="199"/>
    </row>
    <row r="68" spans="1:60" ht="11.25" customHeight="1">
      <c r="A68" s="2"/>
      <c r="B68" s="249"/>
      <c r="C68" s="188"/>
      <c r="D68" s="355" t="str">
        <f>IF(Roster!$J$25="Italiano","ABILITÀ &amp; TRATTI",(IF(Roster!$J$25="Español","HABILIDADES Y RASGOS","SKILLS &amp; TRAITS")))</f>
        <v>ABILITÀ &amp; TRATTI</v>
      </c>
      <c r="E68" s="253"/>
      <c r="F68" s="253"/>
      <c r="G68" s="253"/>
      <c r="H68" s="253"/>
      <c r="I68" s="253"/>
      <c r="J68" s="253"/>
      <c r="K68" s="253"/>
      <c r="L68" s="253"/>
      <c r="M68" s="253"/>
      <c r="N68" s="254"/>
      <c r="O68" s="199"/>
      <c r="P68" s="2"/>
      <c r="Q68" s="249"/>
      <c r="R68" s="188"/>
      <c r="S68" s="355" t="str">
        <f>IF(Roster!$J$25="Italiano","ABILITÀ &amp; TRATTI",(IF(Roster!$J$25="Español","HABILIDADES Y RASGOS","SKILLS &amp; TRAITS")))</f>
        <v>ABILITÀ &amp; TRATTI</v>
      </c>
      <c r="T68" s="253"/>
      <c r="U68" s="253"/>
      <c r="V68" s="253"/>
      <c r="W68" s="253"/>
      <c r="X68" s="253"/>
      <c r="Y68" s="253"/>
      <c r="Z68" s="253"/>
      <c r="AA68" s="253"/>
      <c r="AB68" s="253"/>
      <c r="AC68" s="254"/>
      <c r="AD68" s="199"/>
      <c r="AE68" s="2"/>
      <c r="AF68" s="249"/>
      <c r="AG68" s="188"/>
      <c r="AH68" s="355" t="str">
        <f>IF(Roster!$J$25="Italiano","ABILITÀ &amp; TRATTI",(IF(Roster!$J$25="Español","HABILIDADES Y RASGOS","SKILLS &amp; TRAITS")))</f>
        <v>ABILITÀ &amp; TRATTI</v>
      </c>
      <c r="AI68" s="253"/>
      <c r="AJ68" s="253"/>
      <c r="AK68" s="253"/>
      <c r="AL68" s="253"/>
      <c r="AM68" s="253"/>
      <c r="AN68" s="253"/>
      <c r="AO68" s="253"/>
      <c r="AP68" s="253"/>
      <c r="AQ68" s="253"/>
      <c r="AR68" s="254"/>
      <c r="AS68" s="199"/>
      <c r="AT68" s="2"/>
      <c r="AU68" s="249"/>
      <c r="AV68" s="188"/>
      <c r="AW68" s="355" t="str">
        <f>IF(Roster!$J$25="Italiano","ABILITÀ &amp; TRATTI",(IF(Roster!$J$25="Español","HABILIDADES Y RASGOS","SKILLS &amp; TRAITS")))</f>
        <v>ABILITÀ &amp; TRATTI</v>
      </c>
      <c r="AX68" s="253"/>
      <c r="AY68" s="253"/>
      <c r="AZ68" s="253"/>
      <c r="BA68" s="253"/>
      <c r="BB68" s="253"/>
      <c r="BC68" s="253"/>
      <c r="BD68" s="253"/>
      <c r="BE68" s="253"/>
      <c r="BF68" s="253"/>
      <c r="BG68" s="254"/>
      <c r="BH68" s="199"/>
    </row>
    <row r="69" spans="1:60" ht="6.75" customHeight="1">
      <c r="A69" s="2"/>
      <c r="B69" s="250"/>
      <c r="C69" s="188"/>
      <c r="D69" s="365" t="str">
        <f>IF(Roster!$O$9=0&amp;BF9,"",Roster!$O$9)</f>
        <v>Animosity (Big Un Blockers), Block, Wrestle</v>
      </c>
      <c r="E69" s="358"/>
      <c r="F69" s="358"/>
      <c r="G69" s="358"/>
      <c r="H69" s="358"/>
      <c r="I69" s="358"/>
      <c r="J69" s="358"/>
      <c r="K69" s="358"/>
      <c r="L69" s="358"/>
      <c r="M69" s="358"/>
      <c r="N69" s="359"/>
      <c r="O69" s="199"/>
      <c r="P69" s="2"/>
      <c r="Q69" s="250"/>
      <c r="R69" s="188"/>
      <c r="S69" s="365" t="str">
        <f>IF(Roster!$O$10=0&amp;BF10,"",Roster!$O$10)</f>
        <v>Animosity (Big Un Blockers), Block</v>
      </c>
      <c r="T69" s="358"/>
      <c r="U69" s="358"/>
      <c r="V69" s="358"/>
      <c r="W69" s="358"/>
      <c r="X69" s="358"/>
      <c r="Y69" s="358"/>
      <c r="Z69" s="358"/>
      <c r="AA69" s="358"/>
      <c r="AB69" s="358"/>
      <c r="AC69" s="359"/>
      <c r="AD69" s="199"/>
      <c r="AE69" s="2"/>
      <c r="AF69" s="250"/>
      <c r="AG69" s="188"/>
      <c r="AH69" s="365" t="str">
        <f>IF(Roster!$O$11=0&amp;BF11,"",Roster!$O$11)</f>
        <v>Animosity (Orc Linemen), Block</v>
      </c>
      <c r="AI69" s="358"/>
      <c r="AJ69" s="358"/>
      <c r="AK69" s="358"/>
      <c r="AL69" s="358"/>
      <c r="AM69" s="358"/>
      <c r="AN69" s="358"/>
      <c r="AO69" s="358"/>
      <c r="AP69" s="358"/>
      <c r="AQ69" s="358"/>
      <c r="AR69" s="359"/>
      <c r="AS69" s="199"/>
      <c r="AT69" s="2"/>
      <c r="AU69" s="250"/>
      <c r="AV69" s="188"/>
      <c r="AW69" s="365" t="str">
        <f>IF(Roster!$O$12=0&amp;BF12,"",Roster!$O$12)</f>
        <v>Animosity (Orc Linemen)</v>
      </c>
      <c r="AX69" s="358"/>
      <c r="AY69" s="358"/>
      <c r="AZ69" s="358"/>
      <c r="BA69" s="358"/>
      <c r="BB69" s="358"/>
      <c r="BC69" s="358"/>
      <c r="BD69" s="358"/>
      <c r="BE69" s="358"/>
      <c r="BF69" s="358"/>
      <c r="BG69" s="359"/>
      <c r="BH69" s="199"/>
    </row>
    <row r="70" spans="1:60" ht="11.25" customHeight="1">
      <c r="A70" s="2"/>
      <c r="B70" s="187" t="str">
        <f>IF(Roster!$AN$1=0,"",Roster!$AN$1)</f>
        <v>COSTO</v>
      </c>
      <c r="C70" s="187"/>
      <c r="D70" s="360"/>
      <c r="E70" s="279"/>
      <c r="F70" s="279"/>
      <c r="G70" s="279"/>
      <c r="H70" s="279"/>
      <c r="I70" s="279"/>
      <c r="J70" s="279"/>
      <c r="K70" s="279"/>
      <c r="L70" s="279"/>
      <c r="M70" s="279"/>
      <c r="N70" s="338"/>
      <c r="O70" s="200"/>
      <c r="P70" s="2"/>
      <c r="Q70" s="187" t="str">
        <f>IF(Roster!$AN$1=0,"",Roster!$AN$1)</f>
        <v>COSTO</v>
      </c>
      <c r="R70" s="187"/>
      <c r="S70" s="360"/>
      <c r="T70" s="279"/>
      <c r="U70" s="279"/>
      <c r="V70" s="279"/>
      <c r="W70" s="279"/>
      <c r="X70" s="279"/>
      <c r="Y70" s="279"/>
      <c r="Z70" s="279"/>
      <c r="AA70" s="279"/>
      <c r="AB70" s="279"/>
      <c r="AC70" s="338"/>
      <c r="AD70" s="200"/>
      <c r="AE70" s="2"/>
      <c r="AF70" s="187" t="str">
        <f>IF(Roster!$AN$1=0,"",Roster!$AN$1)</f>
        <v>COSTO</v>
      </c>
      <c r="AG70" s="187"/>
      <c r="AH70" s="360"/>
      <c r="AI70" s="279"/>
      <c r="AJ70" s="279"/>
      <c r="AK70" s="279"/>
      <c r="AL70" s="279"/>
      <c r="AM70" s="279"/>
      <c r="AN70" s="279"/>
      <c r="AO70" s="279"/>
      <c r="AP70" s="279"/>
      <c r="AQ70" s="279"/>
      <c r="AR70" s="338"/>
      <c r="AS70" s="200"/>
      <c r="AT70" s="2"/>
      <c r="AU70" s="187" t="str">
        <f>IF(Roster!$AN$1=0,"",Roster!$AN$1)</f>
        <v>COSTO</v>
      </c>
      <c r="AV70" s="187"/>
      <c r="AW70" s="360"/>
      <c r="AX70" s="279"/>
      <c r="AY70" s="279"/>
      <c r="AZ70" s="279"/>
      <c r="BA70" s="279"/>
      <c r="BB70" s="279"/>
      <c r="BC70" s="279"/>
      <c r="BD70" s="279"/>
      <c r="BE70" s="279"/>
      <c r="BF70" s="279"/>
      <c r="BG70" s="338"/>
      <c r="BH70" s="200"/>
    </row>
    <row r="71" spans="1:60" ht="34.5" customHeight="1">
      <c r="A71" s="2"/>
      <c r="B71" s="202">
        <f>IF(Roster!$AN$9=0,"",Roster!$AN$9)</f>
        <v>120000</v>
      </c>
      <c r="C71" s="203"/>
      <c r="D71" s="361"/>
      <c r="E71" s="362"/>
      <c r="F71" s="362"/>
      <c r="G71" s="362"/>
      <c r="H71" s="362"/>
      <c r="I71" s="362"/>
      <c r="J71" s="362"/>
      <c r="K71" s="362"/>
      <c r="L71" s="362"/>
      <c r="M71" s="362"/>
      <c r="N71" s="363"/>
      <c r="O71" s="200"/>
      <c r="P71" s="2"/>
      <c r="Q71" s="202">
        <f>IF(Roster!$AN$10=0,"",Roster!$AN$10)</f>
        <v>110000</v>
      </c>
      <c r="R71" s="203"/>
      <c r="S71" s="361"/>
      <c r="T71" s="362"/>
      <c r="U71" s="362"/>
      <c r="V71" s="362"/>
      <c r="W71" s="362"/>
      <c r="X71" s="362"/>
      <c r="Y71" s="362"/>
      <c r="Z71" s="362"/>
      <c r="AA71" s="362"/>
      <c r="AB71" s="362"/>
      <c r="AC71" s="363"/>
      <c r="AD71" s="200"/>
      <c r="AE71" s="2"/>
      <c r="AF71" s="202">
        <f>IF(Roster!$AN$11=0,"",Roster!$AN$11)</f>
        <v>70000</v>
      </c>
      <c r="AG71" s="203"/>
      <c r="AH71" s="361"/>
      <c r="AI71" s="362"/>
      <c r="AJ71" s="362"/>
      <c r="AK71" s="362"/>
      <c r="AL71" s="362"/>
      <c r="AM71" s="362"/>
      <c r="AN71" s="362"/>
      <c r="AO71" s="362"/>
      <c r="AP71" s="362"/>
      <c r="AQ71" s="362"/>
      <c r="AR71" s="363"/>
      <c r="AS71" s="200"/>
      <c r="AT71" s="2"/>
      <c r="AU71" s="202">
        <f>IF(Roster!$AN$12=0,"",Roster!$AN$12)</f>
        <v>50000</v>
      </c>
      <c r="AV71" s="203"/>
      <c r="AW71" s="361"/>
      <c r="AX71" s="362"/>
      <c r="AY71" s="362"/>
      <c r="AZ71" s="362"/>
      <c r="BA71" s="362"/>
      <c r="BB71" s="362"/>
      <c r="BC71" s="362"/>
      <c r="BD71" s="362"/>
      <c r="BE71" s="362"/>
      <c r="BF71" s="362"/>
      <c r="BG71" s="363"/>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1" t="str">
        <f>IF(Roster!$A$13=0,"","#"&amp;Roster!$A$13)</f>
        <v>#12</v>
      </c>
      <c r="C74" s="183"/>
      <c r="D74" s="183"/>
      <c r="E74" s="183"/>
      <c r="F74" s="183"/>
      <c r="G74" s="183"/>
      <c r="H74" s="183"/>
      <c r="I74" s="183"/>
      <c r="J74" s="183"/>
      <c r="K74" s="183"/>
      <c r="L74" s="183"/>
      <c r="M74" s="183"/>
      <c r="N74" s="183"/>
      <c r="O74" s="183"/>
      <c r="P74" s="2"/>
      <c r="Q74" s="371" t="str">
        <f>IF(Roster!$A$14=0,"","#"&amp;Roster!$A$14)</f>
        <v>#13</v>
      </c>
      <c r="R74" s="183"/>
      <c r="S74" s="183"/>
      <c r="T74" s="183"/>
      <c r="U74" s="183"/>
      <c r="V74" s="183"/>
      <c r="W74" s="183"/>
      <c r="X74" s="183"/>
      <c r="Y74" s="183"/>
      <c r="Z74" s="183"/>
      <c r="AA74" s="183"/>
      <c r="AB74" s="183"/>
      <c r="AC74" s="183"/>
      <c r="AD74" s="183"/>
      <c r="AE74" s="2"/>
      <c r="AF74" s="371" t="str">
        <f>IF(Roster!$A$15=0,"","#"&amp;Roster!$A$15)</f>
        <v>#14</v>
      </c>
      <c r="AG74" s="183"/>
      <c r="AH74" s="183"/>
      <c r="AI74" s="183"/>
      <c r="AJ74" s="183"/>
      <c r="AK74" s="183"/>
      <c r="AL74" s="183"/>
      <c r="AM74" s="183"/>
      <c r="AN74" s="183"/>
      <c r="AO74" s="183"/>
      <c r="AP74" s="183"/>
      <c r="AQ74" s="183"/>
      <c r="AR74" s="183"/>
      <c r="AS74" s="183"/>
      <c r="AT74" s="2"/>
      <c r="AU74" s="371" t="str">
        <f>IF(Roster!$A$16=0,"","#"&amp;Roster!$A$16)</f>
        <v>#15</v>
      </c>
      <c r="AV74" s="183"/>
      <c r="AW74" s="183"/>
      <c r="AX74" s="183"/>
      <c r="AY74" s="183"/>
      <c r="AZ74" s="183"/>
      <c r="BA74" s="183"/>
      <c r="BB74" s="183"/>
      <c r="BC74" s="183"/>
      <c r="BD74" s="183"/>
      <c r="BE74" s="183"/>
      <c r="BF74" s="183"/>
      <c r="BG74" s="183"/>
      <c r="BH74" s="183"/>
    </row>
    <row r="75" spans="1:60" ht="15" customHeight="1">
      <c r="A75" s="2"/>
      <c r="B75" s="249"/>
      <c r="C75" s="356" t="str">
        <f>IF(Roster!$B$13=0,"",Roster!$B$13)</f>
        <v>Bully</v>
      </c>
      <c r="D75" s="253"/>
      <c r="E75" s="253"/>
      <c r="F75" s="253"/>
      <c r="G75" s="253"/>
      <c r="H75" s="253"/>
      <c r="I75" s="253"/>
      <c r="J75" s="253"/>
      <c r="K75" s="253"/>
      <c r="L75" s="253"/>
      <c r="M75" s="253"/>
      <c r="N75" s="254"/>
      <c r="O75" s="183"/>
      <c r="P75" s="2"/>
      <c r="Q75" s="249"/>
      <c r="R75" s="356" t="str">
        <f>IF(Roster!$B$14=0,"",Roster!$B$14)</f>
        <v/>
      </c>
      <c r="S75" s="253"/>
      <c r="T75" s="253"/>
      <c r="U75" s="253"/>
      <c r="V75" s="253"/>
      <c r="W75" s="253"/>
      <c r="X75" s="253"/>
      <c r="Y75" s="253"/>
      <c r="Z75" s="253"/>
      <c r="AA75" s="253"/>
      <c r="AB75" s="253"/>
      <c r="AC75" s="254"/>
      <c r="AD75" s="183"/>
      <c r="AE75" s="2"/>
      <c r="AF75" s="249"/>
      <c r="AG75" s="356" t="str">
        <f>IF(Roster!$B$15=0,"",Roster!$B$15)</f>
        <v/>
      </c>
      <c r="AH75" s="253"/>
      <c r="AI75" s="253"/>
      <c r="AJ75" s="253"/>
      <c r="AK75" s="253"/>
      <c r="AL75" s="253"/>
      <c r="AM75" s="253"/>
      <c r="AN75" s="253"/>
      <c r="AO75" s="253"/>
      <c r="AP75" s="253"/>
      <c r="AQ75" s="253"/>
      <c r="AR75" s="254"/>
      <c r="AS75" s="183"/>
      <c r="AT75" s="2"/>
      <c r="AU75" s="249"/>
      <c r="AV75" s="356" t="str">
        <f>IF(Roster!$B$16=0,"",Roster!$B$16)</f>
        <v/>
      </c>
      <c r="AW75" s="253"/>
      <c r="AX75" s="253"/>
      <c r="AY75" s="253"/>
      <c r="AZ75" s="253"/>
      <c r="BA75" s="253"/>
      <c r="BB75" s="253"/>
      <c r="BC75" s="253"/>
      <c r="BD75" s="253"/>
      <c r="BE75" s="253"/>
      <c r="BF75" s="253"/>
      <c r="BG75" s="254"/>
      <c r="BH75" s="183"/>
    </row>
    <row r="76" spans="1:60" ht="11.25" customHeight="1">
      <c r="A76" s="2"/>
      <c r="B76" s="250"/>
      <c r="C76" s="372" t="str">
        <f>IF(Roster!$C$13=0,"",Roster!$C$13)</f>
        <v>Lineman</v>
      </c>
      <c r="D76" s="253"/>
      <c r="E76" s="253"/>
      <c r="F76" s="253"/>
      <c r="G76" s="253"/>
      <c r="H76" s="253"/>
      <c r="I76" s="253"/>
      <c r="J76" s="253"/>
      <c r="K76" s="253"/>
      <c r="L76" s="253"/>
      <c r="M76" s="253"/>
      <c r="N76" s="254"/>
      <c r="O76" s="184"/>
      <c r="P76" s="2"/>
      <c r="Q76" s="250"/>
      <c r="R76" s="372" t="str">
        <f>IF(Roster!$C$14=0,"",Roster!$C$14)</f>
        <v/>
      </c>
      <c r="S76" s="253"/>
      <c r="T76" s="253"/>
      <c r="U76" s="253"/>
      <c r="V76" s="253"/>
      <c r="W76" s="253"/>
      <c r="X76" s="253"/>
      <c r="Y76" s="253"/>
      <c r="Z76" s="253"/>
      <c r="AA76" s="253"/>
      <c r="AB76" s="253"/>
      <c r="AC76" s="254"/>
      <c r="AD76" s="184"/>
      <c r="AE76" s="2"/>
      <c r="AF76" s="250"/>
      <c r="AG76" s="372" t="str">
        <f>IF(Roster!$C$15=0,"",Roster!$C$15)</f>
        <v/>
      </c>
      <c r="AH76" s="253"/>
      <c r="AI76" s="253"/>
      <c r="AJ76" s="253"/>
      <c r="AK76" s="253"/>
      <c r="AL76" s="253"/>
      <c r="AM76" s="253"/>
      <c r="AN76" s="253"/>
      <c r="AO76" s="253"/>
      <c r="AP76" s="253"/>
      <c r="AQ76" s="253"/>
      <c r="AR76" s="254"/>
      <c r="AS76" s="184"/>
      <c r="AT76" s="2"/>
      <c r="AU76" s="250"/>
      <c r="AV76" s="372" t="str">
        <f>IF(Roster!$C$16=0,"",Roster!$C$16)</f>
        <v/>
      </c>
      <c r="AW76" s="253"/>
      <c r="AX76" s="253"/>
      <c r="AY76" s="253"/>
      <c r="AZ76" s="253"/>
      <c r="BA76" s="253"/>
      <c r="BB76" s="253"/>
      <c r="BC76" s="253"/>
      <c r="BD76" s="253"/>
      <c r="BE76" s="253"/>
      <c r="BF76" s="253"/>
      <c r="BG76" s="254"/>
      <c r="BH76" s="184"/>
    </row>
    <row r="77" spans="1:60" ht="11.25" customHeight="1">
      <c r="A77" s="2"/>
      <c r="B77" s="187" t="str">
        <f>IF(Roster!$J$1=0,"",Roster!$J$1)</f>
        <v>MA</v>
      </c>
      <c r="C77" s="186"/>
      <c r="D77" s="370"/>
      <c r="E77" s="279"/>
      <c r="F77" s="279"/>
      <c r="G77" s="279"/>
      <c r="H77" s="279"/>
      <c r="I77" s="279"/>
      <c r="J77" s="279"/>
      <c r="K77" s="279"/>
      <c r="L77" s="279"/>
      <c r="M77" s="279"/>
      <c r="N77" s="279"/>
      <c r="O77" s="183"/>
      <c r="P77" s="2"/>
      <c r="Q77" s="187" t="str">
        <f>IF(Roster!$J$1=0,"",Roster!$J$1)</f>
        <v>MA</v>
      </c>
      <c r="R77" s="186"/>
      <c r="S77" s="370"/>
      <c r="T77" s="279"/>
      <c r="U77" s="279"/>
      <c r="V77" s="279"/>
      <c r="W77" s="279"/>
      <c r="X77" s="279"/>
      <c r="Y77" s="279"/>
      <c r="Z77" s="279"/>
      <c r="AA77" s="279"/>
      <c r="AB77" s="279"/>
      <c r="AC77" s="279"/>
      <c r="AD77" s="183"/>
      <c r="AE77" s="2"/>
      <c r="AF77" s="187" t="str">
        <f>IF(Roster!$J$1=0,"",Roster!$J$1)</f>
        <v>MA</v>
      </c>
      <c r="AG77" s="186"/>
      <c r="AH77" s="370"/>
      <c r="AI77" s="279"/>
      <c r="AJ77" s="279"/>
      <c r="AK77" s="279"/>
      <c r="AL77" s="279"/>
      <c r="AM77" s="279"/>
      <c r="AN77" s="279"/>
      <c r="AO77" s="279"/>
      <c r="AP77" s="279"/>
      <c r="AQ77" s="279"/>
      <c r="AR77" s="279"/>
      <c r="AS77" s="183"/>
      <c r="AT77" s="2"/>
      <c r="AU77" s="187" t="str">
        <f>IF(Roster!$J$1=0,"",Roster!$J$1)</f>
        <v>MA</v>
      </c>
      <c r="AV77" s="186"/>
      <c r="AW77" s="370"/>
      <c r="AX77" s="279"/>
      <c r="AY77" s="279"/>
      <c r="AZ77" s="279"/>
      <c r="BA77" s="279"/>
      <c r="BB77" s="279"/>
      <c r="BC77" s="279"/>
      <c r="BD77" s="279"/>
      <c r="BE77" s="279"/>
      <c r="BF77" s="279"/>
      <c r="BG77" s="279"/>
      <c r="BH77" s="183"/>
    </row>
    <row r="78" spans="1:60" ht="37.5" customHeight="1">
      <c r="A78" s="2"/>
      <c r="B78" s="189">
        <f>IF(Roster!$J$13=0,"",Roster!$J$13)</f>
        <v>5</v>
      </c>
      <c r="C78" s="186"/>
      <c r="D78" s="279"/>
      <c r="E78" s="279"/>
      <c r="F78" s="279"/>
      <c r="G78" s="279"/>
      <c r="H78" s="279"/>
      <c r="I78" s="279"/>
      <c r="J78" s="279"/>
      <c r="K78" s="279"/>
      <c r="L78" s="279"/>
      <c r="M78" s="279"/>
      <c r="N78" s="279"/>
      <c r="O78" s="183"/>
      <c r="P78" s="2"/>
      <c r="Q78" s="189" t="str">
        <f>IF(Roster!$J$14=0,"",Roster!$J$14)</f>
        <v/>
      </c>
      <c r="R78" s="186"/>
      <c r="S78" s="279"/>
      <c r="T78" s="279"/>
      <c r="U78" s="279"/>
      <c r="V78" s="279"/>
      <c r="W78" s="279"/>
      <c r="X78" s="279"/>
      <c r="Y78" s="279"/>
      <c r="Z78" s="279"/>
      <c r="AA78" s="279"/>
      <c r="AB78" s="279"/>
      <c r="AC78" s="279"/>
      <c r="AD78" s="183"/>
      <c r="AE78" s="2"/>
      <c r="AF78" s="189" t="str">
        <f>IF(Roster!$J$15=0,"",Roster!$J$15)</f>
        <v/>
      </c>
      <c r="AG78" s="186"/>
      <c r="AH78" s="279"/>
      <c r="AI78" s="279"/>
      <c r="AJ78" s="279"/>
      <c r="AK78" s="279"/>
      <c r="AL78" s="279"/>
      <c r="AM78" s="279"/>
      <c r="AN78" s="279"/>
      <c r="AO78" s="279"/>
      <c r="AP78" s="279"/>
      <c r="AQ78" s="279"/>
      <c r="AR78" s="279"/>
      <c r="AS78" s="183"/>
      <c r="AT78" s="2"/>
      <c r="AU78" s="189" t="str">
        <f>IF(Roster!$J$16=0,"",Roster!$J$16)</f>
        <v/>
      </c>
      <c r="AV78" s="186"/>
      <c r="AW78" s="279"/>
      <c r="AX78" s="279"/>
      <c r="AY78" s="279"/>
      <c r="AZ78" s="279"/>
      <c r="BA78" s="279"/>
      <c r="BB78" s="279"/>
      <c r="BC78" s="279"/>
      <c r="BD78" s="279"/>
      <c r="BE78" s="279"/>
      <c r="BF78" s="279"/>
      <c r="BG78" s="279"/>
      <c r="BH78" s="183"/>
    </row>
    <row r="79" spans="1:60" ht="11.25" customHeight="1">
      <c r="A79" s="2"/>
      <c r="B79" s="187" t="str">
        <f>IF(Roster!$K$1=0,"",Roster!$K$1)</f>
        <v>ST</v>
      </c>
      <c r="C79" s="186"/>
      <c r="D79" s="279"/>
      <c r="E79" s="279"/>
      <c r="F79" s="279"/>
      <c r="G79" s="279"/>
      <c r="H79" s="279"/>
      <c r="I79" s="279"/>
      <c r="J79" s="279"/>
      <c r="K79" s="279"/>
      <c r="L79" s="279"/>
      <c r="M79" s="279"/>
      <c r="N79" s="279"/>
      <c r="O79" s="183"/>
      <c r="P79" s="2"/>
      <c r="Q79" s="187" t="str">
        <f>IF(Roster!$K$1=0,"",Roster!$K$1)</f>
        <v>ST</v>
      </c>
      <c r="R79" s="186"/>
      <c r="S79" s="279"/>
      <c r="T79" s="279"/>
      <c r="U79" s="279"/>
      <c r="V79" s="279"/>
      <c r="W79" s="279"/>
      <c r="X79" s="279"/>
      <c r="Y79" s="279"/>
      <c r="Z79" s="279"/>
      <c r="AA79" s="279"/>
      <c r="AB79" s="279"/>
      <c r="AC79" s="279"/>
      <c r="AD79" s="183"/>
      <c r="AE79" s="2"/>
      <c r="AF79" s="187" t="str">
        <f>IF(Roster!$K$1=0,"",Roster!$K$1)</f>
        <v>ST</v>
      </c>
      <c r="AG79" s="186"/>
      <c r="AH79" s="279"/>
      <c r="AI79" s="279"/>
      <c r="AJ79" s="279"/>
      <c r="AK79" s="279"/>
      <c r="AL79" s="279"/>
      <c r="AM79" s="279"/>
      <c r="AN79" s="279"/>
      <c r="AO79" s="279"/>
      <c r="AP79" s="279"/>
      <c r="AQ79" s="279"/>
      <c r="AR79" s="279"/>
      <c r="AS79" s="183"/>
      <c r="AT79" s="2"/>
      <c r="AU79" s="187" t="str">
        <f>IF(Roster!$K$1=0,"",Roster!$K$1)</f>
        <v>ST</v>
      </c>
      <c r="AV79" s="186"/>
      <c r="AW79" s="279"/>
      <c r="AX79" s="279"/>
      <c r="AY79" s="279"/>
      <c r="AZ79" s="279"/>
      <c r="BA79" s="279"/>
      <c r="BB79" s="279"/>
      <c r="BC79" s="279"/>
      <c r="BD79" s="279"/>
      <c r="BE79" s="279"/>
      <c r="BF79" s="279"/>
      <c r="BG79" s="279"/>
      <c r="BH79" s="183"/>
    </row>
    <row r="80" spans="1:60" ht="37.5" customHeight="1">
      <c r="A80" s="2"/>
      <c r="B80" s="189">
        <f>IF(Roster!$K$13=0,"",Roster!$K$13)</f>
        <v>3</v>
      </c>
      <c r="C80" s="186"/>
      <c r="D80" s="279"/>
      <c r="E80" s="279"/>
      <c r="F80" s="279"/>
      <c r="G80" s="279"/>
      <c r="H80" s="279"/>
      <c r="I80" s="279"/>
      <c r="J80" s="279"/>
      <c r="K80" s="279"/>
      <c r="L80" s="279"/>
      <c r="M80" s="279"/>
      <c r="N80" s="279"/>
      <c r="O80" s="183"/>
      <c r="P80" s="2"/>
      <c r="Q80" s="189" t="str">
        <f>IF(Roster!$K$14=0,"",Roster!$K$14)</f>
        <v/>
      </c>
      <c r="R80" s="186"/>
      <c r="S80" s="279"/>
      <c r="T80" s="279"/>
      <c r="U80" s="279"/>
      <c r="V80" s="279"/>
      <c r="W80" s="279"/>
      <c r="X80" s="279"/>
      <c r="Y80" s="279"/>
      <c r="Z80" s="279"/>
      <c r="AA80" s="279"/>
      <c r="AB80" s="279"/>
      <c r="AC80" s="279"/>
      <c r="AD80" s="183"/>
      <c r="AE80" s="2"/>
      <c r="AF80" s="189" t="str">
        <f>IF(Roster!$K$15=0,"",Roster!$K$15)</f>
        <v/>
      </c>
      <c r="AG80" s="186"/>
      <c r="AH80" s="279"/>
      <c r="AI80" s="279"/>
      <c r="AJ80" s="279"/>
      <c r="AK80" s="279"/>
      <c r="AL80" s="279"/>
      <c r="AM80" s="279"/>
      <c r="AN80" s="279"/>
      <c r="AO80" s="279"/>
      <c r="AP80" s="279"/>
      <c r="AQ80" s="279"/>
      <c r="AR80" s="279"/>
      <c r="AS80" s="183"/>
      <c r="AT80" s="2"/>
      <c r="AU80" s="189" t="str">
        <f>IF(Roster!$K$16=0,"",Roster!$K$16)</f>
        <v/>
      </c>
      <c r="AV80" s="186"/>
      <c r="AW80" s="279"/>
      <c r="AX80" s="279"/>
      <c r="AY80" s="279"/>
      <c r="AZ80" s="279"/>
      <c r="BA80" s="279"/>
      <c r="BB80" s="279"/>
      <c r="BC80" s="279"/>
      <c r="BD80" s="279"/>
      <c r="BE80" s="279"/>
      <c r="BF80" s="279"/>
      <c r="BG80" s="279"/>
      <c r="BH80" s="183"/>
    </row>
    <row r="81" spans="1:60" ht="11.25" customHeight="1">
      <c r="A81" s="2"/>
      <c r="B81" s="187" t="str">
        <f>IF(Roster!$L$1=0,"",Roster!$L$1)</f>
        <v>AG</v>
      </c>
      <c r="C81" s="186"/>
      <c r="D81" s="279"/>
      <c r="E81" s="279"/>
      <c r="F81" s="279"/>
      <c r="G81" s="279"/>
      <c r="H81" s="279"/>
      <c r="I81" s="279"/>
      <c r="J81" s="279"/>
      <c r="K81" s="279"/>
      <c r="L81" s="279"/>
      <c r="M81" s="279"/>
      <c r="N81" s="279"/>
      <c r="O81" s="183"/>
      <c r="P81" s="2"/>
      <c r="Q81" s="187" t="str">
        <f>IF(Roster!$L$1=0,"",Roster!$L$1)</f>
        <v>AG</v>
      </c>
      <c r="R81" s="186"/>
      <c r="S81" s="279"/>
      <c r="T81" s="279"/>
      <c r="U81" s="279"/>
      <c r="V81" s="279"/>
      <c r="W81" s="279"/>
      <c r="X81" s="279"/>
      <c r="Y81" s="279"/>
      <c r="Z81" s="279"/>
      <c r="AA81" s="279"/>
      <c r="AB81" s="279"/>
      <c r="AC81" s="279"/>
      <c r="AD81" s="183"/>
      <c r="AE81" s="2"/>
      <c r="AF81" s="187" t="str">
        <f>IF(Roster!$L$1=0,"",Roster!$L$1)</f>
        <v>AG</v>
      </c>
      <c r="AG81" s="186"/>
      <c r="AH81" s="279"/>
      <c r="AI81" s="279"/>
      <c r="AJ81" s="279"/>
      <c r="AK81" s="279"/>
      <c r="AL81" s="279"/>
      <c r="AM81" s="279"/>
      <c r="AN81" s="279"/>
      <c r="AO81" s="279"/>
      <c r="AP81" s="279"/>
      <c r="AQ81" s="279"/>
      <c r="AR81" s="279"/>
      <c r="AS81" s="183"/>
      <c r="AT81" s="2"/>
      <c r="AU81" s="187" t="str">
        <f>IF(Roster!$L$1=0,"",Roster!$L$1)</f>
        <v>AG</v>
      </c>
      <c r="AV81" s="186"/>
      <c r="AW81" s="279"/>
      <c r="AX81" s="279"/>
      <c r="AY81" s="279"/>
      <c r="AZ81" s="279"/>
      <c r="BA81" s="279"/>
      <c r="BB81" s="279"/>
      <c r="BC81" s="279"/>
      <c r="BD81" s="279"/>
      <c r="BE81" s="279"/>
      <c r="BF81" s="279"/>
      <c r="BG81" s="279"/>
      <c r="BH81" s="183"/>
    </row>
    <row r="82" spans="1:60" ht="37.5" customHeight="1">
      <c r="A82" s="2"/>
      <c r="B82" s="189" t="str">
        <f>IF(Roster!$L$13=0&amp;"+","",Roster!$L$13)</f>
        <v>3+</v>
      </c>
      <c r="C82" s="186"/>
      <c r="D82" s="279"/>
      <c r="E82" s="279"/>
      <c r="F82" s="279"/>
      <c r="G82" s="279"/>
      <c r="H82" s="279"/>
      <c r="I82" s="279"/>
      <c r="J82" s="279"/>
      <c r="K82" s="279"/>
      <c r="L82" s="279"/>
      <c r="M82" s="279"/>
      <c r="N82" s="279"/>
      <c r="O82" s="183"/>
      <c r="P82" s="2"/>
      <c r="Q82" s="189" t="str">
        <f>IF(Roster!$L$14=0&amp;"+","",Roster!$L$14)</f>
        <v/>
      </c>
      <c r="R82" s="186"/>
      <c r="S82" s="279"/>
      <c r="T82" s="279"/>
      <c r="U82" s="279"/>
      <c r="V82" s="279"/>
      <c r="W82" s="279"/>
      <c r="X82" s="279"/>
      <c r="Y82" s="279"/>
      <c r="Z82" s="279"/>
      <c r="AA82" s="279"/>
      <c r="AB82" s="279"/>
      <c r="AC82" s="279"/>
      <c r="AD82" s="183"/>
      <c r="AE82" s="2"/>
      <c r="AF82" s="189" t="str">
        <f>IF(Roster!$L$15=0&amp;"+","",Roster!$L$15)</f>
        <v/>
      </c>
      <c r="AG82" s="186"/>
      <c r="AH82" s="279"/>
      <c r="AI82" s="279"/>
      <c r="AJ82" s="279"/>
      <c r="AK82" s="279"/>
      <c r="AL82" s="279"/>
      <c r="AM82" s="279"/>
      <c r="AN82" s="279"/>
      <c r="AO82" s="279"/>
      <c r="AP82" s="279"/>
      <c r="AQ82" s="279"/>
      <c r="AR82" s="279"/>
      <c r="AS82" s="183"/>
      <c r="AT82" s="2"/>
      <c r="AU82" s="189" t="str">
        <f>IF(Roster!$L$16=0&amp;"+","",Roster!$L$16)</f>
        <v/>
      </c>
      <c r="AV82" s="186"/>
      <c r="AW82" s="279"/>
      <c r="AX82" s="279"/>
      <c r="AY82" s="279"/>
      <c r="AZ82" s="279"/>
      <c r="BA82" s="279"/>
      <c r="BB82" s="279"/>
      <c r="BC82" s="279"/>
      <c r="BD82" s="279"/>
      <c r="BE82" s="279"/>
      <c r="BF82" s="279"/>
      <c r="BG82" s="279"/>
      <c r="BH82" s="183"/>
    </row>
    <row r="83" spans="1:60" ht="11.25" customHeight="1">
      <c r="A83" s="2"/>
      <c r="B83" s="187" t="str">
        <f>IF(Roster!$M$1=0,"",Roster!$M$1)</f>
        <v>PA</v>
      </c>
      <c r="C83" s="186"/>
      <c r="D83" s="279"/>
      <c r="E83" s="279"/>
      <c r="F83" s="279"/>
      <c r="G83" s="279"/>
      <c r="H83" s="279"/>
      <c r="I83" s="279"/>
      <c r="J83" s="279"/>
      <c r="K83" s="279"/>
      <c r="L83" s="279"/>
      <c r="M83" s="279"/>
      <c r="N83" s="279"/>
      <c r="O83" s="192"/>
      <c r="P83" s="2"/>
      <c r="Q83" s="187" t="str">
        <f>IF(Roster!$M$1=0,"",Roster!$M$1)</f>
        <v>PA</v>
      </c>
      <c r="R83" s="186"/>
      <c r="S83" s="279"/>
      <c r="T83" s="279"/>
      <c r="U83" s="279"/>
      <c r="V83" s="279"/>
      <c r="W83" s="279"/>
      <c r="X83" s="279"/>
      <c r="Y83" s="279"/>
      <c r="Z83" s="279"/>
      <c r="AA83" s="279"/>
      <c r="AB83" s="279"/>
      <c r="AC83" s="279"/>
      <c r="AD83" s="192"/>
      <c r="AE83" s="2"/>
      <c r="AF83" s="187" t="str">
        <f>IF(Roster!$M$1=0,"",Roster!$M$1)</f>
        <v>PA</v>
      </c>
      <c r="AG83" s="186"/>
      <c r="AH83" s="279"/>
      <c r="AI83" s="279"/>
      <c r="AJ83" s="279"/>
      <c r="AK83" s="279"/>
      <c r="AL83" s="279"/>
      <c r="AM83" s="279"/>
      <c r="AN83" s="279"/>
      <c r="AO83" s="279"/>
      <c r="AP83" s="279"/>
      <c r="AQ83" s="279"/>
      <c r="AR83" s="279"/>
      <c r="AS83" s="192"/>
      <c r="AT83" s="2"/>
      <c r="AU83" s="187" t="str">
        <f>IF(Roster!$M$1=0,"",Roster!$M$1)</f>
        <v>PA</v>
      </c>
      <c r="AV83" s="186"/>
      <c r="AW83" s="279"/>
      <c r="AX83" s="279"/>
      <c r="AY83" s="279"/>
      <c r="AZ83" s="279"/>
      <c r="BA83" s="279"/>
      <c r="BB83" s="279"/>
      <c r="BC83" s="279"/>
      <c r="BD83" s="279"/>
      <c r="BE83" s="279"/>
      <c r="BF83" s="279"/>
      <c r="BG83" s="279"/>
      <c r="BH83" s="192"/>
    </row>
    <row r="84" spans="1:60" ht="6" customHeight="1">
      <c r="A84" s="2"/>
      <c r="B84" s="369" t="str">
        <f>IF(Roster!$M$13=0&amp;"+","",Roster!$M$13)</f>
        <v>4+</v>
      </c>
      <c r="C84" s="186"/>
      <c r="D84" s="279"/>
      <c r="E84" s="279"/>
      <c r="F84" s="279"/>
      <c r="G84" s="279"/>
      <c r="H84" s="279"/>
      <c r="I84" s="279"/>
      <c r="J84" s="279"/>
      <c r="K84" s="279"/>
      <c r="L84" s="279"/>
      <c r="M84" s="279"/>
      <c r="N84" s="279"/>
      <c r="O84" s="194"/>
      <c r="P84" s="2"/>
      <c r="Q84" s="369" t="str">
        <f>IF(Roster!$M$14=0&amp;"+","",Roster!$M$14)</f>
        <v/>
      </c>
      <c r="R84" s="186"/>
      <c r="S84" s="279"/>
      <c r="T84" s="279"/>
      <c r="U84" s="279"/>
      <c r="V84" s="279"/>
      <c r="W84" s="279"/>
      <c r="X84" s="279"/>
      <c r="Y84" s="279"/>
      <c r="Z84" s="279"/>
      <c r="AA84" s="279"/>
      <c r="AB84" s="279"/>
      <c r="AC84" s="279"/>
      <c r="AD84" s="194"/>
      <c r="AE84" s="2"/>
      <c r="AF84" s="369" t="str">
        <f>IF(Roster!$M$15=0&amp;"+","",Roster!$M$15)</f>
        <v/>
      </c>
      <c r="AG84" s="186"/>
      <c r="AH84" s="279"/>
      <c r="AI84" s="279"/>
      <c r="AJ84" s="279"/>
      <c r="AK84" s="279"/>
      <c r="AL84" s="279"/>
      <c r="AM84" s="279"/>
      <c r="AN84" s="279"/>
      <c r="AO84" s="279"/>
      <c r="AP84" s="279"/>
      <c r="AQ84" s="279"/>
      <c r="AR84" s="279"/>
      <c r="AS84" s="194"/>
      <c r="AT84" s="2"/>
      <c r="AU84" s="369" t="str">
        <f>IF(Roster!$M$16=0&amp;"+","",Roster!$M$16)</f>
        <v/>
      </c>
      <c r="AV84" s="186"/>
      <c r="AW84" s="279"/>
      <c r="AX84" s="279"/>
      <c r="AY84" s="279"/>
      <c r="AZ84" s="279"/>
      <c r="BA84" s="279"/>
      <c r="BB84" s="279"/>
      <c r="BC84" s="279"/>
      <c r="BD84" s="279"/>
      <c r="BE84" s="279"/>
      <c r="BF84" s="279"/>
      <c r="BG84" s="279"/>
      <c r="BH84" s="194"/>
    </row>
    <row r="85" spans="1:60" ht="4.5" customHeight="1">
      <c r="A85" s="2"/>
      <c r="B85" s="249"/>
      <c r="C85" s="186"/>
      <c r="D85" s="183"/>
      <c r="E85" s="193"/>
      <c r="F85" s="183"/>
      <c r="G85" s="193"/>
      <c r="H85" s="183"/>
      <c r="I85" s="193"/>
      <c r="J85" s="183"/>
      <c r="K85" s="193"/>
      <c r="L85" s="183"/>
      <c r="M85" s="193"/>
      <c r="N85" s="183"/>
      <c r="O85" s="194"/>
      <c r="P85" s="2"/>
      <c r="Q85" s="249"/>
      <c r="R85" s="186"/>
      <c r="S85" s="183"/>
      <c r="T85" s="193"/>
      <c r="U85" s="183"/>
      <c r="V85" s="193"/>
      <c r="W85" s="183"/>
      <c r="X85" s="193"/>
      <c r="Y85" s="183"/>
      <c r="Z85" s="193"/>
      <c r="AA85" s="183"/>
      <c r="AB85" s="193"/>
      <c r="AC85" s="183"/>
      <c r="AD85" s="194"/>
      <c r="AE85" s="2"/>
      <c r="AF85" s="249"/>
      <c r="AG85" s="186"/>
      <c r="AH85" s="183"/>
      <c r="AI85" s="193"/>
      <c r="AJ85" s="183"/>
      <c r="AK85" s="193"/>
      <c r="AL85" s="183"/>
      <c r="AM85" s="193"/>
      <c r="AN85" s="183"/>
      <c r="AO85" s="193"/>
      <c r="AP85" s="183"/>
      <c r="AQ85" s="193"/>
      <c r="AR85" s="183"/>
      <c r="AS85" s="194"/>
      <c r="AT85" s="2"/>
      <c r="AU85" s="249"/>
      <c r="AV85" s="186"/>
      <c r="AW85" s="183"/>
      <c r="AX85" s="193"/>
      <c r="AY85" s="183"/>
      <c r="AZ85" s="193"/>
      <c r="BA85" s="183"/>
      <c r="BB85" s="193"/>
      <c r="BC85" s="183"/>
      <c r="BD85" s="193"/>
      <c r="BE85" s="183"/>
      <c r="BF85" s="193"/>
      <c r="BG85" s="183"/>
      <c r="BH85" s="194"/>
    </row>
    <row r="86" spans="1:60" ht="11.25" customHeight="1">
      <c r="A86" s="2"/>
      <c r="B86" s="249"/>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49"/>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49"/>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49"/>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49"/>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49"/>
      <c r="R87" s="188"/>
      <c r="S87" s="196" t="str">
        <f>IF(Roster!$AC$14=0,"",Roster!$AC$14)</f>
        <v/>
      </c>
      <c r="T87" s="188"/>
      <c r="U87" s="196" t="str">
        <f>IF((SUM(W87,Y87,AA87))=0,"",(SUM(W87,Y87,AA87)))</f>
        <v/>
      </c>
      <c r="V87" s="188"/>
      <c r="W87" s="196" t="str">
        <f>IF(Roster!$AF$14=0,"",Roster!$AF$14)</f>
        <v/>
      </c>
      <c r="X87" s="188"/>
      <c r="Y87" s="196" t="str">
        <f>IF(Roster!$AG$14=0,"",Roster!$AG$14)</f>
        <v/>
      </c>
      <c r="Z87" s="188"/>
      <c r="AA87" s="196" t="str">
        <f>IF(Roster!$AH$14=0,"",Roster!$AH$14)</f>
        <v/>
      </c>
      <c r="AB87" s="188"/>
      <c r="AC87" s="196" t="str">
        <f>IF(Roster!$AB$14=0,"",Roster!$AB$14)</f>
        <v/>
      </c>
      <c r="AD87" s="194"/>
      <c r="AE87" s="2"/>
      <c r="AF87" s="249"/>
      <c r="AG87" s="188"/>
      <c r="AH87" s="196" t="str">
        <f>IF(Roster!$AC$15=0,"",Roster!$AC$15)</f>
        <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49"/>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50"/>
      <c r="C88" s="188"/>
      <c r="D88" s="197"/>
      <c r="E88" s="188"/>
      <c r="F88" s="197"/>
      <c r="G88" s="188"/>
      <c r="H88" s="197"/>
      <c r="I88" s="188"/>
      <c r="J88" s="197"/>
      <c r="K88" s="188"/>
      <c r="L88" s="197"/>
      <c r="M88" s="188"/>
      <c r="N88" s="197"/>
      <c r="O88" s="194"/>
      <c r="P88" s="2"/>
      <c r="Q88" s="250"/>
      <c r="R88" s="188"/>
      <c r="S88" s="197"/>
      <c r="T88" s="188"/>
      <c r="U88" s="197"/>
      <c r="V88" s="188"/>
      <c r="W88" s="197"/>
      <c r="X88" s="188"/>
      <c r="Y88" s="197"/>
      <c r="Z88" s="188"/>
      <c r="AA88" s="197"/>
      <c r="AB88" s="188"/>
      <c r="AC88" s="197"/>
      <c r="AD88" s="194"/>
      <c r="AE88" s="2"/>
      <c r="AF88" s="250"/>
      <c r="AG88" s="188"/>
      <c r="AH88" s="197"/>
      <c r="AI88" s="188"/>
      <c r="AJ88" s="197"/>
      <c r="AK88" s="188"/>
      <c r="AL88" s="197"/>
      <c r="AM88" s="188"/>
      <c r="AN88" s="197"/>
      <c r="AO88" s="188"/>
      <c r="AP88" s="197"/>
      <c r="AQ88" s="188"/>
      <c r="AR88" s="197"/>
      <c r="AS88" s="194"/>
      <c r="AT88" s="2"/>
      <c r="AU88" s="250"/>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69" t="str">
        <f>IF(Roster!$N$13=0&amp;"+","",Roster!$N$13)</f>
        <v>10+</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69" t="str">
        <f>IF(Roster!$N$14=0&amp;"+","",Roster!$N$14)</f>
        <v/>
      </c>
      <c r="R90" s="188"/>
      <c r="S90" s="196" t="str">
        <f>IF(Roster!$AD$14=0,"",Roster!$AD$14)</f>
        <v/>
      </c>
      <c r="T90" s="188"/>
      <c r="U90" s="196" t="str">
        <f>IF(Roster!$AE$14=0,"",Roster!$AE$14)</f>
        <v/>
      </c>
      <c r="V90" s="188"/>
      <c r="W90" s="196" t="str">
        <f>IF(Roster!$AA$14=0,"",Roster!$AA$14)</f>
        <v/>
      </c>
      <c r="X90" s="188"/>
      <c r="Y90" s="196" t="str">
        <f>IF(Roster!$AI$14=0,"",Roster!$AI$14)</f>
        <v/>
      </c>
      <c r="Z90" s="188"/>
      <c r="AA90" s="196" t="str">
        <f>IF(Roster!$AJ$14=0,"",Roster!$AJ$14)</f>
        <v/>
      </c>
      <c r="AB90" s="188"/>
      <c r="AC90" s="196" t="str">
        <f>IF(Roster!$Z$14=0,"",Roster!$Z$14)</f>
        <v/>
      </c>
      <c r="AD90" s="199"/>
      <c r="AE90" s="2"/>
      <c r="AF90" s="369" t="str">
        <f>IF(Roster!$N$15=0&amp;"+","",Roster!$N$15)</f>
        <v/>
      </c>
      <c r="AG90" s="188"/>
      <c r="AH90" s="196" t="str">
        <f>IF(Roster!$AD$15=0,"",Roster!$AD$15)</f>
        <v/>
      </c>
      <c r="AI90" s="188"/>
      <c r="AJ90" s="196" t="str">
        <f>IF(Roster!$AE$15=0,"",Roster!$AE$15)</f>
        <v/>
      </c>
      <c r="AK90" s="188"/>
      <c r="AL90" s="196" t="str">
        <f>IF(Roster!$AA$15=0,"",Roster!$AA$15)</f>
        <v/>
      </c>
      <c r="AM90" s="188"/>
      <c r="AN90" s="196" t="str">
        <f>IF(Roster!$AI$15=0,"",Roster!$AI$15)</f>
        <v/>
      </c>
      <c r="AO90" s="188"/>
      <c r="AP90" s="196" t="str">
        <f>IF(Roster!$AJ$15=0,"",Roster!$AJ$15)</f>
        <v/>
      </c>
      <c r="AQ90" s="188"/>
      <c r="AR90" s="196" t="str">
        <f>IF(Roster!$Z$15=0,"",Roster!$Z$15)</f>
        <v/>
      </c>
      <c r="AS90" s="199"/>
      <c r="AT90" s="2"/>
      <c r="AU90" s="369" t="str">
        <f>IF(Roster!$N$16=0&amp;"+","",Roster!$N$16)</f>
        <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49"/>
      <c r="C91" s="188"/>
      <c r="D91" s="188"/>
      <c r="E91" s="188"/>
      <c r="F91" s="188"/>
      <c r="G91" s="188"/>
      <c r="H91" s="188"/>
      <c r="I91" s="188"/>
      <c r="J91" s="188"/>
      <c r="K91" s="188"/>
      <c r="L91" s="188"/>
      <c r="M91" s="188"/>
      <c r="N91" s="194"/>
      <c r="O91" s="199"/>
      <c r="P91" s="2"/>
      <c r="Q91" s="249"/>
      <c r="R91" s="188"/>
      <c r="S91" s="188"/>
      <c r="T91" s="188"/>
      <c r="U91" s="188"/>
      <c r="V91" s="188"/>
      <c r="W91" s="188"/>
      <c r="X91" s="188"/>
      <c r="Y91" s="188"/>
      <c r="Z91" s="188"/>
      <c r="AA91" s="188"/>
      <c r="AB91" s="188"/>
      <c r="AC91" s="194"/>
      <c r="AD91" s="199"/>
      <c r="AE91" s="2"/>
      <c r="AF91" s="249"/>
      <c r="AG91" s="188"/>
      <c r="AH91" s="188"/>
      <c r="AI91" s="188"/>
      <c r="AJ91" s="188"/>
      <c r="AK91" s="188"/>
      <c r="AL91" s="188"/>
      <c r="AM91" s="188"/>
      <c r="AN91" s="188"/>
      <c r="AO91" s="188"/>
      <c r="AP91" s="188"/>
      <c r="AQ91" s="188"/>
      <c r="AR91" s="194"/>
      <c r="AS91" s="199"/>
      <c r="AT91" s="2"/>
      <c r="AU91" s="249"/>
      <c r="AV91" s="188"/>
      <c r="AW91" s="188"/>
      <c r="AX91" s="188"/>
      <c r="AY91" s="188"/>
      <c r="AZ91" s="188"/>
      <c r="BA91" s="188"/>
      <c r="BB91" s="188"/>
      <c r="BC91" s="188"/>
      <c r="BD91" s="188"/>
      <c r="BE91" s="188"/>
      <c r="BF91" s="188"/>
      <c r="BG91" s="194"/>
      <c r="BH91" s="199"/>
    </row>
    <row r="92" spans="1:60" ht="11.25" customHeight="1">
      <c r="A92" s="2"/>
      <c r="B92" s="249"/>
      <c r="C92" s="188"/>
      <c r="D92" s="355" t="str">
        <f>IF(Roster!$J$25="Italiano","ABILITÀ &amp; TRATTI",(IF(Roster!$J$25="Español","HABILIDADES Y RASGOS","SKILLS &amp; TRAITS")))</f>
        <v>ABILITÀ &amp; TRATTI</v>
      </c>
      <c r="E92" s="253"/>
      <c r="F92" s="253"/>
      <c r="G92" s="253"/>
      <c r="H92" s="253"/>
      <c r="I92" s="253"/>
      <c r="J92" s="253"/>
      <c r="K92" s="253"/>
      <c r="L92" s="253"/>
      <c r="M92" s="253"/>
      <c r="N92" s="254"/>
      <c r="O92" s="199"/>
      <c r="P92" s="2"/>
      <c r="Q92" s="249"/>
      <c r="R92" s="188"/>
      <c r="S92" s="355" t="str">
        <f>IF(Roster!$J$25="Italiano","ABILITÀ &amp; TRATTI",(IF(Roster!$J$25="Español","HABILIDADES Y RASGOS","SKILLS &amp; TRAITS")))</f>
        <v>ABILITÀ &amp; TRATTI</v>
      </c>
      <c r="T92" s="253"/>
      <c r="U92" s="253"/>
      <c r="V92" s="253"/>
      <c r="W92" s="253"/>
      <c r="X92" s="253"/>
      <c r="Y92" s="253"/>
      <c r="Z92" s="253"/>
      <c r="AA92" s="253"/>
      <c r="AB92" s="253"/>
      <c r="AC92" s="254"/>
      <c r="AD92" s="199"/>
      <c r="AE92" s="2"/>
      <c r="AF92" s="249"/>
      <c r="AG92" s="188"/>
      <c r="AH92" s="355" t="str">
        <f>IF(Roster!$J$25="Italiano","ABILITÀ &amp; TRATTI",(IF(Roster!$J$25="Español","HABILIDADES Y RASGOS","SKILLS &amp; TRAITS")))</f>
        <v>ABILITÀ &amp; TRATTI</v>
      </c>
      <c r="AI92" s="253"/>
      <c r="AJ92" s="253"/>
      <c r="AK92" s="253"/>
      <c r="AL92" s="253"/>
      <c r="AM92" s="253"/>
      <c r="AN92" s="253"/>
      <c r="AO92" s="253"/>
      <c r="AP92" s="253"/>
      <c r="AQ92" s="253"/>
      <c r="AR92" s="254"/>
      <c r="AS92" s="199"/>
      <c r="AT92" s="2"/>
      <c r="AU92" s="249"/>
      <c r="AV92" s="188"/>
      <c r="AW92" s="355" t="str">
        <f>IF(Roster!$J$25="Italiano","ABILITÀ &amp; TRATTI",(IF(Roster!$J$25="Español","HABILIDADES Y RASGOS","SKILLS &amp; TRAITS")))</f>
        <v>ABILITÀ &amp; TRATTI</v>
      </c>
      <c r="AX92" s="253"/>
      <c r="AY92" s="253"/>
      <c r="AZ92" s="253"/>
      <c r="BA92" s="253"/>
      <c r="BB92" s="253"/>
      <c r="BC92" s="253"/>
      <c r="BD92" s="253"/>
      <c r="BE92" s="253"/>
      <c r="BF92" s="253"/>
      <c r="BG92" s="254"/>
      <c r="BH92" s="199"/>
    </row>
    <row r="93" spans="1:60" ht="6.75" customHeight="1">
      <c r="A93" s="2"/>
      <c r="B93" s="250"/>
      <c r="C93" s="188"/>
      <c r="D93" s="365" t="str">
        <f>IF(Roster!$O$13=0&amp;BF13,"",Roster!$O$13)</f>
        <v>Animosity (Orc Linemen) - 1 NI</v>
      </c>
      <c r="E93" s="358"/>
      <c r="F93" s="358"/>
      <c r="G93" s="358"/>
      <c r="H93" s="358"/>
      <c r="I93" s="358"/>
      <c r="J93" s="358"/>
      <c r="K93" s="358"/>
      <c r="L93" s="358"/>
      <c r="M93" s="358"/>
      <c r="N93" s="359"/>
      <c r="O93" s="199"/>
      <c r="P93" s="2"/>
      <c r="Q93" s="250"/>
      <c r="R93" s="188"/>
      <c r="S93" s="365" t="str">
        <f>IF(Roster!$O$14=0&amp;BF14,"",Roster!$O$14)</f>
        <v/>
      </c>
      <c r="T93" s="358"/>
      <c r="U93" s="358"/>
      <c r="V93" s="358"/>
      <c r="W93" s="358"/>
      <c r="X93" s="358"/>
      <c r="Y93" s="358"/>
      <c r="Z93" s="358"/>
      <c r="AA93" s="358"/>
      <c r="AB93" s="358"/>
      <c r="AC93" s="359"/>
      <c r="AD93" s="199"/>
      <c r="AE93" s="2"/>
      <c r="AF93" s="250"/>
      <c r="AG93" s="188"/>
      <c r="AH93" s="365" t="str">
        <f>IF(Roster!$O$15=0&amp;BF15,"",Roster!$O$15)</f>
        <v/>
      </c>
      <c r="AI93" s="358"/>
      <c r="AJ93" s="358"/>
      <c r="AK93" s="358"/>
      <c r="AL93" s="358"/>
      <c r="AM93" s="358"/>
      <c r="AN93" s="358"/>
      <c r="AO93" s="358"/>
      <c r="AP93" s="358"/>
      <c r="AQ93" s="358"/>
      <c r="AR93" s="359"/>
      <c r="AS93" s="199"/>
      <c r="AT93" s="2"/>
      <c r="AU93" s="250"/>
      <c r="AV93" s="188"/>
      <c r="AW93" s="365" t="str">
        <f>IF(Roster!$O$16=0&amp;BF16,"",Roster!$O$16)</f>
        <v/>
      </c>
      <c r="AX93" s="358"/>
      <c r="AY93" s="358"/>
      <c r="AZ93" s="358"/>
      <c r="BA93" s="358"/>
      <c r="BB93" s="358"/>
      <c r="BC93" s="358"/>
      <c r="BD93" s="358"/>
      <c r="BE93" s="358"/>
      <c r="BF93" s="358"/>
      <c r="BG93" s="359"/>
      <c r="BH93" s="199"/>
    </row>
    <row r="94" spans="1:60" ht="11.25" customHeight="1">
      <c r="A94" s="2"/>
      <c r="B94" s="187" t="str">
        <f>IF(Roster!$AN$1=0,"",Roster!$AN$1)</f>
        <v>COSTO</v>
      </c>
      <c r="C94" s="187"/>
      <c r="D94" s="360"/>
      <c r="E94" s="279"/>
      <c r="F94" s="279"/>
      <c r="G94" s="279"/>
      <c r="H94" s="279"/>
      <c r="I94" s="279"/>
      <c r="J94" s="279"/>
      <c r="K94" s="279"/>
      <c r="L94" s="279"/>
      <c r="M94" s="279"/>
      <c r="N94" s="338"/>
      <c r="O94" s="200"/>
      <c r="P94" s="2"/>
      <c r="Q94" s="187" t="str">
        <f>IF(Roster!$AN$1=0,"",Roster!$AN$1)</f>
        <v>COSTO</v>
      </c>
      <c r="R94" s="187"/>
      <c r="S94" s="360"/>
      <c r="T94" s="279"/>
      <c r="U94" s="279"/>
      <c r="V94" s="279"/>
      <c r="W94" s="279"/>
      <c r="X94" s="279"/>
      <c r="Y94" s="279"/>
      <c r="Z94" s="279"/>
      <c r="AA94" s="279"/>
      <c r="AB94" s="279"/>
      <c r="AC94" s="338"/>
      <c r="AD94" s="200"/>
      <c r="AE94" s="2"/>
      <c r="AF94" s="187" t="str">
        <f>IF(Roster!$AN$1=0,"",Roster!$AN$1)</f>
        <v>COSTO</v>
      </c>
      <c r="AG94" s="187"/>
      <c r="AH94" s="360"/>
      <c r="AI94" s="279"/>
      <c r="AJ94" s="279"/>
      <c r="AK94" s="279"/>
      <c r="AL94" s="279"/>
      <c r="AM94" s="279"/>
      <c r="AN94" s="279"/>
      <c r="AO94" s="279"/>
      <c r="AP94" s="279"/>
      <c r="AQ94" s="279"/>
      <c r="AR94" s="338"/>
      <c r="AS94" s="200"/>
      <c r="AT94" s="2"/>
      <c r="AU94" s="187" t="str">
        <f>IF(Roster!$AN$1=0,"",Roster!$AN$1)</f>
        <v>COSTO</v>
      </c>
      <c r="AV94" s="187"/>
      <c r="AW94" s="360"/>
      <c r="AX94" s="279"/>
      <c r="AY94" s="279"/>
      <c r="AZ94" s="279"/>
      <c r="BA94" s="279"/>
      <c r="BB94" s="279"/>
      <c r="BC94" s="279"/>
      <c r="BD94" s="279"/>
      <c r="BE94" s="279"/>
      <c r="BF94" s="279"/>
      <c r="BG94" s="338"/>
      <c r="BH94" s="200"/>
    </row>
    <row r="95" spans="1:60" ht="34.5" customHeight="1">
      <c r="A95" s="2"/>
      <c r="B95" s="202">
        <f>IF(Roster!$AN$13=0,"",Roster!$AN$13)</f>
        <v>50000</v>
      </c>
      <c r="C95" s="203"/>
      <c r="D95" s="361"/>
      <c r="E95" s="362"/>
      <c r="F95" s="362"/>
      <c r="G95" s="362"/>
      <c r="H95" s="362"/>
      <c r="I95" s="362"/>
      <c r="J95" s="362"/>
      <c r="K95" s="362"/>
      <c r="L95" s="362"/>
      <c r="M95" s="362"/>
      <c r="N95" s="363"/>
      <c r="O95" s="200"/>
      <c r="P95" s="2"/>
      <c r="Q95" s="202" t="str">
        <f>IF(Roster!$AN$14=0,"",Roster!$AN$14)</f>
        <v/>
      </c>
      <c r="R95" s="203"/>
      <c r="S95" s="361"/>
      <c r="T95" s="362"/>
      <c r="U95" s="362"/>
      <c r="V95" s="362"/>
      <c r="W95" s="362"/>
      <c r="X95" s="362"/>
      <c r="Y95" s="362"/>
      <c r="Z95" s="362"/>
      <c r="AA95" s="362"/>
      <c r="AB95" s="362"/>
      <c r="AC95" s="363"/>
      <c r="AD95" s="200"/>
      <c r="AE95" s="2"/>
      <c r="AF95" s="202" t="str">
        <f>IF(Roster!$AN$15=0,"",Roster!$AN$15)</f>
        <v/>
      </c>
      <c r="AG95" s="203"/>
      <c r="AH95" s="361"/>
      <c r="AI95" s="362"/>
      <c r="AJ95" s="362"/>
      <c r="AK95" s="362"/>
      <c r="AL95" s="362"/>
      <c r="AM95" s="362"/>
      <c r="AN95" s="362"/>
      <c r="AO95" s="362"/>
      <c r="AP95" s="362"/>
      <c r="AQ95" s="362"/>
      <c r="AR95" s="363"/>
      <c r="AS95" s="200"/>
      <c r="AT95" s="2"/>
      <c r="AU95" s="202" t="str">
        <f>IF(Roster!$AN$16=0,"",Roster!$AN$16)</f>
        <v/>
      </c>
      <c r="AV95" s="203"/>
      <c r="AW95" s="361"/>
      <c r="AX95" s="362"/>
      <c r="AY95" s="362"/>
      <c r="AZ95" s="362"/>
      <c r="BA95" s="362"/>
      <c r="BB95" s="362"/>
      <c r="BC95" s="362"/>
      <c r="BD95" s="362"/>
      <c r="BE95" s="362"/>
      <c r="BF95" s="362"/>
      <c r="BG95" s="363"/>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1" t="str">
        <f>IF(Roster!$A$17=0,"","#"&amp;Roster!$A$17)</f>
        <v>#16</v>
      </c>
      <c r="C98" s="183"/>
      <c r="D98" s="183"/>
      <c r="E98" s="183"/>
      <c r="F98" s="183"/>
      <c r="G98" s="183"/>
      <c r="H98" s="183"/>
      <c r="I98" s="183"/>
      <c r="J98" s="183"/>
      <c r="K98" s="183"/>
      <c r="L98" s="183"/>
      <c r="M98" s="183"/>
      <c r="N98" s="183"/>
      <c r="O98" s="183"/>
      <c r="P98" s="2"/>
      <c r="Q98" s="366"/>
      <c r="R98" s="183"/>
      <c r="S98" s="183"/>
      <c r="T98" s="183"/>
      <c r="U98" s="183"/>
      <c r="V98" s="183"/>
      <c r="W98" s="183"/>
      <c r="X98" s="183"/>
      <c r="Y98" s="183"/>
      <c r="Z98" s="183"/>
      <c r="AA98" s="183"/>
      <c r="AB98" s="183"/>
      <c r="AC98" s="183"/>
      <c r="AD98" s="183"/>
      <c r="AE98" s="2"/>
      <c r="AF98" s="366"/>
      <c r="AG98" s="183"/>
      <c r="AH98" s="183"/>
      <c r="AI98" s="183"/>
      <c r="AJ98" s="183"/>
      <c r="AK98" s="183"/>
      <c r="AL98" s="183"/>
      <c r="AM98" s="183"/>
      <c r="AN98" s="183"/>
      <c r="AO98" s="183"/>
      <c r="AP98" s="183"/>
      <c r="AQ98" s="183"/>
      <c r="AR98" s="183"/>
      <c r="AS98" s="183"/>
      <c r="AT98" s="2"/>
      <c r="AU98" s="366"/>
      <c r="AV98" s="183"/>
      <c r="AW98" s="183"/>
      <c r="AX98" s="183"/>
      <c r="AY98" s="183"/>
      <c r="AZ98" s="183"/>
      <c r="BA98" s="183"/>
      <c r="BB98" s="183"/>
      <c r="BC98" s="183"/>
      <c r="BD98" s="183"/>
      <c r="BE98" s="183"/>
      <c r="BF98" s="183"/>
      <c r="BG98" s="183"/>
      <c r="BH98" s="183"/>
    </row>
    <row r="99" spans="1:60" ht="15" customHeight="1">
      <c r="A99" s="2"/>
      <c r="B99" s="249"/>
      <c r="C99" s="356" t="str">
        <f>IF(Roster!$B$17=0,"",Roster!$B$17)</f>
        <v/>
      </c>
      <c r="D99" s="253"/>
      <c r="E99" s="253"/>
      <c r="F99" s="253"/>
      <c r="G99" s="253"/>
      <c r="H99" s="253"/>
      <c r="I99" s="253"/>
      <c r="J99" s="253"/>
      <c r="K99" s="253"/>
      <c r="L99" s="253"/>
      <c r="M99" s="253"/>
      <c r="N99" s="254"/>
      <c r="O99" s="183"/>
      <c r="P99" s="2"/>
      <c r="Q99" s="249"/>
      <c r="R99" s="367" t="str">
        <f>IF(Roster!$B$18=0,"","("&amp;Roster!$B$18&amp;")")</f>
        <v>(Star Player &amp; Mercenario)</v>
      </c>
      <c r="S99" s="253"/>
      <c r="T99" s="253"/>
      <c r="U99" s="253"/>
      <c r="V99" s="253"/>
      <c r="W99" s="253"/>
      <c r="X99" s="253"/>
      <c r="Y99" s="253"/>
      <c r="Z99" s="253"/>
      <c r="AA99" s="253"/>
      <c r="AB99" s="253"/>
      <c r="AC99" s="254"/>
      <c r="AD99" s="183"/>
      <c r="AE99" s="2"/>
      <c r="AF99" s="249"/>
      <c r="AG99" s="367" t="str">
        <f>IF(Roster!$B$19=0,"","("&amp;Roster!$B$19&amp;")")</f>
        <v>(Star Player &amp; Mercenario)</v>
      </c>
      <c r="AH99" s="253"/>
      <c r="AI99" s="253"/>
      <c r="AJ99" s="253"/>
      <c r="AK99" s="253"/>
      <c r="AL99" s="253"/>
      <c r="AM99" s="253"/>
      <c r="AN99" s="253"/>
      <c r="AO99" s="253"/>
      <c r="AP99" s="253"/>
      <c r="AQ99" s="253"/>
      <c r="AR99" s="254"/>
      <c r="AS99" s="183"/>
      <c r="AT99" s="2"/>
      <c r="AU99" s="249"/>
      <c r="AV99" s="367" t="str">
        <f>IF(Roster!$B$20=0,"","("&amp;Roster!$B$20&amp;")")</f>
        <v>(Mercenario)</v>
      </c>
      <c r="AW99" s="253"/>
      <c r="AX99" s="253"/>
      <c r="AY99" s="253"/>
      <c r="AZ99" s="253"/>
      <c r="BA99" s="253"/>
      <c r="BB99" s="253"/>
      <c r="BC99" s="253"/>
      <c r="BD99" s="253"/>
      <c r="BE99" s="253"/>
      <c r="BF99" s="253"/>
      <c r="BG99" s="254"/>
      <c r="BH99" s="183"/>
    </row>
    <row r="100" spans="1:60" ht="11.25" customHeight="1">
      <c r="A100" s="2"/>
      <c r="B100" s="250"/>
      <c r="C100" s="372" t="str">
        <f>IF(Roster!$C$17=0,"",Roster!$C$17)</f>
        <v/>
      </c>
      <c r="D100" s="253"/>
      <c r="E100" s="253"/>
      <c r="F100" s="253"/>
      <c r="G100" s="253"/>
      <c r="H100" s="253"/>
      <c r="I100" s="253"/>
      <c r="J100" s="253"/>
      <c r="K100" s="253"/>
      <c r="L100" s="253"/>
      <c r="M100" s="253"/>
      <c r="N100" s="254"/>
      <c r="O100" s="184"/>
      <c r="P100" s="2"/>
      <c r="Q100" s="250"/>
      <c r="R100" s="368" t="str">
        <f>IF(Roster!$C$18=0,"",Roster!$C$18)</f>
        <v/>
      </c>
      <c r="S100" s="358"/>
      <c r="T100" s="358"/>
      <c r="U100" s="358"/>
      <c r="V100" s="358"/>
      <c r="W100" s="358"/>
      <c r="X100" s="358"/>
      <c r="Y100" s="358"/>
      <c r="Z100" s="358"/>
      <c r="AA100" s="358"/>
      <c r="AB100" s="358"/>
      <c r="AC100" s="359"/>
      <c r="AD100" s="184"/>
      <c r="AE100" s="2"/>
      <c r="AF100" s="250"/>
      <c r="AG100" s="368" t="str">
        <f>IF(Roster!$C$19=0,"",Roster!$C$19)</f>
        <v/>
      </c>
      <c r="AH100" s="358"/>
      <c r="AI100" s="358"/>
      <c r="AJ100" s="358"/>
      <c r="AK100" s="358"/>
      <c r="AL100" s="358"/>
      <c r="AM100" s="358"/>
      <c r="AN100" s="358"/>
      <c r="AO100" s="358"/>
      <c r="AP100" s="358"/>
      <c r="AQ100" s="358"/>
      <c r="AR100" s="359"/>
      <c r="AS100" s="184"/>
      <c r="AT100" s="2"/>
      <c r="AU100" s="250"/>
      <c r="AV100" s="368" t="str">
        <f>IF(Roster!$C$20=0,"",Roster!$C$20)</f>
        <v/>
      </c>
      <c r="AW100" s="358"/>
      <c r="AX100" s="358"/>
      <c r="AY100" s="358"/>
      <c r="AZ100" s="358"/>
      <c r="BA100" s="358"/>
      <c r="BB100" s="358"/>
      <c r="BC100" s="358"/>
      <c r="BD100" s="358"/>
      <c r="BE100" s="358"/>
      <c r="BF100" s="358"/>
      <c r="BG100" s="359"/>
      <c r="BH100" s="184"/>
    </row>
    <row r="101" spans="1:60" ht="11.25" customHeight="1">
      <c r="A101" s="2"/>
      <c r="B101" s="187" t="str">
        <f>IF(Roster!$J$1=0,"",Roster!$J$1)</f>
        <v>MA</v>
      </c>
      <c r="C101" s="186"/>
      <c r="D101" s="370"/>
      <c r="E101" s="279"/>
      <c r="F101" s="279"/>
      <c r="G101" s="279"/>
      <c r="H101" s="279"/>
      <c r="I101" s="279"/>
      <c r="J101" s="279"/>
      <c r="K101" s="279"/>
      <c r="L101" s="279"/>
      <c r="M101" s="279"/>
      <c r="N101" s="279"/>
      <c r="O101" s="183"/>
      <c r="P101" s="2"/>
      <c r="Q101" s="187" t="str">
        <f>IF(Roster!$J$1=0,"",Roster!$J$1)</f>
        <v>MA</v>
      </c>
      <c r="R101" s="360"/>
      <c r="S101" s="279"/>
      <c r="T101" s="279"/>
      <c r="U101" s="279"/>
      <c r="V101" s="279"/>
      <c r="W101" s="279"/>
      <c r="X101" s="279"/>
      <c r="Y101" s="279"/>
      <c r="Z101" s="279"/>
      <c r="AA101" s="279"/>
      <c r="AB101" s="279"/>
      <c r="AC101" s="338"/>
      <c r="AD101" s="183"/>
      <c r="AE101" s="2"/>
      <c r="AF101" s="187" t="str">
        <f>IF(Roster!$J$1=0,"",Roster!$J$1)</f>
        <v>MA</v>
      </c>
      <c r="AG101" s="360"/>
      <c r="AH101" s="279"/>
      <c r="AI101" s="279"/>
      <c r="AJ101" s="279"/>
      <c r="AK101" s="279"/>
      <c r="AL101" s="279"/>
      <c r="AM101" s="279"/>
      <c r="AN101" s="279"/>
      <c r="AO101" s="279"/>
      <c r="AP101" s="279"/>
      <c r="AQ101" s="279"/>
      <c r="AR101" s="338"/>
      <c r="AS101" s="183"/>
      <c r="AT101" s="2"/>
      <c r="AU101" s="187" t="str">
        <f>IF(Roster!$J$1=0,"",Roster!$J$1)</f>
        <v>MA</v>
      </c>
      <c r="AV101" s="360"/>
      <c r="AW101" s="279"/>
      <c r="AX101" s="279"/>
      <c r="AY101" s="279"/>
      <c r="AZ101" s="279"/>
      <c r="BA101" s="279"/>
      <c r="BB101" s="279"/>
      <c r="BC101" s="279"/>
      <c r="BD101" s="279"/>
      <c r="BE101" s="279"/>
      <c r="BF101" s="279"/>
      <c r="BG101" s="338"/>
      <c r="BH101" s="183"/>
    </row>
    <row r="102" spans="1:60" ht="37.5" customHeight="1">
      <c r="A102" s="2"/>
      <c r="B102" s="189" t="str">
        <f>IF(Roster!$J$17=0,"",Roster!$J$17)</f>
        <v/>
      </c>
      <c r="C102" s="186"/>
      <c r="D102" s="279"/>
      <c r="E102" s="279"/>
      <c r="F102" s="279"/>
      <c r="G102" s="279"/>
      <c r="H102" s="279"/>
      <c r="I102" s="279"/>
      <c r="J102" s="279"/>
      <c r="K102" s="279"/>
      <c r="L102" s="279"/>
      <c r="M102" s="279"/>
      <c r="N102" s="279"/>
      <c r="O102" s="183"/>
      <c r="P102" s="2"/>
      <c r="Q102" s="189" t="str">
        <f>IF(Roster!$J$18=0,"",Roster!$J$18)</f>
        <v/>
      </c>
      <c r="R102" s="361"/>
      <c r="S102" s="362"/>
      <c r="T102" s="362"/>
      <c r="U102" s="362"/>
      <c r="V102" s="362"/>
      <c r="W102" s="362"/>
      <c r="X102" s="362"/>
      <c r="Y102" s="362"/>
      <c r="Z102" s="362"/>
      <c r="AA102" s="362"/>
      <c r="AB102" s="362"/>
      <c r="AC102" s="363"/>
      <c r="AD102" s="183"/>
      <c r="AE102" s="2"/>
      <c r="AF102" s="189" t="str">
        <f>IF(Roster!$J$19=0,"",Roster!$J$19)</f>
        <v/>
      </c>
      <c r="AG102" s="361"/>
      <c r="AH102" s="362"/>
      <c r="AI102" s="362"/>
      <c r="AJ102" s="362"/>
      <c r="AK102" s="362"/>
      <c r="AL102" s="362"/>
      <c r="AM102" s="362"/>
      <c r="AN102" s="362"/>
      <c r="AO102" s="362"/>
      <c r="AP102" s="362"/>
      <c r="AQ102" s="362"/>
      <c r="AR102" s="363"/>
      <c r="AS102" s="183"/>
      <c r="AT102" s="2"/>
      <c r="AU102" s="189" t="str">
        <f>IF(Roster!$J$20=0,"",Roster!$J$20)</f>
        <v/>
      </c>
      <c r="AV102" s="361"/>
      <c r="AW102" s="362"/>
      <c r="AX102" s="362"/>
      <c r="AY102" s="362"/>
      <c r="AZ102" s="362"/>
      <c r="BA102" s="362"/>
      <c r="BB102" s="362"/>
      <c r="BC102" s="362"/>
      <c r="BD102" s="362"/>
      <c r="BE102" s="362"/>
      <c r="BF102" s="362"/>
      <c r="BG102" s="363"/>
      <c r="BH102" s="183"/>
    </row>
    <row r="103" spans="1:60" ht="11.25" customHeight="1">
      <c r="A103" s="2"/>
      <c r="B103" s="187" t="str">
        <f>IF(Roster!$K$1=0,"",Roster!$K$1)</f>
        <v>ST</v>
      </c>
      <c r="C103" s="186"/>
      <c r="D103" s="279"/>
      <c r="E103" s="279"/>
      <c r="F103" s="279"/>
      <c r="G103" s="279"/>
      <c r="H103" s="279"/>
      <c r="I103" s="279"/>
      <c r="J103" s="279"/>
      <c r="K103" s="279"/>
      <c r="L103" s="279"/>
      <c r="M103" s="279"/>
      <c r="N103" s="279"/>
      <c r="O103" s="183"/>
      <c r="P103" s="2"/>
      <c r="Q103" s="187" t="str">
        <f>IF(Roster!$K$1=0,"",Roster!$K$1)</f>
        <v>ST</v>
      </c>
      <c r="R103" s="187"/>
      <c r="S103" s="355" t="str">
        <f>IF(Roster!$J$25="Italiano","REGOLE SPECIALI",(IF(Roster!$J$25="Español","REGLA ESPECIAL","SPECIAL RULE")))</f>
        <v>REGOLE SPECIALI</v>
      </c>
      <c r="T103" s="253"/>
      <c r="U103" s="253"/>
      <c r="V103" s="253"/>
      <c r="W103" s="253"/>
      <c r="X103" s="253"/>
      <c r="Y103" s="253"/>
      <c r="Z103" s="253"/>
      <c r="AA103" s="253"/>
      <c r="AB103" s="253"/>
      <c r="AC103" s="254"/>
      <c r="AD103" s="183"/>
      <c r="AE103" s="2"/>
      <c r="AF103" s="187" t="str">
        <f>IF(Roster!$K$1=0,"",Roster!$K$1)</f>
        <v>ST</v>
      </c>
      <c r="AG103" s="183"/>
      <c r="AH103" s="355" t="str">
        <f>IF(Roster!$J$25="Italiano","REGOLE SPECIALI",(IF(Roster!$J$25="Español","REGLA ESPECIAL","SPECIAL RULE")))</f>
        <v>REGOLE SPECIALI</v>
      </c>
      <c r="AI103" s="253"/>
      <c r="AJ103" s="253"/>
      <c r="AK103" s="253"/>
      <c r="AL103" s="253"/>
      <c r="AM103" s="253"/>
      <c r="AN103" s="253"/>
      <c r="AO103" s="253"/>
      <c r="AP103" s="253"/>
      <c r="AQ103" s="253"/>
      <c r="AR103" s="254"/>
      <c r="AS103" s="183"/>
      <c r="AT103" s="2"/>
      <c r="AU103" s="187" t="str">
        <f>IF(Roster!$K$1=0,"",Roster!$K$1)</f>
        <v>ST</v>
      </c>
      <c r="AV103" s="183"/>
      <c r="AW103" s="355" t="str">
        <f>IF(Roster!$J$25="Italiano","REGOLE SPECIALI",(IF(Roster!$J$25="Español","REGLA ESPECIAL","SPECIAL RULE")))</f>
        <v>REGOLE SPECIALI</v>
      </c>
      <c r="AX103" s="253"/>
      <c r="AY103" s="253"/>
      <c r="AZ103" s="253"/>
      <c r="BA103" s="253"/>
      <c r="BB103" s="253"/>
      <c r="BC103" s="253"/>
      <c r="BD103" s="253"/>
      <c r="BE103" s="253"/>
      <c r="BF103" s="253"/>
      <c r="BG103" s="254"/>
      <c r="BH103" s="183"/>
    </row>
    <row r="104" spans="1:60" ht="37.5" customHeight="1">
      <c r="A104" s="2"/>
      <c r="B104" s="189" t="str">
        <f>IF(Roster!$K$17=0,"",Roster!$K$17)</f>
        <v/>
      </c>
      <c r="C104" s="186"/>
      <c r="D104" s="279"/>
      <c r="E104" s="279"/>
      <c r="F104" s="279"/>
      <c r="G104" s="279"/>
      <c r="H104" s="279"/>
      <c r="I104" s="279"/>
      <c r="J104" s="279"/>
      <c r="K104" s="279"/>
      <c r="L104" s="279"/>
      <c r="M104" s="279"/>
      <c r="N104" s="279"/>
      <c r="O104" s="183"/>
      <c r="P104" s="2"/>
      <c r="Q104" s="189" t="str">
        <f>IF(Roster!$K$18=0,"",Roster!$K$18)</f>
        <v/>
      </c>
      <c r="R104" s="187"/>
      <c r="S104" s="357" t="str">
        <f>IF(Roster!$Z$18=0,"",Roster!$Z$18)</f>
        <v/>
      </c>
      <c r="T104" s="358"/>
      <c r="U104" s="358"/>
      <c r="V104" s="358"/>
      <c r="W104" s="358"/>
      <c r="X104" s="358"/>
      <c r="Y104" s="358"/>
      <c r="Z104" s="358"/>
      <c r="AA104" s="358"/>
      <c r="AB104" s="358"/>
      <c r="AC104" s="359"/>
      <c r="AD104" s="183"/>
      <c r="AE104" s="2"/>
      <c r="AF104" s="189" t="str">
        <f>IF(Roster!$K$19=0,"",Roster!$K$19)</f>
        <v/>
      </c>
      <c r="AG104" s="183"/>
      <c r="AH104" s="357" t="str">
        <f>IF(Roster!$Z$19=0,"",Roster!$Z$19)</f>
        <v/>
      </c>
      <c r="AI104" s="358"/>
      <c r="AJ104" s="358"/>
      <c r="AK104" s="358"/>
      <c r="AL104" s="358"/>
      <c r="AM104" s="358"/>
      <c r="AN104" s="358"/>
      <c r="AO104" s="358"/>
      <c r="AP104" s="358"/>
      <c r="AQ104" s="358"/>
      <c r="AR104" s="359"/>
      <c r="AS104" s="183"/>
      <c r="AT104" s="2"/>
      <c r="AU104" s="189" t="str">
        <f>IF(Roster!$K$20=0,"",Roster!$K$20)</f>
        <v/>
      </c>
      <c r="AV104" s="183"/>
      <c r="AW104" s="357" t="str">
        <f>IF(Roster!$Z$20=0,"",Roster!$Z$20)</f>
        <v/>
      </c>
      <c r="AX104" s="358"/>
      <c r="AY104" s="358"/>
      <c r="AZ104" s="358"/>
      <c r="BA104" s="358"/>
      <c r="BB104" s="358"/>
      <c r="BC104" s="358"/>
      <c r="BD104" s="358"/>
      <c r="BE104" s="358"/>
      <c r="BF104" s="358"/>
      <c r="BG104" s="359"/>
      <c r="BH104" s="183"/>
    </row>
    <row r="105" spans="1:60" ht="11.25" customHeight="1">
      <c r="A105" s="2"/>
      <c r="B105" s="187" t="str">
        <f>IF(Roster!$L$1=0,"",Roster!$L$1)</f>
        <v>AG</v>
      </c>
      <c r="C105" s="186"/>
      <c r="D105" s="279"/>
      <c r="E105" s="279"/>
      <c r="F105" s="279"/>
      <c r="G105" s="279"/>
      <c r="H105" s="279"/>
      <c r="I105" s="279"/>
      <c r="J105" s="279"/>
      <c r="K105" s="279"/>
      <c r="L105" s="279"/>
      <c r="M105" s="279"/>
      <c r="N105" s="279"/>
      <c r="O105" s="183"/>
      <c r="P105" s="2"/>
      <c r="Q105" s="187" t="str">
        <f>IF(Roster!$L$1=0,"",Roster!$L$1)</f>
        <v>AG</v>
      </c>
      <c r="R105" s="187"/>
      <c r="S105" s="360"/>
      <c r="T105" s="279"/>
      <c r="U105" s="279"/>
      <c r="V105" s="279"/>
      <c r="W105" s="279"/>
      <c r="X105" s="279"/>
      <c r="Y105" s="279"/>
      <c r="Z105" s="279"/>
      <c r="AA105" s="279"/>
      <c r="AB105" s="279"/>
      <c r="AC105" s="338"/>
      <c r="AD105" s="183"/>
      <c r="AE105" s="2"/>
      <c r="AF105" s="187" t="str">
        <f>IF(Roster!$L$1=0,"",Roster!$L$1)</f>
        <v>AG</v>
      </c>
      <c r="AG105" s="183"/>
      <c r="AH105" s="360"/>
      <c r="AI105" s="279"/>
      <c r="AJ105" s="279"/>
      <c r="AK105" s="279"/>
      <c r="AL105" s="279"/>
      <c r="AM105" s="279"/>
      <c r="AN105" s="279"/>
      <c r="AO105" s="279"/>
      <c r="AP105" s="279"/>
      <c r="AQ105" s="279"/>
      <c r="AR105" s="338"/>
      <c r="AS105" s="183"/>
      <c r="AT105" s="2"/>
      <c r="AU105" s="187" t="str">
        <f>IF(Roster!$L$1=0,"",Roster!$L$1)</f>
        <v>AG</v>
      </c>
      <c r="AV105" s="183"/>
      <c r="AW105" s="360"/>
      <c r="AX105" s="279"/>
      <c r="AY105" s="279"/>
      <c r="AZ105" s="279"/>
      <c r="BA105" s="279"/>
      <c r="BB105" s="279"/>
      <c r="BC105" s="279"/>
      <c r="BD105" s="279"/>
      <c r="BE105" s="279"/>
      <c r="BF105" s="279"/>
      <c r="BG105" s="338"/>
      <c r="BH105" s="183"/>
    </row>
    <row r="106" spans="1:60" ht="37.5" customHeight="1">
      <c r="A106" s="2"/>
      <c r="B106" s="189" t="str">
        <f>IF(Roster!$L$17=0&amp;"+","",Roster!$L$17)</f>
        <v/>
      </c>
      <c r="C106" s="186"/>
      <c r="D106" s="279"/>
      <c r="E106" s="279"/>
      <c r="F106" s="279"/>
      <c r="G106" s="279"/>
      <c r="H106" s="279"/>
      <c r="I106" s="279"/>
      <c r="J106" s="279"/>
      <c r="K106" s="279"/>
      <c r="L106" s="279"/>
      <c r="M106" s="279"/>
      <c r="N106" s="279"/>
      <c r="O106" s="183"/>
      <c r="P106" s="2"/>
      <c r="Q106" s="189" t="str">
        <f>IF(Roster!$L$18=0,"",Roster!$L$18)</f>
        <v/>
      </c>
      <c r="R106" s="187"/>
      <c r="S106" s="360"/>
      <c r="T106" s="279"/>
      <c r="U106" s="279"/>
      <c r="V106" s="279"/>
      <c r="W106" s="279"/>
      <c r="X106" s="279"/>
      <c r="Y106" s="279"/>
      <c r="Z106" s="279"/>
      <c r="AA106" s="279"/>
      <c r="AB106" s="279"/>
      <c r="AC106" s="338"/>
      <c r="AD106" s="183"/>
      <c r="AE106" s="2"/>
      <c r="AF106" s="189" t="str">
        <f>IF(Roster!$L$19=0,"",Roster!$L$19)</f>
        <v/>
      </c>
      <c r="AG106" s="183"/>
      <c r="AH106" s="360"/>
      <c r="AI106" s="279"/>
      <c r="AJ106" s="279"/>
      <c r="AK106" s="279"/>
      <c r="AL106" s="279"/>
      <c r="AM106" s="279"/>
      <c r="AN106" s="279"/>
      <c r="AO106" s="279"/>
      <c r="AP106" s="279"/>
      <c r="AQ106" s="279"/>
      <c r="AR106" s="338"/>
      <c r="AS106" s="183"/>
      <c r="AT106" s="2"/>
      <c r="AU106" s="189" t="str">
        <f>IF(Roster!$L$20=0,"",Roster!$L$20)</f>
        <v/>
      </c>
      <c r="AV106" s="183"/>
      <c r="AW106" s="360"/>
      <c r="AX106" s="279"/>
      <c r="AY106" s="279"/>
      <c r="AZ106" s="279"/>
      <c r="BA106" s="279"/>
      <c r="BB106" s="279"/>
      <c r="BC106" s="279"/>
      <c r="BD106" s="279"/>
      <c r="BE106" s="279"/>
      <c r="BF106" s="279"/>
      <c r="BG106" s="338"/>
      <c r="BH106" s="183"/>
    </row>
    <row r="107" spans="1:60" ht="11.25" customHeight="1">
      <c r="A107" s="2"/>
      <c r="B107" s="187" t="str">
        <f>IF(Roster!$M$1=0,"",Roster!$M$1)</f>
        <v>PA</v>
      </c>
      <c r="C107" s="186"/>
      <c r="D107" s="279"/>
      <c r="E107" s="279"/>
      <c r="F107" s="279"/>
      <c r="G107" s="279"/>
      <c r="H107" s="279"/>
      <c r="I107" s="279"/>
      <c r="J107" s="279"/>
      <c r="K107" s="279"/>
      <c r="L107" s="279"/>
      <c r="M107" s="279"/>
      <c r="N107" s="279"/>
      <c r="O107" s="192"/>
      <c r="P107" s="2"/>
      <c r="Q107" s="187" t="str">
        <f>IF(Roster!$M$1=0,"",Roster!$M$1)</f>
        <v>PA</v>
      </c>
      <c r="R107" s="187"/>
      <c r="S107" s="360"/>
      <c r="T107" s="279"/>
      <c r="U107" s="279"/>
      <c r="V107" s="279"/>
      <c r="W107" s="279"/>
      <c r="X107" s="279"/>
      <c r="Y107" s="279"/>
      <c r="Z107" s="279"/>
      <c r="AA107" s="279"/>
      <c r="AB107" s="279"/>
      <c r="AC107" s="338"/>
      <c r="AD107" s="192"/>
      <c r="AE107" s="2"/>
      <c r="AF107" s="187" t="str">
        <f>IF(Roster!$M$1=0,"",Roster!$M$1)</f>
        <v>PA</v>
      </c>
      <c r="AG107" s="183"/>
      <c r="AH107" s="360"/>
      <c r="AI107" s="279"/>
      <c r="AJ107" s="279"/>
      <c r="AK107" s="279"/>
      <c r="AL107" s="279"/>
      <c r="AM107" s="279"/>
      <c r="AN107" s="279"/>
      <c r="AO107" s="279"/>
      <c r="AP107" s="279"/>
      <c r="AQ107" s="279"/>
      <c r="AR107" s="338"/>
      <c r="AS107" s="192"/>
      <c r="AT107" s="2"/>
      <c r="AU107" s="187" t="str">
        <f>IF(Roster!$M$1=0,"",Roster!$M$1)</f>
        <v>PA</v>
      </c>
      <c r="AV107" s="183"/>
      <c r="AW107" s="360"/>
      <c r="AX107" s="279"/>
      <c r="AY107" s="279"/>
      <c r="AZ107" s="279"/>
      <c r="BA107" s="279"/>
      <c r="BB107" s="279"/>
      <c r="BC107" s="279"/>
      <c r="BD107" s="279"/>
      <c r="BE107" s="279"/>
      <c r="BF107" s="279"/>
      <c r="BG107" s="338"/>
      <c r="BH107" s="192"/>
    </row>
    <row r="108" spans="1:60" ht="6" customHeight="1">
      <c r="A108" s="2"/>
      <c r="B108" s="369" t="str">
        <f>IF(Roster!$M$17=0&amp;"+","",Roster!$M$17)</f>
        <v/>
      </c>
      <c r="C108" s="186"/>
      <c r="D108" s="279"/>
      <c r="E108" s="279"/>
      <c r="F108" s="279"/>
      <c r="G108" s="279"/>
      <c r="H108" s="279"/>
      <c r="I108" s="279"/>
      <c r="J108" s="279"/>
      <c r="K108" s="279"/>
      <c r="L108" s="279"/>
      <c r="M108" s="279"/>
      <c r="N108" s="279"/>
      <c r="O108" s="194"/>
      <c r="P108" s="2"/>
      <c r="Q108" s="369" t="str">
        <f>IF(Roster!$M$18=0,"",Roster!$M$18)</f>
        <v/>
      </c>
      <c r="R108" s="187"/>
      <c r="S108" s="360"/>
      <c r="T108" s="279"/>
      <c r="U108" s="279"/>
      <c r="V108" s="279"/>
      <c r="W108" s="279"/>
      <c r="X108" s="279"/>
      <c r="Y108" s="279"/>
      <c r="Z108" s="279"/>
      <c r="AA108" s="279"/>
      <c r="AB108" s="279"/>
      <c r="AC108" s="338"/>
      <c r="AD108" s="194"/>
      <c r="AE108" s="2"/>
      <c r="AF108" s="369" t="str">
        <f>IF(Roster!$M$19=0,"",Roster!$M$19)</f>
        <v/>
      </c>
      <c r="AG108" s="183"/>
      <c r="AH108" s="360"/>
      <c r="AI108" s="279"/>
      <c r="AJ108" s="279"/>
      <c r="AK108" s="279"/>
      <c r="AL108" s="279"/>
      <c r="AM108" s="279"/>
      <c r="AN108" s="279"/>
      <c r="AO108" s="279"/>
      <c r="AP108" s="279"/>
      <c r="AQ108" s="279"/>
      <c r="AR108" s="338"/>
      <c r="AS108" s="194"/>
      <c r="AT108" s="2"/>
      <c r="AU108" s="369" t="str">
        <f>IF(Roster!$M$20=0,"",Roster!$M$20)</f>
        <v/>
      </c>
      <c r="AV108" s="183"/>
      <c r="AW108" s="360"/>
      <c r="AX108" s="279"/>
      <c r="AY108" s="279"/>
      <c r="AZ108" s="279"/>
      <c r="BA108" s="279"/>
      <c r="BB108" s="279"/>
      <c r="BC108" s="279"/>
      <c r="BD108" s="279"/>
      <c r="BE108" s="279"/>
      <c r="BF108" s="279"/>
      <c r="BG108" s="338"/>
      <c r="BH108" s="194"/>
    </row>
    <row r="109" spans="1:60" ht="4.5" customHeight="1">
      <c r="A109" s="2"/>
      <c r="B109" s="249"/>
      <c r="C109" s="186"/>
      <c r="D109" s="183"/>
      <c r="E109" s="193"/>
      <c r="F109" s="183"/>
      <c r="G109" s="193"/>
      <c r="H109" s="183"/>
      <c r="I109" s="193"/>
      <c r="J109" s="183"/>
      <c r="K109" s="193"/>
      <c r="L109" s="183"/>
      <c r="M109" s="193"/>
      <c r="N109" s="183"/>
      <c r="O109" s="194"/>
      <c r="P109" s="2"/>
      <c r="Q109" s="249"/>
      <c r="R109" s="187"/>
      <c r="S109" s="360"/>
      <c r="T109" s="279"/>
      <c r="U109" s="279"/>
      <c r="V109" s="279"/>
      <c r="W109" s="279"/>
      <c r="X109" s="279"/>
      <c r="Y109" s="279"/>
      <c r="Z109" s="279"/>
      <c r="AA109" s="279"/>
      <c r="AB109" s="279"/>
      <c r="AC109" s="338"/>
      <c r="AD109" s="194"/>
      <c r="AE109" s="2"/>
      <c r="AF109" s="249"/>
      <c r="AG109" s="188"/>
      <c r="AH109" s="360"/>
      <c r="AI109" s="279"/>
      <c r="AJ109" s="279"/>
      <c r="AK109" s="279"/>
      <c r="AL109" s="279"/>
      <c r="AM109" s="279"/>
      <c r="AN109" s="279"/>
      <c r="AO109" s="279"/>
      <c r="AP109" s="279"/>
      <c r="AQ109" s="279"/>
      <c r="AR109" s="338"/>
      <c r="AS109" s="194"/>
      <c r="AT109" s="2"/>
      <c r="AU109" s="249"/>
      <c r="AV109" s="188"/>
      <c r="AW109" s="360"/>
      <c r="AX109" s="279"/>
      <c r="AY109" s="279"/>
      <c r="AZ109" s="279"/>
      <c r="BA109" s="279"/>
      <c r="BB109" s="279"/>
      <c r="BC109" s="279"/>
      <c r="BD109" s="279"/>
      <c r="BE109" s="279"/>
      <c r="BF109" s="279"/>
      <c r="BG109" s="338"/>
      <c r="BH109" s="194"/>
    </row>
    <row r="110" spans="1:60" ht="11.25" customHeight="1">
      <c r="A110" s="2"/>
      <c r="B110" s="249"/>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49"/>
      <c r="R110" s="187"/>
      <c r="S110" s="360"/>
      <c r="T110" s="279"/>
      <c r="U110" s="279"/>
      <c r="V110" s="279"/>
      <c r="W110" s="279"/>
      <c r="X110" s="279"/>
      <c r="Y110" s="279"/>
      <c r="Z110" s="279"/>
      <c r="AA110" s="279"/>
      <c r="AB110" s="279"/>
      <c r="AC110" s="338"/>
      <c r="AD110" s="194"/>
      <c r="AE110" s="2"/>
      <c r="AF110" s="249"/>
      <c r="AG110" s="188"/>
      <c r="AH110" s="360"/>
      <c r="AI110" s="279"/>
      <c r="AJ110" s="279"/>
      <c r="AK110" s="279"/>
      <c r="AL110" s="279"/>
      <c r="AM110" s="279"/>
      <c r="AN110" s="279"/>
      <c r="AO110" s="279"/>
      <c r="AP110" s="279"/>
      <c r="AQ110" s="279"/>
      <c r="AR110" s="338"/>
      <c r="AS110" s="194"/>
      <c r="AT110" s="2"/>
      <c r="AU110" s="249"/>
      <c r="AV110" s="188"/>
      <c r="AW110" s="360"/>
      <c r="AX110" s="279"/>
      <c r="AY110" s="279"/>
      <c r="AZ110" s="279"/>
      <c r="BA110" s="279"/>
      <c r="BB110" s="279"/>
      <c r="BC110" s="279"/>
      <c r="BD110" s="279"/>
      <c r="BE110" s="279"/>
      <c r="BF110" s="279"/>
      <c r="BG110" s="338"/>
      <c r="BH110" s="194"/>
    </row>
    <row r="111" spans="1:60" ht="15" customHeight="1">
      <c r="A111" s="2"/>
      <c r="B111" s="249"/>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49"/>
      <c r="R111" s="187"/>
      <c r="S111" s="361"/>
      <c r="T111" s="362"/>
      <c r="U111" s="362"/>
      <c r="V111" s="362"/>
      <c r="W111" s="362"/>
      <c r="X111" s="362"/>
      <c r="Y111" s="362"/>
      <c r="Z111" s="362"/>
      <c r="AA111" s="362"/>
      <c r="AB111" s="362"/>
      <c r="AC111" s="363"/>
      <c r="AD111" s="194"/>
      <c r="AE111" s="2"/>
      <c r="AF111" s="249"/>
      <c r="AG111" s="187"/>
      <c r="AH111" s="361"/>
      <c r="AI111" s="362"/>
      <c r="AJ111" s="362"/>
      <c r="AK111" s="362"/>
      <c r="AL111" s="362"/>
      <c r="AM111" s="362"/>
      <c r="AN111" s="362"/>
      <c r="AO111" s="362"/>
      <c r="AP111" s="362"/>
      <c r="AQ111" s="362"/>
      <c r="AR111" s="363"/>
      <c r="AS111" s="194"/>
      <c r="AT111" s="2"/>
      <c r="AU111" s="249"/>
      <c r="AV111" s="187"/>
      <c r="AW111" s="361"/>
      <c r="AX111" s="362"/>
      <c r="AY111" s="362"/>
      <c r="AZ111" s="362"/>
      <c r="BA111" s="362"/>
      <c r="BB111" s="362"/>
      <c r="BC111" s="362"/>
      <c r="BD111" s="362"/>
      <c r="BE111" s="362"/>
      <c r="BF111" s="362"/>
      <c r="BG111" s="363"/>
      <c r="BH111" s="194"/>
    </row>
    <row r="112" spans="1:60" ht="4.5" customHeight="1">
      <c r="A112" s="2"/>
      <c r="B112" s="250"/>
      <c r="C112" s="188"/>
      <c r="D112" s="197"/>
      <c r="E112" s="188"/>
      <c r="F112" s="197"/>
      <c r="G112" s="188"/>
      <c r="H112" s="197"/>
      <c r="I112" s="188"/>
      <c r="J112" s="197"/>
      <c r="K112" s="188"/>
      <c r="L112" s="197"/>
      <c r="M112" s="188"/>
      <c r="N112" s="197"/>
      <c r="O112" s="194"/>
      <c r="P112" s="2"/>
      <c r="Q112" s="250"/>
      <c r="R112" s="188"/>
      <c r="S112" s="203"/>
      <c r="T112" s="203"/>
      <c r="U112" s="203"/>
      <c r="V112" s="203"/>
      <c r="W112" s="203"/>
      <c r="X112" s="203"/>
      <c r="Y112" s="203"/>
      <c r="Z112" s="203"/>
      <c r="AA112" s="203"/>
      <c r="AB112" s="203"/>
      <c r="AC112" s="183"/>
      <c r="AD112" s="194"/>
      <c r="AE112" s="2"/>
      <c r="AF112" s="250"/>
      <c r="AG112" s="188"/>
      <c r="AH112" s="203"/>
      <c r="AI112" s="203"/>
      <c r="AJ112" s="203"/>
      <c r="AK112" s="203"/>
      <c r="AL112" s="203"/>
      <c r="AM112" s="203"/>
      <c r="AN112" s="203"/>
      <c r="AO112" s="203"/>
      <c r="AP112" s="203"/>
      <c r="AQ112" s="203"/>
      <c r="AR112" s="183"/>
      <c r="AS112" s="194"/>
      <c r="AT112" s="2"/>
      <c r="AU112" s="250"/>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55" t="str">
        <f>IF(Roster!$J$25="Italiano","ABILITÀ &amp; TRATTI",(IF(Roster!$J$25="Español","HABILIDADES Y RASGOS","SKILLS &amp; TRAITS")))</f>
        <v>ABILITÀ &amp; TRATTI</v>
      </c>
      <c r="T113" s="253"/>
      <c r="U113" s="253"/>
      <c r="V113" s="253"/>
      <c r="W113" s="253"/>
      <c r="X113" s="253"/>
      <c r="Y113" s="253"/>
      <c r="Z113" s="253"/>
      <c r="AA113" s="253"/>
      <c r="AB113" s="253"/>
      <c r="AC113" s="254"/>
      <c r="AD113" s="183"/>
      <c r="AE113" s="2"/>
      <c r="AF113" s="187" t="str">
        <f>IF(Roster!$N$1=0,"",Roster!$N$1)</f>
        <v>AV</v>
      </c>
      <c r="AG113" s="188"/>
      <c r="AH113" s="355" t="str">
        <f>IF(Roster!$J$25="Italiano","ABILITÀ &amp; TRATTI",(IF(Roster!$J$25="Español","HABILIDADES Y RASGOS","SKILLS &amp; TRAITS")))</f>
        <v>ABILITÀ &amp; TRATTI</v>
      </c>
      <c r="AI113" s="253"/>
      <c r="AJ113" s="253"/>
      <c r="AK113" s="253"/>
      <c r="AL113" s="253"/>
      <c r="AM113" s="253"/>
      <c r="AN113" s="253"/>
      <c r="AO113" s="253"/>
      <c r="AP113" s="253"/>
      <c r="AQ113" s="253"/>
      <c r="AR113" s="254"/>
      <c r="AS113" s="183"/>
      <c r="AT113" s="2"/>
      <c r="AU113" s="187" t="str">
        <f>IF(Roster!$N$1=0,"",Roster!$N$1)</f>
        <v>AV</v>
      </c>
      <c r="AV113" s="188"/>
      <c r="AW113" s="355" t="str">
        <f>IF(Roster!$J$25="Italiano","ABILITÀ &amp; TRATTI",(IF(Roster!$J$25="Español","HABILIDADES Y RASGOS","SKILLS &amp; TRAITS")))</f>
        <v>ABILITÀ &amp; TRATTI</v>
      </c>
      <c r="AX113" s="253"/>
      <c r="AY113" s="253"/>
      <c r="AZ113" s="253"/>
      <c r="BA113" s="253"/>
      <c r="BB113" s="253"/>
      <c r="BC113" s="253"/>
      <c r="BD113" s="253"/>
      <c r="BE113" s="253"/>
      <c r="BF113" s="253"/>
      <c r="BG113" s="254"/>
      <c r="BH113" s="183"/>
    </row>
    <row r="114" spans="1:60" ht="15" customHeight="1">
      <c r="A114" s="2"/>
      <c r="B114" s="369" t="str">
        <f>IF(Roster!$N$17=0&amp;"+","",Roster!$N$17)</f>
        <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69" t="str">
        <f>IF(Roster!$N$18=0,"",Roster!$N$18)</f>
        <v/>
      </c>
      <c r="R114" s="187"/>
      <c r="S114" s="364" t="str">
        <f>IF(Roster!$O$18=0,"",Roster!$O$18)</f>
        <v/>
      </c>
      <c r="T114" s="358"/>
      <c r="U114" s="358"/>
      <c r="V114" s="358"/>
      <c r="W114" s="358"/>
      <c r="X114" s="358"/>
      <c r="Y114" s="358"/>
      <c r="Z114" s="358"/>
      <c r="AA114" s="358"/>
      <c r="AB114" s="358"/>
      <c r="AC114" s="359"/>
      <c r="AD114" s="199"/>
      <c r="AE114" s="2"/>
      <c r="AF114" s="369" t="str">
        <f>IF(Roster!$N$19=0,"",Roster!$N$19)</f>
        <v/>
      </c>
      <c r="AG114" s="187"/>
      <c r="AH114" s="364" t="str">
        <f>IF(Roster!$O$19=0,"",Roster!$O$19)</f>
        <v/>
      </c>
      <c r="AI114" s="358"/>
      <c r="AJ114" s="358"/>
      <c r="AK114" s="358"/>
      <c r="AL114" s="358"/>
      <c r="AM114" s="358"/>
      <c r="AN114" s="358"/>
      <c r="AO114" s="358"/>
      <c r="AP114" s="358"/>
      <c r="AQ114" s="358"/>
      <c r="AR114" s="359"/>
      <c r="AS114" s="199"/>
      <c r="AT114" s="2"/>
      <c r="AU114" s="369" t="str">
        <f>IF(Roster!$N$20=0,"",Roster!$N$20)</f>
        <v/>
      </c>
      <c r="AV114" s="187"/>
      <c r="AW114" s="364" t="str">
        <f>IF(Roster!$O$20=0,"",Roster!$O$20)</f>
        <v/>
      </c>
      <c r="AX114" s="358"/>
      <c r="AY114" s="358"/>
      <c r="AZ114" s="358"/>
      <c r="BA114" s="358"/>
      <c r="BB114" s="358"/>
      <c r="BC114" s="358"/>
      <c r="BD114" s="358"/>
      <c r="BE114" s="358"/>
      <c r="BF114" s="358"/>
      <c r="BG114" s="359"/>
      <c r="BH114" s="199"/>
    </row>
    <row r="115" spans="1:60" ht="4.5" customHeight="1">
      <c r="A115" s="2"/>
      <c r="B115" s="249"/>
      <c r="C115" s="188"/>
      <c r="D115" s="188"/>
      <c r="E115" s="188"/>
      <c r="F115" s="188"/>
      <c r="G115" s="188"/>
      <c r="H115" s="188"/>
      <c r="I115" s="188"/>
      <c r="J115" s="188"/>
      <c r="K115" s="188"/>
      <c r="L115" s="188"/>
      <c r="M115" s="188"/>
      <c r="N115" s="194"/>
      <c r="O115" s="199"/>
      <c r="P115" s="2"/>
      <c r="Q115" s="249"/>
      <c r="R115" s="203"/>
      <c r="S115" s="360"/>
      <c r="T115" s="279"/>
      <c r="U115" s="279"/>
      <c r="V115" s="279"/>
      <c r="W115" s="279"/>
      <c r="X115" s="279"/>
      <c r="Y115" s="279"/>
      <c r="Z115" s="279"/>
      <c r="AA115" s="279"/>
      <c r="AB115" s="279"/>
      <c r="AC115" s="338"/>
      <c r="AD115" s="199"/>
      <c r="AE115" s="2"/>
      <c r="AF115" s="249"/>
      <c r="AG115" s="203"/>
      <c r="AH115" s="360"/>
      <c r="AI115" s="279"/>
      <c r="AJ115" s="279"/>
      <c r="AK115" s="279"/>
      <c r="AL115" s="279"/>
      <c r="AM115" s="279"/>
      <c r="AN115" s="279"/>
      <c r="AO115" s="279"/>
      <c r="AP115" s="279"/>
      <c r="AQ115" s="279"/>
      <c r="AR115" s="338"/>
      <c r="AS115" s="199"/>
      <c r="AT115" s="2"/>
      <c r="AU115" s="249"/>
      <c r="AV115" s="203"/>
      <c r="AW115" s="360"/>
      <c r="AX115" s="279"/>
      <c r="AY115" s="279"/>
      <c r="AZ115" s="279"/>
      <c r="BA115" s="279"/>
      <c r="BB115" s="279"/>
      <c r="BC115" s="279"/>
      <c r="BD115" s="279"/>
      <c r="BE115" s="279"/>
      <c r="BF115" s="279"/>
      <c r="BG115" s="338"/>
      <c r="BH115" s="199"/>
    </row>
    <row r="116" spans="1:60" ht="11.25" customHeight="1">
      <c r="A116" s="2"/>
      <c r="B116" s="249"/>
      <c r="C116" s="188"/>
      <c r="D116" s="355" t="str">
        <f>IF(Roster!$J$25="Italiano","ABILITÀ &amp; TRATTI",(IF(Roster!$J$25="Español","HABILIDADES Y RASGOS","SKILLS &amp; TRAITS")))</f>
        <v>ABILITÀ &amp; TRATTI</v>
      </c>
      <c r="E116" s="253"/>
      <c r="F116" s="253"/>
      <c r="G116" s="253"/>
      <c r="H116" s="253"/>
      <c r="I116" s="253"/>
      <c r="J116" s="253"/>
      <c r="K116" s="253"/>
      <c r="L116" s="253"/>
      <c r="M116" s="253"/>
      <c r="N116" s="254"/>
      <c r="O116" s="199"/>
      <c r="P116" s="2"/>
      <c r="Q116" s="249"/>
      <c r="R116" s="183"/>
      <c r="S116" s="360"/>
      <c r="T116" s="279"/>
      <c r="U116" s="279"/>
      <c r="V116" s="279"/>
      <c r="W116" s="279"/>
      <c r="X116" s="279"/>
      <c r="Y116" s="279"/>
      <c r="Z116" s="279"/>
      <c r="AA116" s="279"/>
      <c r="AB116" s="279"/>
      <c r="AC116" s="338"/>
      <c r="AD116" s="199"/>
      <c r="AE116" s="2"/>
      <c r="AF116" s="249"/>
      <c r="AG116" s="183"/>
      <c r="AH116" s="360"/>
      <c r="AI116" s="279"/>
      <c r="AJ116" s="279"/>
      <c r="AK116" s="279"/>
      <c r="AL116" s="279"/>
      <c r="AM116" s="279"/>
      <c r="AN116" s="279"/>
      <c r="AO116" s="279"/>
      <c r="AP116" s="279"/>
      <c r="AQ116" s="279"/>
      <c r="AR116" s="338"/>
      <c r="AS116" s="199"/>
      <c r="AT116" s="2"/>
      <c r="AU116" s="249"/>
      <c r="AV116" s="183"/>
      <c r="AW116" s="360"/>
      <c r="AX116" s="279"/>
      <c r="AY116" s="279"/>
      <c r="AZ116" s="279"/>
      <c r="BA116" s="279"/>
      <c r="BB116" s="279"/>
      <c r="BC116" s="279"/>
      <c r="BD116" s="279"/>
      <c r="BE116" s="279"/>
      <c r="BF116" s="279"/>
      <c r="BG116" s="338"/>
      <c r="BH116" s="199"/>
    </row>
    <row r="117" spans="1:60" ht="6.75" customHeight="1">
      <c r="A117" s="2"/>
      <c r="B117" s="250"/>
      <c r="C117" s="188"/>
      <c r="D117" s="365" t="str">
        <f>IF(Roster!$O$17=0&amp;BF17,"",Roster!$O$17)</f>
        <v/>
      </c>
      <c r="E117" s="358"/>
      <c r="F117" s="358"/>
      <c r="G117" s="358"/>
      <c r="H117" s="358"/>
      <c r="I117" s="358"/>
      <c r="J117" s="358"/>
      <c r="K117" s="358"/>
      <c r="L117" s="358"/>
      <c r="M117" s="358"/>
      <c r="N117" s="359"/>
      <c r="O117" s="199"/>
      <c r="P117" s="2"/>
      <c r="Q117" s="250"/>
      <c r="R117" s="204"/>
      <c r="S117" s="360"/>
      <c r="T117" s="279"/>
      <c r="U117" s="279"/>
      <c r="V117" s="279"/>
      <c r="W117" s="279"/>
      <c r="X117" s="279"/>
      <c r="Y117" s="279"/>
      <c r="Z117" s="279"/>
      <c r="AA117" s="279"/>
      <c r="AB117" s="279"/>
      <c r="AC117" s="338"/>
      <c r="AD117" s="199"/>
      <c r="AE117" s="2"/>
      <c r="AF117" s="250"/>
      <c r="AG117" s="204"/>
      <c r="AH117" s="360"/>
      <c r="AI117" s="279"/>
      <c r="AJ117" s="279"/>
      <c r="AK117" s="279"/>
      <c r="AL117" s="279"/>
      <c r="AM117" s="279"/>
      <c r="AN117" s="279"/>
      <c r="AO117" s="279"/>
      <c r="AP117" s="279"/>
      <c r="AQ117" s="279"/>
      <c r="AR117" s="338"/>
      <c r="AS117" s="199"/>
      <c r="AT117" s="2"/>
      <c r="AU117" s="250"/>
      <c r="AV117" s="204"/>
      <c r="AW117" s="360"/>
      <c r="AX117" s="279"/>
      <c r="AY117" s="279"/>
      <c r="AZ117" s="279"/>
      <c r="BA117" s="279"/>
      <c r="BB117" s="279"/>
      <c r="BC117" s="279"/>
      <c r="BD117" s="279"/>
      <c r="BE117" s="279"/>
      <c r="BF117" s="279"/>
      <c r="BG117" s="338"/>
      <c r="BH117" s="199"/>
    </row>
    <row r="118" spans="1:60" ht="11.25" customHeight="1">
      <c r="A118" s="2"/>
      <c r="B118" s="187" t="str">
        <f>IF(Roster!$AN$1=0,"",Roster!$AN$1)</f>
        <v>COSTO</v>
      </c>
      <c r="C118" s="187"/>
      <c r="D118" s="360"/>
      <c r="E118" s="279"/>
      <c r="F118" s="279"/>
      <c r="G118" s="279"/>
      <c r="H118" s="279"/>
      <c r="I118" s="279"/>
      <c r="J118" s="279"/>
      <c r="K118" s="279"/>
      <c r="L118" s="279"/>
      <c r="M118" s="279"/>
      <c r="N118" s="338"/>
      <c r="O118" s="200"/>
      <c r="P118" s="2"/>
      <c r="Q118" s="187" t="str">
        <f>IF(Roster!$AN$1=0,"",Roster!$AN$1)</f>
        <v>COSTO</v>
      </c>
      <c r="R118" s="204"/>
      <c r="S118" s="360"/>
      <c r="T118" s="279"/>
      <c r="U118" s="279"/>
      <c r="V118" s="279"/>
      <c r="W118" s="279"/>
      <c r="X118" s="279"/>
      <c r="Y118" s="279"/>
      <c r="Z118" s="279"/>
      <c r="AA118" s="279"/>
      <c r="AB118" s="279"/>
      <c r="AC118" s="338"/>
      <c r="AD118" s="200"/>
      <c r="AE118" s="2"/>
      <c r="AF118" s="187" t="str">
        <f>IF(Roster!$AN$1=0,"",Roster!$AN$1)</f>
        <v>COSTO</v>
      </c>
      <c r="AG118" s="204"/>
      <c r="AH118" s="360"/>
      <c r="AI118" s="279"/>
      <c r="AJ118" s="279"/>
      <c r="AK118" s="279"/>
      <c r="AL118" s="279"/>
      <c r="AM118" s="279"/>
      <c r="AN118" s="279"/>
      <c r="AO118" s="279"/>
      <c r="AP118" s="279"/>
      <c r="AQ118" s="279"/>
      <c r="AR118" s="338"/>
      <c r="AS118" s="200"/>
      <c r="AT118" s="2"/>
      <c r="AU118" s="187" t="str">
        <f>IF(Roster!$AN$1=0,"",Roster!$AN$1)</f>
        <v>COSTO</v>
      </c>
      <c r="AV118" s="204"/>
      <c r="AW118" s="360"/>
      <c r="AX118" s="279"/>
      <c r="AY118" s="279"/>
      <c r="AZ118" s="279"/>
      <c r="BA118" s="279"/>
      <c r="BB118" s="279"/>
      <c r="BC118" s="279"/>
      <c r="BD118" s="279"/>
      <c r="BE118" s="279"/>
      <c r="BF118" s="279"/>
      <c r="BG118" s="338"/>
      <c r="BH118" s="200"/>
    </row>
    <row r="119" spans="1:60" ht="34.5" customHeight="1">
      <c r="A119" s="2"/>
      <c r="B119" s="202" t="str">
        <f>IF(Roster!$AN$17=0,"",Roster!$AN$17)</f>
        <v/>
      </c>
      <c r="C119" s="203"/>
      <c r="D119" s="361"/>
      <c r="E119" s="362"/>
      <c r="F119" s="362"/>
      <c r="G119" s="362"/>
      <c r="H119" s="362"/>
      <c r="I119" s="362"/>
      <c r="J119" s="362"/>
      <c r="K119" s="362"/>
      <c r="L119" s="362"/>
      <c r="M119" s="362"/>
      <c r="N119" s="363"/>
      <c r="O119" s="200"/>
      <c r="P119" s="2"/>
      <c r="Q119" s="202" t="str">
        <f>IF(Roster!$AN$18=0,"",Roster!$AN$18)</f>
        <v/>
      </c>
      <c r="R119" s="204"/>
      <c r="S119" s="361"/>
      <c r="T119" s="362"/>
      <c r="U119" s="362"/>
      <c r="V119" s="362"/>
      <c r="W119" s="362"/>
      <c r="X119" s="362"/>
      <c r="Y119" s="362"/>
      <c r="Z119" s="362"/>
      <c r="AA119" s="362"/>
      <c r="AB119" s="362"/>
      <c r="AC119" s="363"/>
      <c r="AD119" s="200"/>
      <c r="AE119" s="2"/>
      <c r="AF119" s="202" t="str">
        <f>IF(Roster!$AN$19=0,"",Roster!$AN$19)</f>
        <v/>
      </c>
      <c r="AG119" s="204"/>
      <c r="AH119" s="361"/>
      <c r="AI119" s="362"/>
      <c r="AJ119" s="362"/>
      <c r="AK119" s="362"/>
      <c r="AL119" s="362"/>
      <c r="AM119" s="362"/>
      <c r="AN119" s="362"/>
      <c r="AO119" s="362"/>
      <c r="AP119" s="362"/>
      <c r="AQ119" s="362"/>
      <c r="AR119" s="363"/>
      <c r="AS119" s="200"/>
      <c r="AT119" s="2"/>
      <c r="AU119" s="202" t="str">
        <f>IF(Roster!$AN$20=0,"",Roster!$AN$20)</f>
        <v/>
      </c>
      <c r="AV119" s="204"/>
      <c r="AW119" s="361"/>
      <c r="AX119" s="362"/>
      <c r="AY119" s="362"/>
      <c r="AZ119" s="362"/>
      <c r="BA119" s="362"/>
      <c r="BB119" s="362"/>
      <c r="BC119" s="362"/>
      <c r="BD119" s="362"/>
      <c r="BE119" s="362"/>
      <c r="BF119" s="362"/>
      <c r="BG119" s="363"/>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AH29:AR36"/>
    <mergeCell ref="AW29:BG36"/>
    <mergeCell ref="AF36:AF40"/>
    <mergeCell ref="AU36:AU40"/>
    <mergeCell ref="AF42:AF45"/>
    <mergeCell ref="AU42:AU45"/>
    <mergeCell ref="AW44:BG44"/>
    <mergeCell ref="AV51:BG51"/>
    <mergeCell ref="AF50:AF52"/>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U74:AU76"/>
    <mergeCell ref="R75:AC75"/>
    <mergeCell ref="S53:AC60"/>
    <mergeCell ref="AH53:AR60"/>
    <mergeCell ref="AF60:AF64"/>
    <mergeCell ref="AU60:AU64"/>
    <mergeCell ref="AF74:AF76"/>
    <mergeCell ref="R76:AC76"/>
    <mergeCell ref="AG76:AR76"/>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election activeCell="S21" sqref="S21:AC23"/>
    </sheetView>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5"/>
      <c r="C2" s="205"/>
      <c r="D2" s="205"/>
      <c r="E2" s="205"/>
      <c r="F2" s="205"/>
      <c r="G2" s="205"/>
      <c r="H2" s="205"/>
      <c r="I2" s="205"/>
      <c r="J2" s="205"/>
      <c r="K2" s="205"/>
      <c r="L2" s="205"/>
      <c r="M2" s="205"/>
      <c r="N2" s="205"/>
      <c r="O2" s="206"/>
      <c r="P2" s="2"/>
      <c r="Q2" s="395" t="str">
        <f>IF(Roster!$A$2=0,"","#"&amp;Roster!$A$2)</f>
        <v>#1</v>
      </c>
      <c r="R2" s="205"/>
      <c r="S2" s="205"/>
      <c r="T2" s="205"/>
      <c r="U2" s="205"/>
      <c r="V2" s="205"/>
      <c r="W2" s="205"/>
      <c r="X2" s="205"/>
      <c r="Y2" s="205"/>
      <c r="Z2" s="205"/>
      <c r="AA2" s="205"/>
      <c r="AB2" s="205"/>
      <c r="AC2" s="205"/>
      <c r="AD2" s="206"/>
      <c r="AE2" s="2"/>
      <c r="AF2" s="395" t="str">
        <f>IF(Roster!$A$3=0,"","#"&amp;Roster!$A$3)</f>
        <v>#2</v>
      </c>
      <c r="AG2" s="205"/>
      <c r="AH2" s="205"/>
      <c r="AI2" s="205"/>
      <c r="AJ2" s="205"/>
      <c r="AK2" s="205"/>
      <c r="AL2" s="205"/>
      <c r="AM2" s="205"/>
      <c r="AN2" s="205"/>
      <c r="AO2" s="205"/>
      <c r="AP2" s="205"/>
      <c r="AQ2" s="205"/>
      <c r="AR2" s="205"/>
      <c r="AS2" s="206"/>
      <c r="AT2" s="2"/>
      <c r="AU2" s="395" t="str">
        <f>IF(Roster!$A$4=0,"","#"&amp;Roster!$A$4)</f>
        <v>#3</v>
      </c>
      <c r="AV2" s="205"/>
      <c r="AW2" s="205"/>
      <c r="AX2" s="205"/>
      <c r="AY2" s="205"/>
      <c r="AZ2" s="205"/>
      <c r="BA2" s="205"/>
      <c r="BB2" s="205"/>
      <c r="BC2" s="205"/>
      <c r="BD2" s="205"/>
      <c r="BE2" s="205"/>
      <c r="BF2" s="205"/>
      <c r="BG2" s="205"/>
      <c r="BH2" s="206"/>
      <c r="BI2" s="2"/>
    </row>
    <row r="3" spans="1:61" ht="15" customHeight="1">
      <c r="A3" s="2"/>
      <c r="B3" s="396"/>
      <c r="C3" s="398" t="str">
        <f>IF(Roster!$J$24=0,Roster!$C$24,Roster!$J$24)</f>
        <v>ZPAKKA TUTT' I COZ</v>
      </c>
      <c r="D3" s="253"/>
      <c r="E3" s="253"/>
      <c r="F3" s="253"/>
      <c r="G3" s="253"/>
      <c r="H3" s="253"/>
      <c r="I3" s="253"/>
      <c r="J3" s="253"/>
      <c r="K3" s="253"/>
      <c r="L3" s="253"/>
      <c r="M3" s="253"/>
      <c r="N3" s="254"/>
      <c r="O3" s="207"/>
      <c r="P3" s="2"/>
      <c r="Q3" s="396"/>
      <c r="R3" s="398" t="str">
        <f>IF(Roster!$B$2=0,"",Roster!$B$2)</f>
        <v>Sniper</v>
      </c>
      <c r="S3" s="253"/>
      <c r="T3" s="253"/>
      <c r="U3" s="253"/>
      <c r="V3" s="253"/>
      <c r="W3" s="253"/>
      <c r="X3" s="253"/>
      <c r="Y3" s="253"/>
      <c r="Z3" s="253"/>
      <c r="AA3" s="253"/>
      <c r="AB3" s="253"/>
      <c r="AC3" s="254"/>
      <c r="AD3" s="207"/>
      <c r="AE3" s="2"/>
      <c r="AF3" s="396"/>
      <c r="AG3" s="398" t="str">
        <f>IF(Roster!$B$3=0,"",Roster!$B$3)</f>
        <v>Speedy</v>
      </c>
      <c r="AH3" s="253"/>
      <c r="AI3" s="253"/>
      <c r="AJ3" s="253"/>
      <c r="AK3" s="253"/>
      <c r="AL3" s="253"/>
      <c r="AM3" s="253"/>
      <c r="AN3" s="253"/>
      <c r="AO3" s="253"/>
      <c r="AP3" s="253"/>
      <c r="AQ3" s="253"/>
      <c r="AR3" s="254"/>
      <c r="AS3" s="207"/>
      <c r="AT3" s="2"/>
      <c r="AU3" s="396"/>
      <c r="AV3" s="398" t="str">
        <f>IF(Roster!$B$4=0,"",Roster!$B$4)</f>
        <v>Burst</v>
      </c>
      <c r="AW3" s="253"/>
      <c r="AX3" s="253"/>
      <c r="AY3" s="253"/>
      <c r="AZ3" s="253"/>
      <c r="BA3" s="253"/>
      <c r="BB3" s="253"/>
      <c r="BC3" s="253"/>
      <c r="BD3" s="253"/>
      <c r="BE3" s="253"/>
      <c r="BF3" s="253"/>
      <c r="BG3" s="254"/>
      <c r="BH3" s="207"/>
      <c r="BI3" s="2"/>
    </row>
    <row r="4" spans="1:61" ht="11.25" customHeight="1">
      <c r="A4" s="2"/>
      <c r="B4" s="396"/>
      <c r="C4" s="388" t="str">
        <f>IF(Roster!$J$21="SPONSORS",Roster!$J$23,Roster!$J$23&amp;"; Sponsor: "&amp;Roster!$J$21)</f>
        <v xml:space="preserve">Orc; Sponsor: </v>
      </c>
      <c r="D4" s="253"/>
      <c r="E4" s="253"/>
      <c r="F4" s="253"/>
      <c r="G4" s="253"/>
      <c r="H4" s="253"/>
      <c r="I4" s="253"/>
      <c r="J4" s="253"/>
      <c r="K4" s="253"/>
      <c r="L4" s="253"/>
      <c r="M4" s="253"/>
      <c r="N4" s="254"/>
      <c r="O4" s="208"/>
      <c r="P4" s="2"/>
      <c r="Q4" s="397"/>
      <c r="R4" s="388" t="str">
        <f>IF(Roster!$C$2=0,"",Roster!$C$2)</f>
        <v>Thrower</v>
      </c>
      <c r="S4" s="253"/>
      <c r="T4" s="253"/>
      <c r="U4" s="253"/>
      <c r="V4" s="253"/>
      <c r="W4" s="253"/>
      <c r="X4" s="253"/>
      <c r="Y4" s="253"/>
      <c r="Z4" s="253"/>
      <c r="AA4" s="253"/>
      <c r="AB4" s="253"/>
      <c r="AC4" s="254"/>
      <c r="AD4" s="208"/>
      <c r="AE4" s="2"/>
      <c r="AF4" s="397"/>
      <c r="AG4" s="388" t="str">
        <f>IF(Roster!$C$3=0,"",Roster!$C$3)</f>
        <v>Blitzer</v>
      </c>
      <c r="AH4" s="253"/>
      <c r="AI4" s="253"/>
      <c r="AJ4" s="253"/>
      <c r="AK4" s="253"/>
      <c r="AL4" s="253"/>
      <c r="AM4" s="253"/>
      <c r="AN4" s="253"/>
      <c r="AO4" s="253"/>
      <c r="AP4" s="253"/>
      <c r="AQ4" s="253"/>
      <c r="AR4" s="254"/>
      <c r="AS4" s="208"/>
      <c r="AT4" s="2"/>
      <c r="AU4" s="397"/>
      <c r="AV4" s="388" t="str">
        <f>IF(Roster!$C$4=0,"",Roster!$C$4)</f>
        <v>Blitzer</v>
      </c>
      <c r="AW4" s="253"/>
      <c r="AX4" s="253"/>
      <c r="AY4" s="253"/>
      <c r="AZ4" s="253"/>
      <c r="BA4" s="253"/>
      <c r="BB4" s="253"/>
      <c r="BC4" s="253"/>
      <c r="BD4" s="253"/>
      <c r="BE4" s="253"/>
      <c r="BF4" s="253"/>
      <c r="BG4" s="254"/>
      <c r="BH4" s="208"/>
      <c r="BI4" s="2"/>
    </row>
    <row r="5" spans="1:61" ht="11.25" customHeight="1">
      <c r="A5" s="2"/>
      <c r="B5" s="397"/>
      <c r="C5" s="209"/>
      <c r="D5" s="388" t="str">
        <f>IF(Roster!$C$32=0,"",Roster!$C$32)</f>
        <v>VALORE SQUADRA</v>
      </c>
      <c r="E5" s="253"/>
      <c r="F5" s="254"/>
      <c r="G5" s="210"/>
      <c r="H5" s="388" t="str">
        <f>IF(Roster!$C$26=0,"",Roster!$C$26)</f>
        <v>TIFOSI SFEGATATI</v>
      </c>
      <c r="I5" s="253"/>
      <c r="J5" s="254"/>
      <c r="K5" s="210"/>
      <c r="L5" s="388" t="str">
        <f>IF(Roster!$AD$21=0,"",Roster!$AD$21)</f>
        <v>REROLLS TOTALI</v>
      </c>
      <c r="M5" s="253"/>
      <c r="N5" s="254"/>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5" t="str">
        <f>IF(Roster!$J$22=0,"",Roster!$J$22)</f>
        <v>Luix</v>
      </c>
      <c r="C6" s="213"/>
      <c r="D6" s="406">
        <f>Roster!$J$32</f>
        <v>1165</v>
      </c>
      <c r="E6" s="245"/>
      <c r="F6" s="246"/>
      <c r="G6" s="210"/>
      <c r="H6" s="406">
        <f>IF(Roster!$J$26=0,"",Roster!$J$26)</f>
        <v>1</v>
      </c>
      <c r="I6" s="245"/>
      <c r="J6" s="246"/>
      <c r="K6" s="210"/>
      <c r="L6" s="406">
        <f>Roster!$AI$22</f>
        <v>2</v>
      </c>
      <c r="M6" s="245"/>
      <c r="N6" s="246"/>
      <c r="O6" s="207"/>
      <c r="P6" s="2"/>
      <c r="Q6" s="214">
        <f>IF(Roster!$J$2=0,"",Roster!$J$2)</f>
        <v>5</v>
      </c>
      <c r="R6" s="212"/>
      <c r="S6" s="399"/>
      <c r="T6" s="286"/>
      <c r="U6" s="286"/>
      <c r="V6" s="286"/>
      <c r="W6" s="286"/>
      <c r="X6" s="286"/>
      <c r="Y6" s="286"/>
      <c r="Z6" s="286"/>
      <c r="AA6" s="286"/>
      <c r="AB6" s="286"/>
      <c r="AC6" s="287"/>
      <c r="AD6" s="207"/>
      <c r="AE6" s="2"/>
      <c r="AF6" s="214">
        <f>IF(Roster!$J$3=0,"",Roster!$J$3)</f>
        <v>6</v>
      </c>
      <c r="AG6" s="212"/>
      <c r="AH6" s="399"/>
      <c r="AI6" s="286"/>
      <c r="AJ6" s="286"/>
      <c r="AK6" s="286"/>
      <c r="AL6" s="286"/>
      <c r="AM6" s="286"/>
      <c r="AN6" s="286"/>
      <c r="AO6" s="286"/>
      <c r="AP6" s="286"/>
      <c r="AQ6" s="286"/>
      <c r="AR6" s="287"/>
      <c r="AS6" s="207"/>
      <c r="AT6" s="2"/>
      <c r="AU6" s="214">
        <f>IF(Roster!$J$4=0,"",Roster!$J$4)</f>
        <v>6</v>
      </c>
      <c r="AV6" s="212"/>
      <c r="AW6" s="399"/>
      <c r="AX6" s="286"/>
      <c r="AY6" s="286"/>
      <c r="AZ6" s="286"/>
      <c r="BA6" s="286"/>
      <c r="BB6" s="286"/>
      <c r="BC6" s="286"/>
      <c r="BD6" s="286"/>
      <c r="BE6" s="286"/>
      <c r="BF6" s="286"/>
      <c r="BG6" s="287"/>
      <c r="BH6" s="207"/>
      <c r="BI6" s="2"/>
    </row>
    <row r="7" spans="1:61" ht="11.25" customHeight="1">
      <c r="A7" s="2"/>
      <c r="B7" s="396"/>
      <c r="C7" s="212"/>
      <c r="D7" s="388" t="str">
        <f>IF(Roster!$R$22=0,"",Roster!$R$22)</f>
        <v>MEDICO</v>
      </c>
      <c r="E7" s="253"/>
      <c r="F7" s="254"/>
      <c r="G7" s="210"/>
      <c r="H7" s="388" t="str">
        <f>IF(Roster!$R$23=0,"",Roster!$R$23)</f>
        <v>CHEERLEADERS</v>
      </c>
      <c r="I7" s="253"/>
      <c r="J7" s="254"/>
      <c r="K7" s="210"/>
      <c r="L7" s="388" t="str">
        <f>IF(Roster!$R$24=0,"",Roster!$R$24)</f>
        <v>ASSISTENTI ALLENATORI</v>
      </c>
      <c r="M7" s="253"/>
      <c r="N7" s="254"/>
      <c r="O7" s="207"/>
      <c r="P7" s="2"/>
      <c r="Q7" s="211" t="str">
        <f>IF(Roster!$K$1=0,"",Roster!$K$1)</f>
        <v>ST</v>
      </c>
      <c r="R7" s="212"/>
      <c r="S7" s="312"/>
      <c r="T7" s="279"/>
      <c r="U7" s="279"/>
      <c r="V7" s="279"/>
      <c r="W7" s="279"/>
      <c r="X7" s="279"/>
      <c r="Y7" s="279"/>
      <c r="Z7" s="279"/>
      <c r="AA7" s="279"/>
      <c r="AB7" s="279"/>
      <c r="AC7" s="313"/>
      <c r="AD7" s="207"/>
      <c r="AE7" s="2"/>
      <c r="AF7" s="211" t="str">
        <f>IF(Roster!$K$1=0,"",Roster!$K$1)</f>
        <v>ST</v>
      </c>
      <c r="AG7" s="212"/>
      <c r="AH7" s="312"/>
      <c r="AI7" s="279"/>
      <c r="AJ7" s="279"/>
      <c r="AK7" s="279"/>
      <c r="AL7" s="279"/>
      <c r="AM7" s="279"/>
      <c r="AN7" s="279"/>
      <c r="AO7" s="279"/>
      <c r="AP7" s="279"/>
      <c r="AQ7" s="279"/>
      <c r="AR7" s="313"/>
      <c r="AS7" s="207"/>
      <c r="AT7" s="2"/>
      <c r="AU7" s="211" t="str">
        <f>IF(Roster!$K$1=0,"",Roster!$K$1)</f>
        <v>ST</v>
      </c>
      <c r="AV7" s="212"/>
      <c r="AW7" s="312"/>
      <c r="AX7" s="279"/>
      <c r="AY7" s="279"/>
      <c r="AZ7" s="279"/>
      <c r="BA7" s="279"/>
      <c r="BB7" s="279"/>
      <c r="BC7" s="279"/>
      <c r="BD7" s="279"/>
      <c r="BE7" s="279"/>
      <c r="BF7" s="279"/>
      <c r="BG7" s="313"/>
      <c r="BH7" s="207"/>
      <c r="BI7" s="2"/>
    </row>
    <row r="8" spans="1:61" ht="37.5" customHeight="1">
      <c r="A8" s="2"/>
      <c r="B8" s="396"/>
      <c r="C8" s="215"/>
      <c r="D8" s="406">
        <f>Roster!$W$22</f>
        <v>0</v>
      </c>
      <c r="E8" s="245"/>
      <c r="F8" s="246"/>
      <c r="G8" s="210"/>
      <c r="H8" s="406">
        <f>Roster!$W$23</f>
        <v>0</v>
      </c>
      <c r="I8" s="245"/>
      <c r="J8" s="246"/>
      <c r="K8" s="210"/>
      <c r="L8" s="406">
        <f>Roster!$W$24</f>
        <v>0</v>
      </c>
      <c r="M8" s="245"/>
      <c r="N8" s="246"/>
      <c r="O8" s="207"/>
      <c r="P8" s="2"/>
      <c r="Q8" s="214">
        <f>IF(Roster!$K$2=0,"",Roster!$K$2)</f>
        <v>3</v>
      </c>
      <c r="R8" s="212"/>
      <c r="S8" s="312"/>
      <c r="T8" s="279"/>
      <c r="U8" s="279"/>
      <c r="V8" s="279"/>
      <c r="W8" s="279"/>
      <c r="X8" s="279"/>
      <c r="Y8" s="279"/>
      <c r="Z8" s="279"/>
      <c r="AA8" s="279"/>
      <c r="AB8" s="279"/>
      <c r="AC8" s="313"/>
      <c r="AD8" s="207"/>
      <c r="AE8" s="2"/>
      <c r="AF8" s="214">
        <f>IF(Roster!$K$3=0,"",Roster!$K$3)</f>
        <v>3</v>
      </c>
      <c r="AG8" s="212"/>
      <c r="AH8" s="312"/>
      <c r="AI8" s="279"/>
      <c r="AJ8" s="279"/>
      <c r="AK8" s="279"/>
      <c r="AL8" s="279"/>
      <c r="AM8" s="279"/>
      <c r="AN8" s="279"/>
      <c r="AO8" s="279"/>
      <c r="AP8" s="279"/>
      <c r="AQ8" s="279"/>
      <c r="AR8" s="313"/>
      <c r="AS8" s="207"/>
      <c r="AT8" s="2"/>
      <c r="AU8" s="214">
        <f>IF(Roster!$K$4=0,"",Roster!$K$4)</f>
        <v>3</v>
      </c>
      <c r="AV8" s="212"/>
      <c r="AW8" s="312"/>
      <c r="AX8" s="279"/>
      <c r="AY8" s="279"/>
      <c r="AZ8" s="279"/>
      <c r="BA8" s="279"/>
      <c r="BB8" s="279"/>
      <c r="BC8" s="279"/>
      <c r="BD8" s="279"/>
      <c r="BE8" s="279"/>
      <c r="BF8" s="279"/>
      <c r="BG8" s="313"/>
      <c r="BH8" s="207"/>
      <c r="BI8" s="2"/>
    </row>
    <row r="9" spans="1:61" ht="11.25" customHeight="1">
      <c r="A9" s="2"/>
      <c r="B9" s="396"/>
      <c r="C9" s="209"/>
      <c r="D9" s="388" t="str">
        <f>IF(Roster!$R$25=0,"",Roster!$R$25)</f>
        <v>FUSTI DI BLOODWEISER</v>
      </c>
      <c r="E9" s="253"/>
      <c r="F9" s="254"/>
      <c r="G9" s="210"/>
      <c r="H9" s="388" t="str">
        <f>IF(Roster!$R$29=0,"",Roster!$R$29)</f>
        <v>MAZZETTE</v>
      </c>
      <c r="I9" s="253"/>
      <c r="J9" s="254"/>
      <c r="K9" s="210"/>
      <c r="L9" s="388" t="str">
        <f>IF(Roster!$R$30=0,"",Roster!$R$30)</f>
        <v>CAPOCUOCO</v>
      </c>
      <c r="M9" s="253"/>
      <c r="N9" s="254"/>
      <c r="O9" s="207"/>
      <c r="P9" s="2"/>
      <c r="Q9" s="211" t="str">
        <f>IF(Roster!$L$1=0,"",Roster!$L$1)</f>
        <v>AG</v>
      </c>
      <c r="R9" s="212"/>
      <c r="S9" s="312"/>
      <c r="T9" s="279"/>
      <c r="U9" s="279"/>
      <c r="V9" s="279"/>
      <c r="W9" s="279"/>
      <c r="X9" s="279"/>
      <c r="Y9" s="279"/>
      <c r="Z9" s="279"/>
      <c r="AA9" s="279"/>
      <c r="AB9" s="279"/>
      <c r="AC9" s="313"/>
      <c r="AD9" s="207"/>
      <c r="AE9" s="2"/>
      <c r="AF9" s="211" t="str">
        <f>IF(Roster!$L$1=0,"",Roster!$L$1)</f>
        <v>AG</v>
      </c>
      <c r="AG9" s="212"/>
      <c r="AH9" s="312"/>
      <c r="AI9" s="279"/>
      <c r="AJ9" s="279"/>
      <c r="AK9" s="279"/>
      <c r="AL9" s="279"/>
      <c r="AM9" s="279"/>
      <c r="AN9" s="279"/>
      <c r="AO9" s="279"/>
      <c r="AP9" s="279"/>
      <c r="AQ9" s="279"/>
      <c r="AR9" s="313"/>
      <c r="AS9" s="207"/>
      <c r="AT9" s="2"/>
      <c r="AU9" s="211" t="str">
        <f>IF(Roster!$L$1=0,"",Roster!$L$1)</f>
        <v>AG</v>
      </c>
      <c r="AV9" s="212"/>
      <c r="AW9" s="312"/>
      <c r="AX9" s="279"/>
      <c r="AY9" s="279"/>
      <c r="AZ9" s="279"/>
      <c r="BA9" s="279"/>
      <c r="BB9" s="279"/>
      <c r="BC9" s="279"/>
      <c r="BD9" s="279"/>
      <c r="BE9" s="279"/>
      <c r="BF9" s="279"/>
      <c r="BG9" s="313"/>
      <c r="BH9" s="207"/>
      <c r="BI9" s="2"/>
    </row>
    <row r="10" spans="1:61" ht="37.5" customHeight="1">
      <c r="A10" s="2"/>
      <c r="B10" s="396"/>
      <c r="C10" s="215"/>
      <c r="D10" s="406">
        <f>Roster!$W$25</f>
        <v>0</v>
      </c>
      <c r="E10" s="245"/>
      <c r="F10" s="246"/>
      <c r="G10" s="210"/>
      <c r="H10" s="406">
        <f>Roster!$W$29</f>
        <v>0</v>
      </c>
      <c r="I10" s="245"/>
      <c r="J10" s="246"/>
      <c r="K10" s="210"/>
      <c r="L10" s="406">
        <f>Roster!$W$30</f>
        <v>0</v>
      </c>
      <c r="M10" s="245"/>
      <c r="N10" s="246"/>
      <c r="O10" s="207"/>
      <c r="P10" s="2"/>
      <c r="Q10" s="214" t="str">
        <f>IF(Roster!$L$2=0&amp;"+","",Roster!$L$2)</f>
        <v>3+</v>
      </c>
      <c r="R10" s="212"/>
      <c r="S10" s="312"/>
      <c r="T10" s="279"/>
      <c r="U10" s="279"/>
      <c r="V10" s="279"/>
      <c r="W10" s="279"/>
      <c r="X10" s="279"/>
      <c r="Y10" s="279"/>
      <c r="Z10" s="279"/>
      <c r="AA10" s="279"/>
      <c r="AB10" s="279"/>
      <c r="AC10" s="313"/>
      <c r="AD10" s="207"/>
      <c r="AE10" s="2"/>
      <c r="AF10" s="214" t="str">
        <f>IF(Roster!$L$3=0&amp;"+","",Roster!$L$3)</f>
        <v>3+</v>
      </c>
      <c r="AG10" s="212"/>
      <c r="AH10" s="312"/>
      <c r="AI10" s="279"/>
      <c r="AJ10" s="279"/>
      <c r="AK10" s="279"/>
      <c r="AL10" s="279"/>
      <c r="AM10" s="279"/>
      <c r="AN10" s="279"/>
      <c r="AO10" s="279"/>
      <c r="AP10" s="279"/>
      <c r="AQ10" s="279"/>
      <c r="AR10" s="313"/>
      <c r="AS10" s="207"/>
      <c r="AT10" s="2"/>
      <c r="AU10" s="214" t="str">
        <f>IF(Roster!$L$4=0&amp;"+","",Roster!$L$4)</f>
        <v>3+</v>
      </c>
      <c r="AV10" s="212"/>
      <c r="AW10" s="312"/>
      <c r="AX10" s="279"/>
      <c r="AY10" s="279"/>
      <c r="AZ10" s="279"/>
      <c r="BA10" s="279"/>
      <c r="BB10" s="279"/>
      <c r="BC10" s="279"/>
      <c r="BD10" s="279"/>
      <c r="BE10" s="279"/>
      <c r="BF10" s="279"/>
      <c r="BG10" s="313"/>
      <c r="BH10" s="207"/>
      <c r="BI10" s="2"/>
    </row>
    <row r="11" spans="1:61" ht="11.25" customHeight="1">
      <c r="A11" s="2"/>
      <c r="B11" s="396"/>
      <c r="C11" s="212"/>
      <c r="D11" s="408" t="str">
        <f>IF(Roster!$R$31=0,"",Roster!$R$31)</f>
        <v>ESORDIENTI RIBELLI</v>
      </c>
      <c r="E11" s="253"/>
      <c r="F11" s="254"/>
      <c r="G11" s="212"/>
      <c r="H11" s="408" t="str">
        <f>IF(Roster!$AD$25=0,"",Roster!$AD$25)</f>
        <v>WIZARDS</v>
      </c>
      <c r="I11" s="253"/>
      <c r="J11" s="254"/>
      <c r="K11" s="212"/>
      <c r="L11" s="388" t="str">
        <f>IF(Roster!$AD$24=0,"",Roster!$AD$24)</f>
        <v>MAGO DEL CLIMA</v>
      </c>
      <c r="M11" s="253"/>
      <c r="N11" s="254"/>
      <c r="O11" s="216"/>
      <c r="P11" s="2"/>
      <c r="Q11" s="211" t="str">
        <f>IF(Roster!$M$1=0,"",Roster!$M$1)</f>
        <v>PA</v>
      </c>
      <c r="R11" s="212"/>
      <c r="S11" s="312"/>
      <c r="T11" s="279"/>
      <c r="U11" s="279"/>
      <c r="V11" s="279"/>
      <c r="W11" s="279"/>
      <c r="X11" s="279"/>
      <c r="Y11" s="279"/>
      <c r="Z11" s="279"/>
      <c r="AA11" s="279"/>
      <c r="AB11" s="279"/>
      <c r="AC11" s="313"/>
      <c r="AD11" s="216"/>
      <c r="AE11" s="2"/>
      <c r="AF11" s="211" t="str">
        <f>IF(Roster!$M$1=0,"",Roster!$M$1)</f>
        <v>PA</v>
      </c>
      <c r="AG11" s="212"/>
      <c r="AH11" s="312"/>
      <c r="AI11" s="279"/>
      <c r="AJ11" s="279"/>
      <c r="AK11" s="279"/>
      <c r="AL11" s="279"/>
      <c r="AM11" s="279"/>
      <c r="AN11" s="279"/>
      <c r="AO11" s="279"/>
      <c r="AP11" s="279"/>
      <c r="AQ11" s="279"/>
      <c r="AR11" s="313"/>
      <c r="AS11" s="216"/>
      <c r="AT11" s="2"/>
      <c r="AU11" s="211" t="str">
        <f>IF(Roster!$M$1=0,"",Roster!$M$1)</f>
        <v>PA</v>
      </c>
      <c r="AV11" s="212"/>
      <c r="AW11" s="312"/>
      <c r="AX11" s="279"/>
      <c r="AY11" s="279"/>
      <c r="AZ11" s="279"/>
      <c r="BA11" s="279"/>
      <c r="BB11" s="279"/>
      <c r="BC11" s="279"/>
      <c r="BD11" s="279"/>
      <c r="BE11" s="279"/>
      <c r="BF11" s="279"/>
      <c r="BG11" s="313"/>
      <c r="BH11" s="216"/>
      <c r="BI11" s="2"/>
    </row>
    <row r="12" spans="1:61" ht="6" customHeight="1">
      <c r="A12" s="2"/>
      <c r="B12" s="396"/>
      <c r="C12" s="213"/>
      <c r="D12" s="407">
        <f>Roster!$W$31</f>
        <v>0</v>
      </c>
      <c r="E12" s="286"/>
      <c r="F12" s="287"/>
      <c r="G12" s="217"/>
      <c r="H12" s="407">
        <f>Roster!$AI$25</f>
        <v>0</v>
      </c>
      <c r="I12" s="286"/>
      <c r="J12" s="287"/>
      <c r="K12" s="217"/>
      <c r="L12" s="407">
        <f>Roster!$AI$24</f>
        <v>0</v>
      </c>
      <c r="M12" s="286"/>
      <c r="N12" s="287"/>
      <c r="O12" s="218"/>
      <c r="P12" s="2"/>
      <c r="Q12" s="403" t="str">
        <f>IF(Roster!$M$2=0&amp;"+","",Roster!$M$2)</f>
        <v>3+</v>
      </c>
      <c r="R12" s="212"/>
      <c r="S12" s="288"/>
      <c r="T12" s="289"/>
      <c r="U12" s="289"/>
      <c r="V12" s="289"/>
      <c r="W12" s="289"/>
      <c r="X12" s="289"/>
      <c r="Y12" s="289"/>
      <c r="Z12" s="289"/>
      <c r="AA12" s="289"/>
      <c r="AB12" s="289"/>
      <c r="AC12" s="290"/>
      <c r="AD12" s="218"/>
      <c r="AE12" s="2"/>
      <c r="AF12" s="403" t="str">
        <f>IF(Roster!$M$3=0&amp;"+","",Roster!$M$3)</f>
        <v>4+</v>
      </c>
      <c r="AG12" s="212"/>
      <c r="AH12" s="288"/>
      <c r="AI12" s="289"/>
      <c r="AJ12" s="289"/>
      <c r="AK12" s="289"/>
      <c r="AL12" s="289"/>
      <c r="AM12" s="289"/>
      <c r="AN12" s="289"/>
      <c r="AO12" s="289"/>
      <c r="AP12" s="289"/>
      <c r="AQ12" s="289"/>
      <c r="AR12" s="290"/>
      <c r="AS12" s="218"/>
      <c r="AT12" s="2"/>
      <c r="AU12" s="403" t="str">
        <f>IF(Roster!$M$4=0&amp;"+","",Roster!$M$4)</f>
        <v>4+</v>
      </c>
      <c r="AV12" s="212"/>
      <c r="AW12" s="288"/>
      <c r="AX12" s="289"/>
      <c r="AY12" s="289"/>
      <c r="AZ12" s="289"/>
      <c r="BA12" s="289"/>
      <c r="BB12" s="289"/>
      <c r="BC12" s="289"/>
      <c r="BD12" s="289"/>
      <c r="BE12" s="289"/>
      <c r="BF12" s="289"/>
      <c r="BG12" s="290"/>
      <c r="BH12" s="218"/>
      <c r="BI12" s="2"/>
    </row>
    <row r="13" spans="1:61" ht="4.5" customHeight="1">
      <c r="A13" s="2"/>
      <c r="B13" s="396"/>
      <c r="C13" s="213"/>
      <c r="D13" s="312"/>
      <c r="E13" s="279"/>
      <c r="F13" s="313"/>
      <c r="G13" s="217"/>
      <c r="H13" s="312"/>
      <c r="I13" s="279"/>
      <c r="J13" s="313"/>
      <c r="K13" s="217"/>
      <c r="L13" s="312"/>
      <c r="M13" s="279"/>
      <c r="N13" s="313"/>
      <c r="O13" s="218"/>
      <c r="P13" s="2"/>
      <c r="Q13" s="404"/>
      <c r="R13" s="210"/>
      <c r="S13" s="219"/>
      <c r="T13" s="217"/>
      <c r="U13" s="219"/>
      <c r="V13" s="217"/>
      <c r="W13" s="219"/>
      <c r="X13" s="217"/>
      <c r="Y13" s="219"/>
      <c r="Z13" s="217"/>
      <c r="AA13" s="219"/>
      <c r="AB13" s="217"/>
      <c r="AC13" s="219"/>
      <c r="AD13" s="218"/>
      <c r="AE13" s="2"/>
      <c r="AF13" s="404"/>
      <c r="AG13" s="210"/>
      <c r="AH13" s="219"/>
      <c r="AI13" s="217"/>
      <c r="AJ13" s="219"/>
      <c r="AK13" s="217"/>
      <c r="AL13" s="219"/>
      <c r="AM13" s="217"/>
      <c r="AN13" s="219"/>
      <c r="AO13" s="217"/>
      <c r="AP13" s="219"/>
      <c r="AQ13" s="217"/>
      <c r="AR13" s="219"/>
      <c r="AS13" s="218"/>
      <c r="AT13" s="2"/>
      <c r="AU13" s="404"/>
      <c r="AV13" s="210"/>
      <c r="AW13" s="219"/>
      <c r="AX13" s="217"/>
      <c r="AY13" s="219"/>
      <c r="AZ13" s="217"/>
      <c r="BA13" s="219"/>
      <c r="BB13" s="217"/>
      <c r="BC13" s="219"/>
      <c r="BD13" s="217"/>
      <c r="BE13" s="219"/>
      <c r="BF13" s="217"/>
      <c r="BG13" s="219"/>
      <c r="BH13" s="218"/>
      <c r="BI13" s="2"/>
    </row>
    <row r="14" spans="1:61" ht="11.25" customHeight="1">
      <c r="A14" s="2"/>
      <c r="B14" s="396"/>
      <c r="C14" s="213"/>
      <c r="D14" s="312"/>
      <c r="E14" s="279"/>
      <c r="F14" s="313"/>
      <c r="G14" s="217"/>
      <c r="H14" s="312"/>
      <c r="I14" s="279"/>
      <c r="J14" s="313"/>
      <c r="K14" s="217"/>
      <c r="L14" s="312"/>
      <c r="M14" s="279"/>
      <c r="N14" s="313"/>
      <c r="O14" s="218"/>
      <c r="P14" s="2"/>
      <c r="Q14" s="404"/>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404"/>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404"/>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96"/>
      <c r="C15" s="213"/>
      <c r="D15" s="312"/>
      <c r="E15" s="279"/>
      <c r="F15" s="313"/>
      <c r="G15" s="213"/>
      <c r="H15" s="312"/>
      <c r="I15" s="279"/>
      <c r="J15" s="313"/>
      <c r="K15" s="213"/>
      <c r="L15" s="312"/>
      <c r="M15" s="279"/>
      <c r="N15" s="313"/>
      <c r="O15" s="218"/>
      <c r="P15" s="2"/>
      <c r="Q15" s="404"/>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404"/>
      <c r="AG15" s="213"/>
      <c r="AH15" s="222">
        <f>IF(Roster!$AC$3=0,"",Roster!$AC$3)</f>
        <v>2</v>
      </c>
      <c r="AI15" s="223"/>
      <c r="AJ15" s="222">
        <f>IF((SUM(AL15,AN15,AP15))=0,"",(SUM(AL15,AN15,AP15)))</f>
        <v>3</v>
      </c>
      <c r="AK15" s="223"/>
      <c r="AL15" s="222">
        <f>IF(Roster!$AF$3=0,"",Roster!$AF$3)</f>
        <v>1</v>
      </c>
      <c r="AM15" s="223"/>
      <c r="AN15" s="222">
        <f>IF(Roster!$AG$3=0,"",Roster!$AG$3)</f>
        <v>2</v>
      </c>
      <c r="AO15" s="223"/>
      <c r="AP15" s="222" t="str">
        <f>IF(Roster!$AH$3=0,"",Roster!$AH$3)</f>
        <v/>
      </c>
      <c r="AQ15" s="223"/>
      <c r="AR15" s="222" t="str">
        <f>IF(Roster!$AB$3=0,"",Roster!$AB$3)</f>
        <v/>
      </c>
      <c r="AS15" s="218"/>
      <c r="AT15" s="2"/>
      <c r="AU15" s="404"/>
      <c r="AV15" s="213"/>
      <c r="AW15" s="222">
        <f>IF(Roster!$AC$4=0,"",Roster!$AC$4)</f>
        <v>2</v>
      </c>
      <c r="AX15" s="223"/>
      <c r="AY15" s="222">
        <f>IF((SUM(BA15,BC15,BE15))=0,"",(SUM(BA15,BC15,BE15)))</f>
        <v>2</v>
      </c>
      <c r="AZ15" s="223"/>
      <c r="BA15" s="222" t="str">
        <f>IF(Roster!$AF$4=0,"",Roster!$AF$4)</f>
        <v/>
      </c>
      <c r="BB15" s="223"/>
      <c r="BC15" s="222">
        <f>IF(Roster!$AG$4=0,"",Roster!$AG$4)</f>
        <v>2</v>
      </c>
      <c r="BD15" s="223"/>
      <c r="BE15" s="222" t="str">
        <f>IF(Roster!$AH$4=0,"",Roster!$AH$4)</f>
        <v/>
      </c>
      <c r="BF15" s="223"/>
      <c r="BG15" s="222" t="str">
        <f>IF(Roster!$AB$4=0,"",Roster!$AB$4)</f>
        <v/>
      </c>
      <c r="BH15" s="218"/>
      <c r="BI15" s="2"/>
    </row>
    <row r="16" spans="1:61" ht="4.5" customHeight="1">
      <c r="A16" s="2"/>
      <c r="B16" s="396"/>
      <c r="C16" s="213"/>
      <c r="D16" s="288"/>
      <c r="E16" s="289"/>
      <c r="F16" s="290"/>
      <c r="G16" s="213"/>
      <c r="H16" s="288"/>
      <c r="I16" s="289"/>
      <c r="J16" s="290"/>
      <c r="K16" s="213"/>
      <c r="L16" s="288"/>
      <c r="M16" s="289"/>
      <c r="N16" s="290"/>
      <c r="O16" s="218"/>
      <c r="P16" s="2"/>
      <c r="Q16" s="309"/>
      <c r="R16" s="213"/>
      <c r="S16" s="45"/>
      <c r="T16" s="223"/>
      <c r="U16" s="45"/>
      <c r="V16" s="223"/>
      <c r="W16" s="45"/>
      <c r="X16" s="223"/>
      <c r="Y16" s="45"/>
      <c r="Z16" s="223"/>
      <c r="AA16" s="45"/>
      <c r="AB16" s="223"/>
      <c r="AC16" s="45"/>
      <c r="AD16" s="218"/>
      <c r="AE16" s="2"/>
      <c r="AF16" s="309"/>
      <c r="AG16" s="213"/>
      <c r="AH16" s="45"/>
      <c r="AI16" s="223"/>
      <c r="AJ16" s="45"/>
      <c r="AK16" s="223"/>
      <c r="AL16" s="45"/>
      <c r="AM16" s="223"/>
      <c r="AN16" s="45"/>
      <c r="AO16" s="223"/>
      <c r="AP16" s="45"/>
      <c r="AQ16" s="223"/>
      <c r="AR16" s="45"/>
      <c r="AS16" s="218"/>
      <c r="AT16" s="2"/>
      <c r="AU16" s="309"/>
      <c r="AV16" s="213"/>
      <c r="AW16" s="45"/>
      <c r="AX16" s="223"/>
      <c r="AY16" s="45"/>
      <c r="AZ16" s="223"/>
      <c r="BA16" s="45"/>
      <c r="BB16" s="223"/>
      <c r="BC16" s="45"/>
      <c r="BD16" s="223"/>
      <c r="BE16" s="45"/>
      <c r="BF16" s="223"/>
      <c r="BG16" s="45"/>
      <c r="BH16" s="218"/>
      <c r="BI16" s="2"/>
    </row>
    <row r="17" spans="1:61" ht="11.25" customHeight="1">
      <c r="A17" s="2"/>
      <c r="B17" s="396"/>
      <c r="C17" s="212"/>
      <c r="D17" s="388" t="str">
        <f>IF(Roster!$R$26=0,"",Roster!$R$26)</f>
        <v>CARTE SPECIALI</v>
      </c>
      <c r="E17" s="253"/>
      <c r="F17" s="254"/>
      <c r="G17" s="212"/>
      <c r="H17" s="408" t="str">
        <f>IF(Roster!$AD$26=0,"",Roster!$AD$26)</f>
        <v>(IN)FAMOUS COACHES</v>
      </c>
      <c r="I17" s="253"/>
      <c r="J17" s="254"/>
      <c r="K17" s="212"/>
      <c r="L17" s="408" t="str">
        <f>IF(Roster!$AD$27=0,"",Roster!$AD$27)</f>
        <v>(IN)FAMOUS COACHES</v>
      </c>
      <c r="M17" s="253"/>
      <c r="N17" s="254"/>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96"/>
      <c r="C18" s="213"/>
      <c r="D18" s="407">
        <f>Roster!$W$26</f>
        <v>0</v>
      </c>
      <c r="E18" s="286"/>
      <c r="F18" s="287"/>
      <c r="G18" s="213"/>
      <c r="H18" s="407">
        <f>Roster!$AI$26</f>
        <v>0</v>
      </c>
      <c r="I18" s="286"/>
      <c r="J18" s="287"/>
      <c r="K18" s="213"/>
      <c r="L18" s="407">
        <f>Roster!$AI$27</f>
        <v>0</v>
      </c>
      <c r="M18" s="286"/>
      <c r="N18" s="287"/>
      <c r="O18" s="226"/>
      <c r="P18" s="2"/>
      <c r="Q18" s="403" t="str">
        <f>IF(Roster!$N$2=0&amp;"+","",Roster!$N$2)</f>
        <v>9+</v>
      </c>
      <c r="R18" s="213"/>
      <c r="S18" s="222" t="str">
        <f>IF(Roster!$AD$2=0,"",Roster!$AD$2)</f>
        <v/>
      </c>
      <c r="T18" s="223"/>
      <c r="U18" s="222" t="str">
        <f>IF(Roster!$AE$2=0,"",Roster!$AE$2)</f>
        <v/>
      </c>
      <c r="V18" s="223"/>
      <c r="W18" s="222" t="str">
        <f>IF(Roster!$AA$2=0,"",Roster!$AA$2)</f>
        <v/>
      </c>
      <c r="X18" s="223"/>
      <c r="Y18" s="222" t="str">
        <f>IF(Roster!$AI$2=0,"",Roster!$AI$2)</f>
        <v/>
      </c>
      <c r="Z18" s="223"/>
      <c r="AA18" s="222" t="str">
        <f>IF(Roster!$AJ$2=0,"",Roster!$AJ$2)</f>
        <v/>
      </c>
      <c r="AB18" s="223"/>
      <c r="AC18" s="222" t="str">
        <f>IF(Roster!$Z$2=0,"",Roster!$Z$2)</f>
        <v/>
      </c>
      <c r="AD18" s="226"/>
      <c r="AE18" s="2"/>
      <c r="AF18" s="403" t="str">
        <f>IF(Roster!$N$3=0&amp;"+","",Roster!$N$3)</f>
        <v>10+</v>
      </c>
      <c r="AG18" s="213"/>
      <c r="AH18" s="222" t="str">
        <f>IF(Roster!$AD$3=0,"",Roster!$AD$3)</f>
        <v/>
      </c>
      <c r="AI18" s="223"/>
      <c r="AJ18" s="222" t="str">
        <f>IF(Roster!$AE$3=0,"",Roster!$AE$3)</f>
        <v/>
      </c>
      <c r="AK18" s="223"/>
      <c r="AL18" s="222" t="str">
        <f>IF(Roster!$AA$3=0,"",Roster!$AA$3)</f>
        <v/>
      </c>
      <c r="AM18" s="223"/>
      <c r="AN18" s="222">
        <f>IF(Roster!$AI$3=0,"",Roster!$AI$3)</f>
        <v>1</v>
      </c>
      <c r="AO18" s="223"/>
      <c r="AP18" s="222">
        <f>IF(Roster!$AJ$3=0,"",Roster!$AJ$3)</f>
        <v>16</v>
      </c>
      <c r="AQ18" s="223"/>
      <c r="AR18" s="222" t="str">
        <f>IF(Roster!$Z$3=0,"",Roster!$Z$3)</f>
        <v/>
      </c>
      <c r="AS18" s="226"/>
      <c r="AT18" s="2"/>
      <c r="AU18" s="403" t="str">
        <f>IF(Roster!$N$4=0&amp;"+","",Roster!$N$4)</f>
        <v>10+</v>
      </c>
      <c r="AV18" s="213"/>
      <c r="AW18" s="222" t="str">
        <f>IF(Roster!$AD$4=0,"",Roster!$AD$4)</f>
        <v/>
      </c>
      <c r="AX18" s="223"/>
      <c r="AY18" s="222" t="str">
        <f>IF(Roster!$AE$4=0,"",Roster!$AE$4)</f>
        <v/>
      </c>
      <c r="AZ18" s="223"/>
      <c r="BA18" s="222" t="str">
        <f>IF(Roster!$AA$4=0,"",Roster!$AA$4)</f>
        <v/>
      </c>
      <c r="BB18" s="223"/>
      <c r="BC18" s="222" t="str">
        <f>IF(Roster!$AI$4=0,"",Roster!$AI$4)</f>
        <v/>
      </c>
      <c r="BD18" s="223"/>
      <c r="BE18" s="222">
        <f>IF(Roster!$AJ$4=0,"",Roster!$AJ$4)</f>
        <v>10</v>
      </c>
      <c r="BF18" s="223"/>
      <c r="BG18" s="222" t="str">
        <f>IF(Roster!$Z$4=0,"",Roster!$Z$4)</f>
        <v/>
      </c>
      <c r="BH18" s="226"/>
      <c r="BI18" s="2"/>
    </row>
    <row r="19" spans="1:61" ht="4.5" customHeight="1">
      <c r="A19" s="2"/>
      <c r="B19" s="396"/>
      <c r="C19" s="213"/>
      <c r="D19" s="312"/>
      <c r="E19" s="279"/>
      <c r="F19" s="313"/>
      <c r="G19" s="213"/>
      <c r="H19" s="312"/>
      <c r="I19" s="279"/>
      <c r="J19" s="313"/>
      <c r="K19" s="213"/>
      <c r="L19" s="312"/>
      <c r="M19" s="279"/>
      <c r="N19" s="313"/>
      <c r="O19" s="226"/>
      <c r="P19" s="2"/>
      <c r="Q19" s="404"/>
      <c r="R19" s="213"/>
      <c r="S19" s="223"/>
      <c r="T19" s="223"/>
      <c r="U19" s="223"/>
      <c r="V19" s="223"/>
      <c r="W19" s="223"/>
      <c r="X19" s="223"/>
      <c r="Y19" s="223"/>
      <c r="Z19" s="223"/>
      <c r="AA19" s="223"/>
      <c r="AB19" s="223"/>
      <c r="AC19" s="227"/>
      <c r="AD19" s="226"/>
      <c r="AE19" s="2"/>
      <c r="AF19" s="404"/>
      <c r="AG19" s="213"/>
      <c r="AH19" s="223"/>
      <c r="AI19" s="223"/>
      <c r="AJ19" s="223"/>
      <c r="AK19" s="223"/>
      <c r="AL19" s="223"/>
      <c r="AM19" s="223"/>
      <c r="AN19" s="223"/>
      <c r="AO19" s="223"/>
      <c r="AP19" s="223"/>
      <c r="AQ19" s="223"/>
      <c r="AR19" s="227"/>
      <c r="AS19" s="226"/>
      <c r="AT19" s="2"/>
      <c r="AU19" s="404"/>
      <c r="AV19" s="213"/>
      <c r="AW19" s="223"/>
      <c r="AX19" s="223"/>
      <c r="AY19" s="223"/>
      <c r="AZ19" s="223"/>
      <c r="BA19" s="223"/>
      <c r="BB19" s="223"/>
      <c r="BC19" s="223"/>
      <c r="BD19" s="223"/>
      <c r="BE19" s="223"/>
      <c r="BF19" s="223"/>
      <c r="BG19" s="227"/>
      <c r="BH19" s="226"/>
      <c r="BI19" s="2"/>
    </row>
    <row r="20" spans="1:61" ht="11.25" customHeight="1">
      <c r="A20" s="2"/>
      <c r="B20" s="396"/>
      <c r="C20" s="213"/>
      <c r="D20" s="312"/>
      <c r="E20" s="279"/>
      <c r="F20" s="313"/>
      <c r="G20" s="228"/>
      <c r="H20" s="312"/>
      <c r="I20" s="279"/>
      <c r="J20" s="313"/>
      <c r="K20" s="228"/>
      <c r="L20" s="312"/>
      <c r="M20" s="279"/>
      <c r="N20" s="313"/>
      <c r="O20" s="226"/>
      <c r="P20" s="2"/>
      <c r="Q20" s="404"/>
      <c r="R20" s="213"/>
      <c r="S20" s="380" t="str">
        <f>IF(Roster!$J$25="Italiano","ABILITÀ &amp; TRATTI",(IF(Roster!$J$25="Español","HABILIDADES Y RASGOS","SKILLS &amp; TRAITS")))</f>
        <v>ABILITÀ &amp; TRATTI</v>
      </c>
      <c r="T20" s="315"/>
      <c r="U20" s="315"/>
      <c r="V20" s="315"/>
      <c r="W20" s="315"/>
      <c r="X20" s="315"/>
      <c r="Y20" s="315"/>
      <c r="Z20" s="315"/>
      <c r="AA20" s="315"/>
      <c r="AB20" s="315"/>
      <c r="AC20" s="381"/>
      <c r="AD20" s="226"/>
      <c r="AE20" s="2"/>
      <c r="AF20" s="404"/>
      <c r="AG20" s="213"/>
      <c r="AH20" s="380" t="str">
        <f>IF(Roster!$J$25="Italiano","ABILITÀ &amp; TRATTI",(IF(Roster!$J$25="Español","HABILIDADES Y RASGOS","SKILLS &amp; TRAITS")))</f>
        <v>ABILITÀ &amp; TRATTI</v>
      </c>
      <c r="AI20" s="315"/>
      <c r="AJ20" s="315"/>
      <c r="AK20" s="315"/>
      <c r="AL20" s="315"/>
      <c r="AM20" s="315"/>
      <c r="AN20" s="315"/>
      <c r="AO20" s="315"/>
      <c r="AP20" s="315"/>
      <c r="AQ20" s="315"/>
      <c r="AR20" s="381"/>
      <c r="AS20" s="226"/>
      <c r="AT20" s="2"/>
      <c r="AU20" s="404"/>
      <c r="AV20" s="213"/>
      <c r="AW20" s="380" t="str">
        <f>IF(Roster!$J$25="Italiano","ABILITÀ &amp; TRATTI",(IF(Roster!$J$25="Español","HABILIDADES Y RASGOS","SKILLS &amp; TRAITS")))</f>
        <v>ABILITÀ &amp; TRATTI</v>
      </c>
      <c r="AX20" s="315"/>
      <c r="AY20" s="315"/>
      <c r="AZ20" s="315"/>
      <c r="BA20" s="315"/>
      <c r="BB20" s="315"/>
      <c r="BC20" s="315"/>
      <c r="BD20" s="315"/>
      <c r="BE20" s="315"/>
      <c r="BF20" s="315"/>
      <c r="BG20" s="381"/>
      <c r="BH20" s="226"/>
      <c r="BI20" s="2"/>
    </row>
    <row r="21" spans="1:61" ht="6.75" customHeight="1">
      <c r="A21" s="2"/>
      <c r="B21" s="396"/>
      <c r="C21" s="213"/>
      <c r="D21" s="288"/>
      <c r="E21" s="289"/>
      <c r="F21" s="290"/>
      <c r="G21" s="229"/>
      <c r="H21" s="288"/>
      <c r="I21" s="289"/>
      <c r="J21" s="290"/>
      <c r="K21" s="229"/>
      <c r="L21" s="288"/>
      <c r="M21" s="289"/>
      <c r="N21" s="290"/>
      <c r="O21" s="226"/>
      <c r="P21" s="2"/>
      <c r="Q21" s="309"/>
      <c r="R21" s="213"/>
      <c r="S21" s="394" t="str">
        <f>IF(Roster!$O$2=0&amp;BF2,"",Roster!$O$2)</f>
        <v>Animosity (alle Mitspieler), Pass, Sure Hands</v>
      </c>
      <c r="T21" s="358"/>
      <c r="U21" s="358"/>
      <c r="V21" s="358"/>
      <c r="W21" s="358"/>
      <c r="X21" s="358"/>
      <c r="Y21" s="358"/>
      <c r="Z21" s="358"/>
      <c r="AA21" s="358"/>
      <c r="AB21" s="358"/>
      <c r="AC21" s="383"/>
      <c r="AD21" s="226"/>
      <c r="AE21" s="2"/>
      <c r="AF21" s="309"/>
      <c r="AG21" s="213"/>
      <c r="AH21" s="394" t="str">
        <f>IF(Roster!$O$3=0&amp;BU3,"",Roster!$O$3)</f>
        <v>Animosity (alle Mitspieler), Block, Tackle, Dauntless, Brawler</v>
      </c>
      <c r="AI21" s="358"/>
      <c r="AJ21" s="358"/>
      <c r="AK21" s="358"/>
      <c r="AL21" s="358"/>
      <c r="AM21" s="358"/>
      <c r="AN21" s="358"/>
      <c r="AO21" s="358"/>
      <c r="AP21" s="358"/>
      <c r="AQ21" s="358"/>
      <c r="AR21" s="383"/>
      <c r="AS21" s="226"/>
      <c r="AT21" s="2"/>
      <c r="AU21" s="309"/>
      <c r="AV21" s="213"/>
      <c r="AW21" s="394" t="str">
        <f>IF(Roster!$O$4=0&amp;CJ4,"",Roster!$O$4)</f>
        <v>Animosity (alle Mitspieler), Block, Tackle</v>
      </c>
      <c r="AX21" s="358"/>
      <c r="AY21" s="358"/>
      <c r="AZ21" s="358"/>
      <c r="BA21" s="358"/>
      <c r="BB21" s="358"/>
      <c r="BC21" s="358"/>
      <c r="BD21" s="358"/>
      <c r="BE21" s="358"/>
      <c r="BF21" s="358"/>
      <c r="BG21" s="383"/>
      <c r="BH21" s="226"/>
      <c r="BI21" s="2"/>
    </row>
    <row r="22" spans="1:61" ht="11.25" customHeight="1">
      <c r="A22" s="2"/>
      <c r="B22" s="396"/>
      <c r="C22" s="209"/>
      <c r="D22" s="408" t="str">
        <f>IF(Roster!$AD$28=0,"",Roster!$AD$28)</f>
        <v>BIASED REFEREE</v>
      </c>
      <c r="E22" s="253"/>
      <c r="F22" s="254"/>
      <c r="G22" s="229"/>
      <c r="H22" s="408" t="str">
        <f>IF(Roster!$AD$29=0,"",Roster!$AD$29)</f>
        <v>OTHER INDUCEMENTS</v>
      </c>
      <c r="I22" s="253"/>
      <c r="J22" s="254"/>
      <c r="K22" s="229"/>
      <c r="L22" s="388" t="str">
        <f>IF(Roster!$AD$31=0,"",Roster!$AD$31)</f>
        <v>MEDICI VAGABONDI</v>
      </c>
      <c r="M22" s="253"/>
      <c r="N22" s="254"/>
      <c r="O22" s="230"/>
      <c r="P22" s="2"/>
      <c r="Q22" s="211" t="str">
        <f>IF(Roster!$AN$1=0,"",Roster!$AN$1)</f>
        <v>COSTO</v>
      </c>
      <c r="R22" s="212"/>
      <c r="S22" s="312"/>
      <c r="T22" s="279"/>
      <c r="U22" s="279"/>
      <c r="V22" s="279"/>
      <c r="W22" s="279"/>
      <c r="X22" s="279"/>
      <c r="Y22" s="279"/>
      <c r="Z22" s="279"/>
      <c r="AA22" s="279"/>
      <c r="AB22" s="279"/>
      <c r="AC22" s="313"/>
      <c r="AD22" s="230"/>
      <c r="AE22" s="2"/>
      <c r="AF22" s="211" t="str">
        <f>IF(Roster!$AN$1=0,"",Roster!$AN$1)</f>
        <v>COSTO</v>
      </c>
      <c r="AG22" s="212"/>
      <c r="AH22" s="312"/>
      <c r="AI22" s="279"/>
      <c r="AJ22" s="279"/>
      <c r="AK22" s="279"/>
      <c r="AL22" s="279"/>
      <c r="AM22" s="279"/>
      <c r="AN22" s="279"/>
      <c r="AO22" s="279"/>
      <c r="AP22" s="279"/>
      <c r="AQ22" s="279"/>
      <c r="AR22" s="313"/>
      <c r="AS22" s="230"/>
      <c r="AT22" s="2"/>
      <c r="AU22" s="211" t="str">
        <f>IF(Roster!$AN$1=0,"",Roster!$AN$1)</f>
        <v>COSTO</v>
      </c>
      <c r="AV22" s="212"/>
      <c r="AW22" s="312"/>
      <c r="AX22" s="279"/>
      <c r="AY22" s="279"/>
      <c r="AZ22" s="279"/>
      <c r="BA22" s="279"/>
      <c r="BB22" s="279"/>
      <c r="BC22" s="279"/>
      <c r="BD22" s="279"/>
      <c r="BE22" s="279"/>
      <c r="BF22" s="279"/>
      <c r="BG22" s="313"/>
      <c r="BH22" s="230"/>
      <c r="BI22" s="2"/>
    </row>
    <row r="23" spans="1:61" ht="34.5" customHeight="1">
      <c r="A23" s="2"/>
      <c r="B23" s="397"/>
      <c r="C23" s="231"/>
      <c r="D23" s="409">
        <f>Roster!$AI$28</f>
        <v>0</v>
      </c>
      <c r="E23" s="245"/>
      <c r="F23" s="246"/>
      <c r="G23" s="229"/>
      <c r="H23" s="409">
        <f>Roster!$AI$29</f>
        <v>0</v>
      </c>
      <c r="I23" s="245"/>
      <c r="J23" s="246"/>
      <c r="K23" s="229"/>
      <c r="L23" s="409">
        <f>Roster!$AI$31</f>
        <v>0</v>
      </c>
      <c r="M23" s="245"/>
      <c r="N23" s="246"/>
      <c r="O23" s="230"/>
      <c r="P23" s="2"/>
      <c r="Q23" s="232">
        <f>IF(Roster!$AN$2=0,"",Roster!$AN$2)</f>
        <v>65000</v>
      </c>
      <c r="R23" s="233"/>
      <c r="S23" s="288"/>
      <c r="T23" s="289"/>
      <c r="U23" s="289"/>
      <c r="V23" s="289"/>
      <c r="W23" s="289"/>
      <c r="X23" s="289"/>
      <c r="Y23" s="289"/>
      <c r="Z23" s="289"/>
      <c r="AA23" s="289"/>
      <c r="AB23" s="289"/>
      <c r="AC23" s="290"/>
      <c r="AD23" s="230"/>
      <c r="AE23" s="2"/>
      <c r="AF23" s="232">
        <f>IF(Roster!$AN$3=0,"",Roster!$AN$3)</f>
        <v>120000</v>
      </c>
      <c r="AG23" s="233"/>
      <c r="AH23" s="288"/>
      <c r="AI23" s="289"/>
      <c r="AJ23" s="289"/>
      <c r="AK23" s="289"/>
      <c r="AL23" s="289"/>
      <c r="AM23" s="289"/>
      <c r="AN23" s="289"/>
      <c r="AO23" s="289"/>
      <c r="AP23" s="289"/>
      <c r="AQ23" s="289"/>
      <c r="AR23" s="290"/>
      <c r="AS23" s="230"/>
      <c r="AT23" s="2"/>
      <c r="AU23" s="232">
        <f>IF(Roster!$AN$4=0,"",Roster!$AN$4)</f>
        <v>100000</v>
      </c>
      <c r="AV23" s="233"/>
      <c r="AW23" s="288"/>
      <c r="AX23" s="289"/>
      <c r="AY23" s="289"/>
      <c r="AZ23" s="289"/>
      <c r="BA23" s="289"/>
      <c r="BB23" s="289"/>
      <c r="BC23" s="289"/>
      <c r="BD23" s="289"/>
      <c r="BE23" s="289"/>
      <c r="BF23" s="289"/>
      <c r="BG23" s="290"/>
      <c r="BH23" s="230"/>
      <c r="BI23" s="2"/>
    </row>
    <row r="24" spans="1:61" ht="4.5" customHeight="1">
      <c r="A24" s="2"/>
      <c r="B24" s="387"/>
      <c r="C24" s="242"/>
      <c r="D24" s="242"/>
      <c r="E24" s="242"/>
      <c r="F24" s="242"/>
      <c r="G24" s="242"/>
      <c r="H24" s="242"/>
      <c r="I24" s="242"/>
      <c r="J24" s="242"/>
      <c r="K24" s="242"/>
      <c r="L24" s="242"/>
      <c r="M24" s="242"/>
      <c r="N24" s="243"/>
      <c r="O24" s="234"/>
      <c r="P24" s="2"/>
      <c r="Q24" s="387"/>
      <c r="R24" s="242"/>
      <c r="S24" s="242"/>
      <c r="T24" s="242"/>
      <c r="U24" s="242"/>
      <c r="V24" s="242"/>
      <c r="W24" s="242"/>
      <c r="X24" s="242"/>
      <c r="Y24" s="242"/>
      <c r="Z24" s="242"/>
      <c r="AA24" s="242"/>
      <c r="AB24" s="242"/>
      <c r="AC24" s="243"/>
      <c r="AD24" s="234"/>
      <c r="AE24" s="2"/>
      <c r="AF24" s="387"/>
      <c r="AG24" s="242"/>
      <c r="AH24" s="242"/>
      <c r="AI24" s="242"/>
      <c r="AJ24" s="242"/>
      <c r="AK24" s="242"/>
      <c r="AL24" s="242"/>
      <c r="AM24" s="242"/>
      <c r="AN24" s="242"/>
      <c r="AO24" s="242"/>
      <c r="AP24" s="242"/>
      <c r="AQ24" s="242"/>
      <c r="AR24" s="243"/>
      <c r="AS24" s="234"/>
      <c r="AT24" s="2"/>
      <c r="AU24" s="387"/>
      <c r="AV24" s="242"/>
      <c r="AW24" s="242"/>
      <c r="AX24" s="242"/>
      <c r="AY24" s="242"/>
      <c r="AZ24" s="242"/>
      <c r="BA24" s="242"/>
      <c r="BB24" s="242"/>
      <c r="BC24" s="242"/>
      <c r="BD24" s="242"/>
      <c r="BE24" s="242"/>
      <c r="BF24" s="242"/>
      <c r="BG24" s="243"/>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5" t="str">
        <f>IF(Roster!$A$5=0,"","#"&amp;Roster!$A$5)</f>
        <v>#4</v>
      </c>
      <c r="C26" s="205"/>
      <c r="D26" s="205"/>
      <c r="E26" s="205"/>
      <c r="F26" s="205"/>
      <c r="G26" s="205"/>
      <c r="H26" s="205"/>
      <c r="I26" s="205"/>
      <c r="J26" s="205"/>
      <c r="K26" s="205"/>
      <c r="L26" s="205"/>
      <c r="M26" s="205"/>
      <c r="N26" s="205"/>
      <c r="O26" s="206"/>
      <c r="P26" s="2"/>
      <c r="Q26" s="395" t="str">
        <f>IF(Roster!$A$6=0,"","#"&amp;Roster!$A$6)</f>
        <v>#5</v>
      </c>
      <c r="R26" s="205"/>
      <c r="S26" s="205"/>
      <c r="T26" s="205"/>
      <c r="U26" s="205"/>
      <c r="V26" s="205"/>
      <c r="W26" s="205"/>
      <c r="X26" s="205"/>
      <c r="Y26" s="205"/>
      <c r="Z26" s="205"/>
      <c r="AA26" s="205"/>
      <c r="AB26" s="205"/>
      <c r="AC26" s="205"/>
      <c r="AD26" s="206"/>
      <c r="AE26" s="2"/>
      <c r="AF26" s="395" t="str">
        <f>IF(Roster!$A$7=0,"","#"&amp;Roster!$A$7)</f>
        <v>#6</v>
      </c>
      <c r="AG26" s="205"/>
      <c r="AH26" s="205"/>
      <c r="AI26" s="205"/>
      <c r="AJ26" s="205"/>
      <c r="AK26" s="205"/>
      <c r="AL26" s="205"/>
      <c r="AM26" s="205"/>
      <c r="AN26" s="205"/>
      <c r="AO26" s="205"/>
      <c r="AP26" s="205"/>
      <c r="AQ26" s="205"/>
      <c r="AR26" s="205"/>
      <c r="AS26" s="206"/>
      <c r="AT26" s="2"/>
      <c r="AU26" s="395" t="str">
        <f>IF(Roster!$A$8=0,"","#"&amp;Roster!$A$8)</f>
        <v>#7</v>
      </c>
      <c r="AV26" s="205"/>
      <c r="AW26" s="205"/>
      <c r="AX26" s="205"/>
      <c r="AY26" s="205"/>
      <c r="AZ26" s="205"/>
      <c r="BA26" s="205"/>
      <c r="BB26" s="205"/>
      <c r="BC26" s="205"/>
      <c r="BD26" s="205"/>
      <c r="BE26" s="205"/>
      <c r="BF26" s="205"/>
      <c r="BG26" s="205"/>
      <c r="BH26" s="206"/>
      <c r="BI26" s="2"/>
    </row>
    <row r="27" spans="1:61" ht="15" customHeight="1">
      <c r="A27" s="2"/>
      <c r="B27" s="396"/>
      <c r="C27" s="398" t="str">
        <f>IF(Roster!$B$5=0,"",Roster!$B$5)</f>
        <v>Click</v>
      </c>
      <c r="D27" s="253"/>
      <c r="E27" s="253"/>
      <c r="F27" s="253"/>
      <c r="G27" s="253"/>
      <c r="H27" s="253"/>
      <c r="I27" s="253"/>
      <c r="J27" s="253"/>
      <c r="K27" s="253"/>
      <c r="L27" s="253"/>
      <c r="M27" s="253"/>
      <c r="N27" s="254"/>
      <c r="O27" s="207"/>
      <c r="P27" s="2"/>
      <c r="Q27" s="396"/>
      <c r="R27" s="398" t="str">
        <f>IF(Roster!$B$6=0,"",Roster!$B$6)</f>
        <v>Blitz</v>
      </c>
      <c r="S27" s="253"/>
      <c r="T27" s="253"/>
      <c r="U27" s="253"/>
      <c r="V27" s="253"/>
      <c r="W27" s="253"/>
      <c r="X27" s="253"/>
      <c r="Y27" s="253"/>
      <c r="Z27" s="253"/>
      <c r="AA27" s="253"/>
      <c r="AB27" s="253"/>
      <c r="AC27" s="254"/>
      <c r="AD27" s="207"/>
      <c r="AE27" s="2"/>
      <c r="AF27" s="396"/>
      <c r="AG27" s="398" t="str">
        <f>IF(Roster!$B$7=0,"",Roster!$B$7)</f>
        <v>Strokk</v>
      </c>
      <c r="AH27" s="253"/>
      <c r="AI27" s="253"/>
      <c r="AJ27" s="253"/>
      <c r="AK27" s="253"/>
      <c r="AL27" s="253"/>
      <c r="AM27" s="253"/>
      <c r="AN27" s="253"/>
      <c r="AO27" s="253"/>
      <c r="AP27" s="253"/>
      <c r="AQ27" s="253"/>
      <c r="AR27" s="254"/>
      <c r="AS27" s="207"/>
      <c r="AT27" s="2"/>
      <c r="AU27" s="396"/>
      <c r="AV27" s="398" t="str">
        <f>IF(Roster!$B$8=0,"",Roster!$B$8)</f>
        <v>Teddy</v>
      </c>
      <c r="AW27" s="253"/>
      <c r="AX27" s="253"/>
      <c r="AY27" s="253"/>
      <c r="AZ27" s="253"/>
      <c r="BA27" s="253"/>
      <c r="BB27" s="253"/>
      <c r="BC27" s="253"/>
      <c r="BD27" s="253"/>
      <c r="BE27" s="253"/>
      <c r="BF27" s="253"/>
      <c r="BG27" s="254"/>
      <c r="BH27" s="207"/>
      <c r="BI27" s="2"/>
    </row>
    <row r="28" spans="1:61" ht="11.25" customHeight="1">
      <c r="A28" s="2"/>
      <c r="B28" s="397"/>
      <c r="C28" s="388" t="str">
        <f>IF(Roster!$C$5=0,"",Roster!$C$5)</f>
        <v>Blitzer</v>
      </c>
      <c r="D28" s="253"/>
      <c r="E28" s="253"/>
      <c r="F28" s="253"/>
      <c r="G28" s="253"/>
      <c r="H28" s="253"/>
      <c r="I28" s="253"/>
      <c r="J28" s="253"/>
      <c r="K28" s="253"/>
      <c r="L28" s="253"/>
      <c r="M28" s="253"/>
      <c r="N28" s="254"/>
      <c r="O28" s="208"/>
      <c r="P28" s="2"/>
      <c r="Q28" s="397"/>
      <c r="R28" s="388" t="str">
        <f>IF(Roster!$C$6=0,"",Roster!$C$6)</f>
        <v>Blitzer</v>
      </c>
      <c r="S28" s="253"/>
      <c r="T28" s="253"/>
      <c r="U28" s="253"/>
      <c r="V28" s="253"/>
      <c r="W28" s="253"/>
      <c r="X28" s="253"/>
      <c r="Y28" s="253"/>
      <c r="Z28" s="253"/>
      <c r="AA28" s="253"/>
      <c r="AB28" s="253"/>
      <c r="AC28" s="254"/>
      <c r="AD28" s="208"/>
      <c r="AE28" s="2"/>
      <c r="AF28" s="397"/>
      <c r="AG28" s="388" t="str">
        <f>IF(Roster!$C$7=0,"",Roster!$C$7)</f>
        <v>Big Un</v>
      </c>
      <c r="AH28" s="253"/>
      <c r="AI28" s="253"/>
      <c r="AJ28" s="253"/>
      <c r="AK28" s="253"/>
      <c r="AL28" s="253"/>
      <c r="AM28" s="253"/>
      <c r="AN28" s="253"/>
      <c r="AO28" s="253"/>
      <c r="AP28" s="253"/>
      <c r="AQ28" s="253"/>
      <c r="AR28" s="254"/>
      <c r="AS28" s="208"/>
      <c r="AT28" s="2"/>
      <c r="AU28" s="397"/>
      <c r="AV28" s="388" t="str">
        <f>IF(Roster!$C$8=0,"",Roster!$C$8)</f>
        <v>Big Un</v>
      </c>
      <c r="AW28" s="253"/>
      <c r="AX28" s="253"/>
      <c r="AY28" s="253"/>
      <c r="AZ28" s="253"/>
      <c r="BA28" s="253"/>
      <c r="BB28" s="253"/>
      <c r="BC28" s="253"/>
      <c r="BD28" s="253"/>
      <c r="BE28" s="253"/>
      <c r="BF28" s="253"/>
      <c r="BG28" s="254"/>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f>IF(Roster!$J$5=0,"",Roster!$J$5)</f>
        <v>6</v>
      </c>
      <c r="C30" s="212"/>
      <c r="D30" s="399"/>
      <c r="E30" s="286"/>
      <c r="F30" s="286"/>
      <c r="G30" s="286"/>
      <c r="H30" s="286"/>
      <c r="I30" s="286"/>
      <c r="J30" s="286"/>
      <c r="K30" s="286"/>
      <c r="L30" s="286"/>
      <c r="M30" s="286"/>
      <c r="N30" s="287"/>
      <c r="O30" s="207"/>
      <c r="P30" s="2"/>
      <c r="Q30" s="214">
        <f>IF(Roster!$J$6=0,"",Roster!$J$6)</f>
        <v>6</v>
      </c>
      <c r="R30" s="212"/>
      <c r="S30" s="399"/>
      <c r="T30" s="286"/>
      <c r="U30" s="286"/>
      <c r="V30" s="286"/>
      <c r="W30" s="286"/>
      <c r="X30" s="286"/>
      <c r="Y30" s="286"/>
      <c r="Z30" s="286"/>
      <c r="AA30" s="286"/>
      <c r="AB30" s="286"/>
      <c r="AC30" s="287"/>
      <c r="AD30" s="207"/>
      <c r="AE30" s="2"/>
      <c r="AF30" s="214">
        <f>IF(Roster!$J$7=0,"",Roster!$J$7)</f>
        <v>5</v>
      </c>
      <c r="AG30" s="212"/>
      <c r="AH30" s="399"/>
      <c r="AI30" s="286"/>
      <c r="AJ30" s="286"/>
      <c r="AK30" s="286"/>
      <c r="AL30" s="286"/>
      <c r="AM30" s="286"/>
      <c r="AN30" s="286"/>
      <c r="AO30" s="286"/>
      <c r="AP30" s="286"/>
      <c r="AQ30" s="286"/>
      <c r="AR30" s="287"/>
      <c r="AS30" s="207"/>
      <c r="AT30" s="2"/>
      <c r="AU30" s="214">
        <f>IF(Roster!$J$8=0,"",Roster!$J$8)</f>
        <v>5</v>
      </c>
      <c r="AV30" s="212"/>
      <c r="AW30" s="399"/>
      <c r="AX30" s="286"/>
      <c r="AY30" s="286"/>
      <c r="AZ30" s="286"/>
      <c r="BA30" s="286"/>
      <c r="BB30" s="286"/>
      <c r="BC30" s="286"/>
      <c r="BD30" s="286"/>
      <c r="BE30" s="286"/>
      <c r="BF30" s="286"/>
      <c r="BG30" s="287"/>
      <c r="BH30" s="207"/>
      <c r="BI30" s="2"/>
    </row>
    <row r="31" spans="1:61" ht="11.25" customHeight="1">
      <c r="A31" s="2"/>
      <c r="B31" s="211" t="str">
        <f>IF(Roster!$K$1=0,"",Roster!$K$1)</f>
        <v>ST</v>
      </c>
      <c r="C31" s="212"/>
      <c r="D31" s="312"/>
      <c r="E31" s="279"/>
      <c r="F31" s="279"/>
      <c r="G31" s="279"/>
      <c r="H31" s="279"/>
      <c r="I31" s="279"/>
      <c r="J31" s="279"/>
      <c r="K31" s="279"/>
      <c r="L31" s="279"/>
      <c r="M31" s="279"/>
      <c r="N31" s="313"/>
      <c r="O31" s="207"/>
      <c r="P31" s="2"/>
      <c r="Q31" s="211" t="str">
        <f>IF(Roster!$K$1=0,"",Roster!$K$1)</f>
        <v>ST</v>
      </c>
      <c r="R31" s="212"/>
      <c r="S31" s="312"/>
      <c r="T31" s="279"/>
      <c r="U31" s="279"/>
      <c r="V31" s="279"/>
      <c r="W31" s="279"/>
      <c r="X31" s="279"/>
      <c r="Y31" s="279"/>
      <c r="Z31" s="279"/>
      <c r="AA31" s="279"/>
      <c r="AB31" s="279"/>
      <c r="AC31" s="313"/>
      <c r="AD31" s="207"/>
      <c r="AE31" s="2"/>
      <c r="AF31" s="211" t="str">
        <f>IF(Roster!$K$1=0,"",Roster!$K$1)</f>
        <v>ST</v>
      </c>
      <c r="AG31" s="212"/>
      <c r="AH31" s="312"/>
      <c r="AI31" s="279"/>
      <c r="AJ31" s="279"/>
      <c r="AK31" s="279"/>
      <c r="AL31" s="279"/>
      <c r="AM31" s="279"/>
      <c r="AN31" s="279"/>
      <c r="AO31" s="279"/>
      <c r="AP31" s="279"/>
      <c r="AQ31" s="279"/>
      <c r="AR31" s="313"/>
      <c r="AS31" s="207"/>
      <c r="AT31" s="2"/>
      <c r="AU31" s="211" t="str">
        <f>IF(Roster!$K$1=0,"",Roster!$K$1)</f>
        <v>ST</v>
      </c>
      <c r="AV31" s="212"/>
      <c r="AW31" s="312"/>
      <c r="AX31" s="279"/>
      <c r="AY31" s="279"/>
      <c r="AZ31" s="279"/>
      <c r="BA31" s="279"/>
      <c r="BB31" s="279"/>
      <c r="BC31" s="279"/>
      <c r="BD31" s="279"/>
      <c r="BE31" s="279"/>
      <c r="BF31" s="279"/>
      <c r="BG31" s="313"/>
      <c r="BH31" s="207"/>
      <c r="BI31" s="2"/>
    </row>
    <row r="32" spans="1:61" ht="37.5" customHeight="1">
      <c r="A32" s="2"/>
      <c r="B32" s="214">
        <f>IF(Roster!$K$5=0,"",Roster!$K$5)</f>
        <v>3</v>
      </c>
      <c r="C32" s="212"/>
      <c r="D32" s="312"/>
      <c r="E32" s="279"/>
      <c r="F32" s="279"/>
      <c r="G32" s="279"/>
      <c r="H32" s="279"/>
      <c r="I32" s="279"/>
      <c r="J32" s="279"/>
      <c r="K32" s="279"/>
      <c r="L32" s="279"/>
      <c r="M32" s="279"/>
      <c r="N32" s="313"/>
      <c r="O32" s="207"/>
      <c r="P32" s="2"/>
      <c r="Q32" s="214">
        <f>IF(Roster!$K$6=0,"",Roster!$K$6)</f>
        <v>3</v>
      </c>
      <c r="R32" s="212"/>
      <c r="S32" s="312"/>
      <c r="T32" s="279"/>
      <c r="U32" s="279"/>
      <c r="V32" s="279"/>
      <c r="W32" s="279"/>
      <c r="X32" s="279"/>
      <c r="Y32" s="279"/>
      <c r="Z32" s="279"/>
      <c r="AA32" s="279"/>
      <c r="AB32" s="279"/>
      <c r="AC32" s="313"/>
      <c r="AD32" s="207"/>
      <c r="AE32" s="2"/>
      <c r="AF32" s="214">
        <f>IF(Roster!$K$7=0,"",Roster!$K$7)</f>
        <v>4</v>
      </c>
      <c r="AG32" s="212"/>
      <c r="AH32" s="312"/>
      <c r="AI32" s="279"/>
      <c r="AJ32" s="279"/>
      <c r="AK32" s="279"/>
      <c r="AL32" s="279"/>
      <c r="AM32" s="279"/>
      <c r="AN32" s="279"/>
      <c r="AO32" s="279"/>
      <c r="AP32" s="279"/>
      <c r="AQ32" s="279"/>
      <c r="AR32" s="313"/>
      <c r="AS32" s="207"/>
      <c r="AT32" s="2"/>
      <c r="AU32" s="214">
        <f>IF(Roster!$K$8=0,"",Roster!$K$8)</f>
        <v>4</v>
      </c>
      <c r="AV32" s="212"/>
      <c r="AW32" s="312"/>
      <c r="AX32" s="279"/>
      <c r="AY32" s="279"/>
      <c r="AZ32" s="279"/>
      <c r="BA32" s="279"/>
      <c r="BB32" s="279"/>
      <c r="BC32" s="279"/>
      <c r="BD32" s="279"/>
      <c r="BE32" s="279"/>
      <c r="BF32" s="279"/>
      <c r="BG32" s="313"/>
      <c r="BH32" s="207"/>
      <c r="BI32" s="2"/>
    </row>
    <row r="33" spans="1:61" ht="11.25" customHeight="1">
      <c r="A33" s="2"/>
      <c r="B33" s="211" t="str">
        <f>IF(Roster!$L$1=0,"",Roster!$L$1)</f>
        <v>AG</v>
      </c>
      <c r="C33" s="212"/>
      <c r="D33" s="312"/>
      <c r="E33" s="279"/>
      <c r="F33" s="279"/>
      <c r="G33" s="279"/>
      <c r="H33" s="279"/>
      <c r="I33" s="279"/>
      <c r="J33" s="279"/>
      <c r="K33" s="279"/>
      <c r="L33" s="279"/>
      <c r="M33" s="279"/>
      <c r="N33" s="313"/>
      <c r="O33" s="207"/>
      <c r="P33" s="2"/>
      <c r="Q33" s="211" t="str">
        <f>IF(Roster!$L$1=0,"",Roster!$L$1)</f>
        <v>AG</v>
      </c>
      <c r="R33" s="212"/>
      <c r="S33" s="312"/>
      <c r="T33" s="279"/>
      <c r="U33" s="279"/>
      <c r="V33" s="279"/>
      <c r="W33" s="279"/>
      <c r="X33" s="279"/>
      <c r="Y33" s="279"/>
      <c r="Z33" s="279"/>
      <c r="AA33" s="279"/>
      <c r="AB33" s="279"/>
      <c r="AC33" s="313"/>
      <c r="AD33" s="207"/>
      <c r="AE33" s="2"/>
      <c r="AF33" s="211" t="str">
        <f>IF(Roster!$L$1=0,"",Roster!$L$1)</f>
        <v>AG</v>
      </c>
      <c r="AG33" s="212"/>
      <c r="AH33" s="312"/>
      <c r="AI33" s="279"/>
      <c r="AJ33" s="279"/>
      <c r="AK33" s="279"/>
      <c r="AL33" s="279"/>
      <c r="AM33" s="279"/>
      <c r="AN33" s="279"/>
      <c r="AO33" s="279"/>
      <c r="AP33" s="279"/>
      <c r="AQ33" s="279"/>
      <c r="AR33" s="313"/>
      <c r="AS33" s="207"/>
      <c r="AT33" s="2"/>
      <c r="AU33" s="211" t="str">
        <f>IF(Roster!$L$1=0,"",Roster!$L$1)</f>
        <v>AG</v>
      </c>
      <c r="AV33" s="212"/>
      <c r="AW33" s="312"/>
      <c r="AX33" s="279"/>
      <c r="AY33" s="279"/>
      <c r="AZ33" s="279"/>
      <c r="BA33" s="279"/>
      <c r="BB33" s="279"/>
      <c r="BC33" s="279"/>
      <c r="BD33" s="279"/>
      <c r="BE33" s="279"/>
      <c r="BF33" s="279"/>
      <c r="BG33" s="313"/>
      <c r="BH33" s="207"/>
      <c r="BI33" s="2"/>
    </row>
    <row r="34" spans="1:61" ht="37.5" customHeight="1">
      <c r="A34" s="2"/>
      <c r="B34" s="214" t="str">
        <f>IF(Roster!$L$5=0&amp;"+","",Roster!$L$5)</f>
        <v>3+</v>
      </c>
      <c r="C34" s="212"/>
      <c r="D34" s="312"/>
      <c r="E34" s="279"/>
      <c r="F34" s="279"/>
      <c r="G34" s="279"/>
      <c r="H34" s="279"/>
      <c r="I34" s="279"/>
      <c r="J34" s="279"/>
      <c r="K34" s="279"/>
      <c r="L34" s="279"/>
      <c r="M34" s="279"/>
      <c r="N34" s="313"/>
      <c r="O34" s="207"/>
      <c r="P34" s="2"/>
      <c r="Q34" s="214" t="str">
        <f>IF(Roster!$L$6=0&amp;"+","",Roster!$L$6)</f>
        <v>3+</v>
      </c>
      <c r="R34" s="212"/>
      <c r="S34" s="312"/>
      <c r="T34" s="279"/>
      <c r="U34" s="279"/>
      <c r="V34" s="279"/>
      <c r="W34" s="279"/>
      <c r="X34" s="279"/>
      <c r="Y34" s="279"/>
      <c r="Z34" s="279"/>
      <c r="AA34" s="279"/>
      <c r="AB34" s="279"/>
      <c r="AC34" s="313"/>
      <c r="AD34" s="207"/>
      <c r="AE34" s="2"/>
      <c r="AF34" s="214" t="str">
        <f>IF(Roster!$L$7=0&amp;"+","",Roster!$L$7)</f>
        <v>4+</v>
      </c>
      <c r="AG34" s="212"/>
      <c r="AH34" s="312"/>
      <c r="AI34" s="279"/>
      <c r="AJ34" s="279"/>
      <c r="AK34" s="279"/>
      <c r="AL34" s="279"/>
      <c r="AM34" s="279"/>
      <c r="AN34" s="279"/>
      <c r="AO34" s="279"/>
      <c r="AP34" s="279"/>
      <c r="AQ34" s="279"/>
      <c r="AR34" s="313"/>
      <c r="AS34" s="207"/>
      <c r="AT34" s="2"/>
      <c r="AU34" s="214" t="str">
        <f>IF(Roster!$L$8=0&amp;"+","",Roster!$L$8)</f>
        <v>4+</v>
      </c>
      <c r="AV34" s="212"/>
      <c r="AW34" s="312"/>
      <c r="AX34" s="279"/>
      <c r="AY34" s="279"/>
      <c r="AZ34" s="279"/>
      <c r="BA34" s="279"/>
      <c r="BB34" s="279"/>
      <c r="BC34" s="279"/>
      <c r="BD34" s="279"/>
      <c r="BE34" s="279"/>
      <c r="BF34" s="279"/>
      <c r="BG34" s="313"/>
      <c r="BH34" s="207"/>
      <c r="BI34" s="2"/>
    </row>
    <row r="35" spans="1:61" ht="11.25" customHeight="1">
      <c r="A35" s="2"/>
      <c r="B35" s="211" t="str">
        <f>IF(Roster!$M$1=0,"",Roster!$M$1)</f>
        <v>PA</v>
      </c>
      <c r="C35" s="212"/>
      <c r="D35" s="312"/>
      <c r="E35" s="279"/>
      <c r="F35" s="279"/>
      <c r="G35" s="279"/>
      <c r="H35" s="279"/>
      <c r="I35" s="279"/>
      <c r="J35" s="279"/>
      <c r="K35" s="279"/>
      <c r="L35" s="279"/>
      <c r="M35" s="279"/>
      <c r="N35" s="313"/>
      <c r="O35" s="216"/>
      <c r="P35" s="2"/>
      <c r="Q35" s="211" t="str">
        <f>IF(Roster!$M$1=0,"",Roster!$M$1)</f>
        <v>PA</v>
      </c>
      <c r="R35" s="212"/>
      <c r="S35" s="312"/>
      <c r="T35" s="279"/>
      <c r="U35" s="279"/>
      <c r="V35" s="279"/>
      <c r="W35" s="279"/>
      <c r="X35" s="279"/>
      <c r="Y35" s="279"/>
      <c r="Z35" s="279"/>
      <c r="AA35" s="279"/>
      <c r="AB35" s="279"/>
      <c r="AC35" s="313"/>
      <c r="AD35" s="216"/>
      <c r="AE35" s="2"/>
      <c r="AF35" s="211" t="str">
        <f>IF(Roster!$M$1=0,"",Roster!$M$1)</f>
        <v>PA</v>
      </c>
      <c r="AG35" s="212"/>
      <c r="AH35" s="312"/>
      <c r="AI35" s="279"/>
      <c r="AJ35" s="279"/>
      <c r="AK35" s="279"/>
      <c r="AL35" s="279"/>
      <c r="AM35" s="279"/>
      <c r="AN35" s="279"/>
      <c r="AO35" s="279"/>
      <c r="AP35" s="279"/>
      <c r="AQ35" s="279"/>
      <c r="AR35" s="313"/>
      <c r="AS35" s="216"/>
      <c r="AT35" s="2"/>
      <c r="AU35" s="211" t="str">
        <f>IF(Roster!$M$1=0,"",Roster!$M$1)</f>
        <v>PA</v>
      </c>
      <c r="AV35" s="212"/>
      <c r="AW35" s="312"/>
      <c r="AX35" s="279"/>
      <c r="AY35" s="279"/>
      <c r="AZ35" s="279"/>
      <c r="BA35" s="279"/>
      <c r="BB35" s="279"/>
      <c r="BC35" s="279"/>
      <c r="BD35" s="279"/>
      <c r="BE35" s="279"/>
      <c r="BF35" s="279"/>
      <c r="BG35" s="313"/>
      <c r="BH35" s="216"/>
      <c r="BI35" s="2"/>
    </row>
    <row r="36" spans="1:61" ht="6" customHeight="1">
      <c r="A36" s="2"/>
      <c r="B36" s="403" t="str">
        <f>IF(Roster!$M$5=0&amp;"+","",Roster!$M$5)</f>
        <v>4+</v>
      </c>
      <c r="C36" s="212"/>
      <c r="D36" s="288"/>
      <c r="E36" s="289"/>
      <c r="F36" s="289"/>
      <c r="G36" s="289"/>
      <c r="H36" s="289"/>
      <c r="I36" s="289"/>
      <c r="J36" s="289"/>
      <c r="K36" s="289"/>
      <c r="L36" s="289"/>
      <c r="M36" s="289"/>
      <c r="N36" s="290"/>
      <c r="O36" s="218"/>
      <c r="P36" s="2"/>
      <c r="Q36" s="403" t="str">
        <f>IF(Roster!$M$6=0&amp;"+","",Roster!$M$6)</f>
        <v>4+</v>
      </c>
      <c r="R36" s="212"/>
      <c r="S36" s="288"/>
      <c r="T36" s="289"/>
      <c r="U36" s="289"/>
      <c r="V36" s="289"/>
      <c r="W36" s="289"/>
      <c r="X36" s="289"/>
      <c r="Y36" s="289"/>
      <c r="Z36" s="289"/>
      <c r="AA36" s="289"/>
      <c r="AB36" s="289"/>
      <c r="AC36" s="290"/>
      <c r="AD36" s="218"/>
      <c r="AE36" s="2"/>
      <c r="AF36" s="403" t="str">
        <f>IF(Roster!$M$7=0&amp;"+","",Roster!$M$7)</f>
        <v/>
      </c>
      <c r="AG36" s="212"/>
      <c r="AH36" s="288"/>
      <c r="AI36" s="289"/>
      <c r="AJ36" s="289"/>
      <c r="AK36" s="289"/>
      <c r="AL36" s="289"/>
      <c r="AM36" s="289"/>
      <c r="AN36" s="289"/>
      <c r="AO36" s="289"/>
      <c r="AP36" s="289"/>
      <c r="AQ36" s="289"/>
      <c r="AR36" s="290"/>
      <c r="AS36" s="218"/>
      <c r="AT36" s="2"/>
      <c r="AU36" s="403" t="str">
        <f>IF(Roster!$M$8=0&amp;"+","",Roster!$M$8)</f>
        <v/>
      </c>
      <c r="AV36" s="212"/>
      <c r="AW36" s="288"/>
      <c r="AX36" s="289"/>
      <c r="AY36" s="289"/>
      <c r="AZ36" s="289"/>
      <c r="BA36" s="289"/>
      <c r="BB36" s="289"/>
      <c r="BC36" s="289"/>
      <c r="BD36" s="289"/>
      <c r="BE36" s="289"/>
      <c r="BF36" s="289"/>
      <c r="BG36" s="290"/>
      <c r="BH36" s="218"/>
      <c r="BI36" s="2"/>
    </row>
    <row r="37" spans="1:61" ht="4.5" customHeight="1">
      <c r="A37" s="2"/>
      <c r="B37" s="404"/>
      <c r="C37" s="210"/>
      <c r="D37" s="219"/>
      <c r="E37" s="217"/>
      <c r="F37" s="219"/>
      <c r="G37" s="217"/>
      <c r="H37" s="219"/>
      <c r="I37" s="217"/>
      <c r="J37" s="219"/>
      <c r="K37" s="217"/>
      <c r="L37" s="219"/>
      <c r="M37" s="217"/>
      <c r="N37" s="219"/>
      <c r="O37" s="218"/>
      <c r="P37" s="2"/>
      <c r="Q37" s="404"/>
      <c r="R37" s="210"/>
      <c r="S37" s="219"/>
      <c r="T37" s="217"/>
      <c r="U37" s="219"/>
      <c r="V37" s="217"/>
      <c r="W37" s="219"/>
      <c r="X37" s="217"/>
      <c r="Y37" s="219"/>
      <c r="Z37" s="217"/>
      <c r="AA37" s="219"/>
      <c r="AB37" s="217"/>
      <c r="AC37" s="219"/>
      <c r="AD37" s="218"/>
      <c r="AE37" s="2"/>
      <c r="AF37" s="404"/>
      <c r="AG37" s="210"/>
      <c r="AH37" s="219"/>
      <c r="AI37" s="217"/>
      <c r="AJ37" s="219"/>
      <c r="AK37" s="217"/>
      <c r="AL37" s="219"/>
      <c r="AM37" s="217"/>
      <c r="AN37" s="219"/>
      <c r="AO37" s="217"/>
      <c r="AP37" s="219"/>
      <c r="AQ37" s="217"/>
      <c r="AR37" s="219"/>
      <c r="AS37" s="218"/>
      <c r="AT37" s="2"/>
      <c r="AU37" s="404"/>
      <c r="AV37" s="210"/>
      <c r="AW37" s="219"/>
      <c r="AX37" s="217"/>
      <c r="AY37" s="219"/>
      <c r="AZ37" s="217"/>
      <c r="BA37" s="219"/>
      <c r="BB37" s="217"/>
      <c r="BC37" s="219"/>
      <c r="BD37" s="217"/>
      <c r="BE37" s="219"/>
      <c r="BF37" s="217"/>
      <c r="BG37" s="219"/>
      <c r="BH37" s="218"/>
      <c r="BI37" s="2"/>
    </row>
    <row r="38" spans="1:61" ht="11.25" customHeight="1">
      <c r="A38" s="2"/>
      <c r="B38" s="404"/>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404"/>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404"/>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404"/>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404"/>
      <c r="C39" s="213"/>
      <c r="D39" s="222" t="str">
        <f>IF(Roster!$AC$5=0,"",Roster!$AC$5)</f>
        <v/>
      </c>
      <c r="E39" s="223"/>
      <c r="F39" s="222" t="str">
        <f>IF((SUM(H39,J39,L39))=0,"",(SUM(H39,J39,L39)))</f>
        <v/>
      </c>
      <c r="G39" s="223"/>
      <c r="H39" s="222" t="str">
        <f>IF(Roster!$AF$5=0,"",Roster!$AF$5)</f>
        <v/>
      </c>
      <c r="I39" s="223"/>
      <c r="J39" s="222" t="str">
        <f>IF(Roster!$AG$5=0,"",Roster!$AG$5)</f>
        <v/>
      </c>
      <c r="K39" s="223"/>
      <c r="L39" s="222" t="str">
        <f>IF(Roster!$AH$5=0,"",Roster!$AH$5)</f>
        <v/>
      </c>
      <c r="M39" s="223"/>
      <c r="N39" s="222" t="str">
        <f>IF(Roster!$AB$5=0,"",Roster!$AB$5)</f>
        <v/>
      </c>
      <c r="O39" s="218"/>
      <c r="P39" s="2"/>
      <c r="Q39" s="404"/>
      <c r="R39" s="213"/>
      <c r="S39" s="222" t="str">
        <f>IF(Roster!$AC$6=0,"",Roster!$AC$6)</f>
        <v/>
      </c>
      <c r="T39" s="223"/>
      <c r="U39" s="222">
        <f>IF((SUM(W39,Y39,AA39))=0,"",(SUM(W39,Y39,AA39)))</f>
        <v>2</v>
      </c>
      <c r="V39" s="223"/>
      <c r="W39" s="222">
        <f>IF(Roster!$AF$6=0,"",Roster!$AF$6)</f>
        <v>1</v>
      </c>
      <c r="X39" s="223"/>
      <c r="Y39" s="222">
        <f>IF(Roster!$AG$6=0,"",Roster!$AG$6)</f>
        <v>1</v>
      </c>
      <c r="Z39" s="223"/>
      <c r="AA39" s="222" t="str">
        <f>IF(Roster!$AH$6=0,"",Roster!$AH$6)</f>
        <v/>
      </c>
      <c r="AB39" s="223"/>
      <c r="AC39" s="222" t="str">
        <f>IF(Roster!$AB$6=0,"",Roster!$AB$6)</f>
        <v/>
      </c>
      <c r="AD39" s="218"/>
      <c r="AE39" s="2"/>
      <c r="AF39" s="404"/>
      <c r="AG39" s="213"/>
      <c r="AH39" s="222" t="str">
        <f>IF(Roster!$AC$7=0,"",Roster!$AC$7)</f>
        <v/>
      </c>
      <c r="AI39" s="223"/>
      <c r="AJ39" s="222">
        <f>IF((SUM(AL39,AN39,AP39))=0,"",(SUM(AL39,AN39,AP39)))</f>
        <v>1</v>
      </c>
      <c r="AK39" s="223"/>
      <c r="AL39" s="222">
        <f>IF(Roster!$AF$7=0,"",Roster!$AF$7)</f>
        <v>1</v>
      </c>
      <c r="AM39" s="223"/>
      <c r="AN39" s="222" t="str">
        <f>IF(Roster!$AG$7=0,"",Roster!$AG$7)</f>
        <v/>
      </c>
      <c r="AO39" s="223"/>
      <c r="AP39" s="222" t="str">
        <f>IF(Roster!$AH$7=0,"",Roster!$AH$7)</f>
        <v/>
      </c>
      <c r="AQ39" s="223"/>
      <c r="AR39" s="222" t="str">
        <f>IF(Roster!$AB$7=0,"",Roster!$AB$7)</f>
        <v/>
      </c>
      <c r="AS39" s="218"/>
      <c r="AT39" s="2"/>
      <c r="AU39" s="404"/>
      <c r="AV39" s="213"/>
      <c r="AW39" s="222" t="str">
        <f>IF(Roster!$AC$8=0,"",Roster!$AC$8)</f>
        <v/>
      </c>
      <c r="AX39" s="223"/>
      <c r="AY39" s="222" t="str">
        <f>IF((SUM(BA39,BC39,BE39))=0,"",(SUM(BA39,BC39,BE39)))</f>
        <v/>
      </c>
      <c r="AZ39" s="223"/>
      <c r="BA39" s="222" t="str">
        <f>IF(Roster!$AF$8=0,"",Roster!$AF$8)</f>
        <v/>
      </c>
      <c r="BB39" s="223"/>
      <c r="BC39" s="222" t="str">
        <f>IF(Roster!$AG$8=0,"",Roster!$AG$8)</f>
        <v/>
      </c>
      <c r="BD39" s="223"/>
      <c r="BE39" s="222" t="str">
        <f>IF(Roster!$AH$8=0,"",Roster!$AH$8)</f>
        <v/>
      </c>
      <c r="BF39" s="223"/>
      <c r="BG39" s="222" t="str">
        <f>IF(Roster!$AB$8=0,"",Roster!$AB$8)</f>
        <v/>
      </c>
      <c r="BH39" s="218"/>
      <c r="BI39" s="2"/>
    </row>
    <row r="40" spans="1:61" ht="4.5" customHeight="1">
      <c r="A40" s="2"/>
      <c r="B40" s="309"/>
      <c r="C40" s="213"/>
      <c r="D40" s="45"/>
      <c r="E40" s="223"/>
      <c r="F40" s="45"/>
      <c r="G40" s="223"/>
      <c r="H40" s="45"/>
      <c r="I40" s="223"/>
      <c r="J40" s="45"/>
      <c r="K40" s="223"/>
      <c r="L40" s="45"/>
      <c r="M40" s="223"/>
      <c r="N40" s="45"/>
      <c r="O40" s="218"/>
      <c r="P40" s="2"/>
      <c r="Q40" s="309"/>
      <c r="R40" s="213"/>
      <c r="S40" s="45"/>
      <c r="T40" s="223"/>
      <c r="U40" s="45"/>
      <c r="V40" s="223"/>
      <c r="W40" s="45"/>
      <c r="X40" s="223"/>
      <c r="Y40" s="45"/>
      <c r="Z40" s="223"/>
      <c r="AA40" s="45"/>
      <c r="AB40" s="223"/>
      <c r="AC40" s="45"/>
      <c r="AD40" s="218"/>
      <c r="AE40" s="2"/>
      <c r="AF40" s="309"/>
      <c r="AG40" s="213"/>
      <c r="AH40" s="45"/>
      <c r="AI40" s="223"/>
      <c r="AJ40" s="45"/>
      <c r="AK40" s="223"/>
      <c r="AL40" s="45"/>
      <c r="AM40" s="223"/>
      <c r="AN40" s="45"/>
      <c r="AO40" s="223"/>
      <c r="AP40" s="45"/>
      <c r="AQ40" s="223"/>
      <c r="AR40" s="45"/>
      <c r="AS40" s="218"/>
      <c r="AT40" s="2"/>
      <c r="AU40" s="309"/>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403" t="str">
        <f>IF(Roster!$N$5=0&amp;"+","",Roster!$N$5)</f>
        <v>10+</v>
      </c>
      <c r="C42" s="213"/>
      <c r="D42" s="222" t="str">
        <f>IF(Roster!$AD$5=0,"",Roster!$AD$5)</f>
        <v/>
      </c>
      <c r="E42" s="223"/>
      <c r="F42" s="222" t="str">
        <f>IF(Roster!$AE$5=0,"",Roster!$AE$5)</f>
        <v/>
      </c>
      <c r="G42" s="223"/>
      <c r="H42" s="222" t="str">
        <f>IF(Roster!$AA$5=0,"",Roster!$AA$5)</f>
        <v/>
      </c>
      <c r="I42" s="223"/>
      <c r="J42" s="222" t="str">
        <f>IF(Roster!$AI$5=0,"",Roster!$AI$5)</f>
        <v/>
      </c>
      <c r="K42" s="223"/>
      <c r="L42" s="222" t="str">
        <f>IF(Roster!$AJ$5=0,"",Roster!$AJ$5)</f>
        <v/>
      </c>
      <c r="M42" s="223"/>
      <c r="N42" s="222" t="str">
        <f>IF(Roster!$Z$5=0,"",Roster!$Z$5)</f>
        <v/>
      </c>
      <c r="O42" s="226"/>
      <c r="P42" s="2"/>
      <c r="Q42" s="403" t="str">
        <f>IF(Roster!$N$6=0&amp;"+","",Roster!$N$6)</f>
        <v>10+</v>
      </c>
      <c r="R42" s="213"/>
      <c r="S42" s="222" t="str">
        <f>IF(Roster!$AD$6=0,"",Roster!$AD$6)</f>
        <v/>
      </c>
      <c r="T42" s="223"/>
      <c r="U42" s="222" t="str">
        <f>IF(Roster!$AE$6=0,"",Roster!$AE$6)</f>
        <v/>
      </c>
      <c r="V42" s="223"/>
      <c r="W42" s="222" t="str">
        <f>IF(Roster!$AA$6=0,"",Roster!$AA$6)</f>
        <v/>
      </c>
      <c r="X42" s="223"/>
      <c r="Y42" s="222">
        <f>IF(Roster!$AI$6=0,"",Roster!$AI$6)</f>
        <v>1</v>
      </c>
      <c r="Z42" s="223"/>
      <c r="AA42" s="222">
        <f>IF(Roster!$AJ$6=0,"",Roster!$AJ$6)</f>
        <v>8</v>
      </c>
      <c r="AB42" s="223"/>
      <c r="AC42" s="222" t="str">
        <f>IF(Roster!$Z$6=0,"",Roster!$Z$6)</f>
        <v/>
      </c>
      <c r="AD42" s="226"/>
      <c r="AE42" s="2"/>
      <c r="AF42" s="403" t="str">
        <f>IF(Roster!$N$7=0&amp;"+","",Roster!$N$7)</f>
        <v>10+</v>
      </c>
      <c r="AG42" s="213"/>
      <c r="AH42" s="222" t="str">
        <f>IF(Roster!$AD$7=0,"",Roster!$AD$7)</f>
        <v/>
      </c>
      <c r="AI42" s="223"/>
      <c r="AJ42" s="222" t="str">
        <f>IF(Roster!$AE$7=0,"",Roster!$AE$7)</f>
        <v/>
      </c>
      <c r="AK42" s="223"/>
      <c r="AL42" s="222" t="str">
        <f>IF(Roster!$AA$7=0,"",Roster!$AA$7)</f>
        <v/>
      </c>
      <c r="AM42" s="223"/>
      <c r="AN42" s="222">
        <f>IF(Roster!$AI$7=0,"",Roster!$AI$7)</f>
        <v>1</v>
      </c>
      <c r="AO42" s="223"/>
      <c r="AP42" s="222">
        <f>IF(Roster!$AJ$7=0,"",Roster!$AJ$7)</f>
        <v>6</v>
      </c>
      <c r="AQ42" s="223"/>
      <c r="AR42" s="222" t="str">
        <f>IF(Roster!$Z$7=0,"",Roster!$Z$7)</f>
        <v/>
      </c>
      <c r="AS42" s="226"/>
      <c r="AT42" s="2"/>
      <c r="AU42" s="403" t="str">
        <f>IF(Roster!$N$8=0&amp;"+","",Roster!$N$8)</f>
        <v>10+</v>
      </c>
      <c r="AV42" s="213"/>
      <c r="AW42" s="222" t="str">
        <f>IF(Roster!$AD$8=0,"",Roster!$AD$8)</f>
        <v/>
      </c>
      <c r="AX42" s="223"/>
      <c r="AY42" s="222" t="str">
        <f>IF(Roster!$AE$8=0,"",Roster!$AE$8)</f>
        <v/>
      </c>
      <c r="AZ42" s="223"/>
      <c r="BA42" s="222" t="str">
        <f>IF(Roster!$AA$8=0,"",Roster!$AA$8)</f>
        <v/>
      </c>
      <c r="BB42" s="223"/>
      <c r="BC42" s="222" t="str">
        <f>IF(Roster!$AI$8=0,"",Roster!$AI$8)</f>
        <v/>
      </c>
      <c r="BD42" s="223"/>
      <c r="BE42" s="222" t="str">
        <f>IF(Roster!$AJ$8=0,"",Roster!$AJ$8)</f>
        <v/>
      </c>
      <c r="BF42" s="223"/>
      <c r="BG42" s="222" t="str">
        <f>IF(Roster!$Z$8=0,"",Roster!$Z$8)</f>
        <v/>
      </c>
      <c r="BH42" s="226"/>
      <c r="BI42" s="2"/>
    </row>
    <row r="43" spans="1:61" ht="4.5" customHeight="1">
      <c r="A43" s="2"/>
      <c r="B43" s="404"/>
      <c r="C43" s="213"/>
      <c r="D43" s="223"/>
      <c r="E43" s="223"/>
      <c r="F43" s="223"/>
      <c r="G43" s="223"/>
      <c r="H43" s="223"/>
      <c r="I43" s="223"/>
      <c r="J43" s="223"/>
      <c r="K43" s="223"/>
      <c r="L43" s="223"/>
      <c r="M43" s="223"/>
      <c r="N43" s="227"/>
      <c r="O43" s="226"/>
      <c r="P43" s="2"/>
      <c r="Q43" s="404"/>
      <c r="R43" s="213"/>
      <c r="S43" s="223"/>
      <c r="T43" s="223"/>
      <c r="U43" s="223"/>
      <c r="V43" s="223"/>
      <c r="W43" s="223"/>
      <c r="X43" s="223"/>
      <c r="Y43" s="223"/>
      <c r="Z43" s="223"/>
      <c r="AA43" s="223"/>
      <c r="AB43" s="223"/>
      <c r="AC43" s="227"/>
      <c r="AD43" s="226"/>
      <c r="AE43" s="2"/>
      <c r="AF43" s="404"/>
      <c r="AG43" s="213"/>
      <c r="AH43" s="223"/>
      <c r="AI43" s="223"/>
      <c r="AJ43" s="223"/>
      <c r="AK43" s="223"/>
      <c r="AL43" s="223"/>
      <c r="AM43" s="223"/>
      <c r="AN43" s="223"/>
      <c r="AO43" s="223"/>
      <c r="AP43" s="223"/>
      <c r="AQ43" s="223"/>
      <c r="AR43" s="227"/>
      <c r="AS43" s="226"/>
      <c r="AT43" s="2"/>
      <c r="AU43" s="404"/>
      <c r="AV43" s="213"/>
      <c r="AW43" s="223"/>
      <c r="AX43" s="223"/>
      <c r="AY43" s="223"/>
      <c r="AZ43" s="223"/>
      <c r="BA43" s="223"/>
      <c r="BB43" s="223"/>
      <c r="BC43" s="223"/>
      <c r="BD43" s="223"/>
      <c r="BE43" s="223"/>
      <c r="BF43" s="223"/>
      <c r="BG43" s="227"/>
      <c r="BH43" s="226"/>
      <c r="BI43" s="2"/>
    </row>
    <row r="44" spans="1:61" ht="11.25" customHeight="1">
      <c r="A44" s="2"/>
      <c r="B44" s="404"/>
      <c r="C44" s="213"/>
      <c r="D44" s="380" t="str">
        <f>IF(Roster!$J$25="Italiano","ABILITÀ &amp; TRATTI",(IF(Roster!$J$25="Español","HABILIDADES Y RASGOS","SKILLS &amp; TRAITS")))</f>
        <v>ABILITÀ &amp; TRATTI</v>
      </c>
      <c r="E44" s="315"/>
      <c r="F44" s="315"/>
      <c r="G44" s="315"/>
      <c r="H44" s="315"/>
      <c r="I44" s="315"/>
      <c r="J44" s="315"/>
      <c r="K44" s="315"/>
      <c r="L44" s="315"/>
      <c r="M44" s="315"/>
      <c r="N44" s="381"/>
      <c r="O44" s="226"/>
      <c r="P44" s="2"/>
      <c r="Q44" s="404"/>
      <c r="R44" s="213"/>
      <c r="S44" s="380" t="str">
        <f>IF(Roster!$J$25="Italiano","ABILITÀ &amp; TRATTI",(IF(Roster!$J$25="Español","HABILIDADES Y RASGOS","SKILLS &amp; TRAITS")))</f>
        <v>ABILITÀ &amp; TRATTI</v>
      </c>
      <c r="T44" s="315"/>
      <c r="U44" s="315"/>
      <c r="V44" s="315"/>
      <c r="W44" s="315"/>
      <c r="X44" s="315"/>
      <c r="Y44" s="315"/>
      <c r="Z44" s="315"/>
      <c r="AA44" s="315"/>
      <c r="AB44" s="315"/>
      <c r="AC44" s="381"/>
      <c r="AD44" s="226"/>
      <c r="AE44" s="2"/>
      <c r="AF44" s="404"/>
      <c r="AG44" s="213"/>
      <c r="AH44" s="380" t="str">
        <f>IF(Roster!$J$25="Italiano","ABILITÀ &amp; TRATTI",(IF(Roster!$J$25="Español","HABILIDADES Y RASGOS","SKILLS &amp; TRAITS")))</f>
        <v>ABILITÀ &amp; TRATTI</v>
      </c>
      <c r="AI44" s="315"/>
      <c r="AJ44" s="315"/>
      <c r="AK44" s="315"/>
      <c r="AL44" s="315"/>
      <c r="AM44" s="315"/>
      <c r="AN44" s="315"/>
      <c r="AO44" s="315"/>
      <c r="AP44" s="315"/>
      <c r="AQ44" s="315"/>
      <c r="AR44" s="381"/>
      <c r="AS44" s="226"/>
      <c r="AT44" s="2"/>
      <c r="AU44" s="404"/>
      <c r="AV44" s="213"/>
      <c r="AW44" s="380" t="str">
        <f>IF(Roster!$J$25="Italiano","ABILITÀ &amp; TRATTI",(IF(Roster!$J$25="Español","HABILIDADES Y RASGOS","SKILLS &amp; TRAITS")))</f>
        <v>ABILITÀ &amp; TRATTI</v>
      </c>
      <c r="AX44" s="315"/>
      <c r="AY44" s="315"/>
      <c r="AZ44" s="315"/>
      <c r="BA44" s="315"/>
      <c r="BB44" s="315"/>
      <c r="BC44" s="315"/>
      <c r="BD44" s="315"/>
      <c r="BE44" s="315"/>
      <c r="BF44" s="315"/>
      <c r="BG44" s="381"/>
      <c r="BH44" s="226"/>
      <c r="BI44" s="2"/>
    </row>
    <row r="45" spans="1:61" ht="6.75" customHeight="1">
      <c r="A45" s="2"/>
      <c r="B45" s="309"/>
      <c r="C45" s="213"/>
      <c r="D45" s="394" t="str">
        <f>IF(Roster!$O$5=0&amp;AQ56,"",Roster!$O$5)</f>
        <v>Animosity (alle Mitspieler), Block</v>
      </c>
      <c r="E45" s="358"/>
      <c r="F45" s="358"/>
      <c r="G45" s="358"/>
      <c r="H45" s="358"/>
      <c r="I45" s="358"/>
      <c r="J45" s="358"/>
      <c r="K45" s="358"/>
      <c r="L45" s="358"/>
      <c r="M45" s="358"/>
      <c r="N45" s="383"/>
      <c r="O45" s="226"/>
      <c r="P45" s="2"/>
      <c r="Q45" s="309"/>
      <c r="R45" s="213"/>
      <c r="S45" s="394" t="str">
        <f>IF(Roster!$O$6=0&amp;BF66,"",Roster!$O$6)</f>
        <v>Animosity (alle Mitspieler), Block, Tackle</v>
      </c>
      <c r="T45" s="358"/>
      <c r="U45" s="358"/>
      <c r="V45" s="358"/>
      <c r="W45" s="358"/>
      <c r="X45" s="358"/>
      <c r="Y45" s="358"/>
      <c r="Z45" s="358"/>
      <c r="AA45" s="358"/>
      <c r="AB45" s="358"/>
      <c r="AC45" s="383"/>
      <c r="AD45" s="226"/>
      <c r="AE45" s="2"/>
      <c r="AF45" s="309"/>
      <c r="AG45" s="213"/>
      <c r="AH45" s="394" t="str">
        <f>IF(Roster!$O$7=0&amp;BU76,"",Roster!$O$7)</f>
        <v>Animosity (Big Un Blockers)</v>
      </c>
      <c r="AI45" s="358"/>
      <c r="AJ45" s="358"/>
      <c r="AK45" s="358"/>
      <c r="AL45" s="358"/>
      <c r="AM45" s="358"/>
      <c r="AN45" s="358"/>
      <c r="AO45" s="358"/>
      <c r="AP45" s="358"/>
      <c r="AQ45" s="358"/>
      <c r="AR45" s="383"/>
      <c r="AS45" s="226"/>
      <c r="AT45" s="2"/>
      <c r="AU45" s="309"/>
      <c r="AV45" s="213"/>
      <c r="AW45" s="394" t="str">
        <f>IF(Roster!$O$8=0&amp;CJ86,"",Roster!$O$8)</f>
        <v>Animosity (Big Un Blockers) - 1 NI</v>
      </c>
      <c r="AX45" s="358"/>
      <c r="AY45" s="358"/>
      <c r="AZ45" s="358"/>
      <c r="BA45" s="358"/>
      <c r="BB45" s="358"/>
      <c r="BC45" s="358"/>
      <c r="BD45" s="358"/>
      <c r="BE45" s="358"/>
      <c r="BF45" s="358"/>
      <c r="BG45" s="383"/>
      <c r="BH45" s="226"/>
      <c r="BI45" s="2"/>
    </row>
    <row r="46" spans="1:61" ht="11.25" customHeight="1">
      <c r="A46" s="2"/>
      <c r="B46" s="211" t="str">
        <f>IF(Roster!$AN$1=0,"",Roster!$AN$1)</f>
        <v>COSTO</v>
      </c>
      <c r="C46" s="212"/>
      <c r="D46" s="312"/>
      <c r="E46" s="279"/>
      <c r="F46" s="279"/>
      <c r="G46" s="279"/>
      <c r="H46" s="279"/>
      <c r="I46" s="279"/>
      <c r="J46" s="279"/>
      <c r="K46" s="279"/>
      <c r="L46" s="279"/>
      <c r="M46" s="279"/>
      <c r="N46" s="313"/>
      <c r="O46" s="230"/>
      <c r="P46" s="2"/>
      <c r="Q46" s="211" t="str">
        <f>IF(Roster!$AN$1=0,"",Roster!$AN$1)</f>
        <v>COSTO</v>
      </c>
      <c r="R46" s="212"/>
      <c r="S46" s="312"/>
      <c r="T46" s="279"/>
      <c r="U46" s="279"/>
      <c r="V46" s="279"/>
      <c r="W46" s="279"/>
      <c r="X46" s="279"/>
      <c r="Y46" s="279"/>
      <c r="Z46" s="279"/>
      <c r="AA46" s="279"/>
      <c r="AB46" s="279"/>
      <c r="AC46" s="313"/>
      <c r="AD46" s="230"/>
      <c r="AE46" s="2"/>
      <c r="AF46" s="211" t="str">
        <f>IF(Roster!$AN$1=0,"",Roster!$AN$1)</f>
        <v>COSTO</v>
      </c>
      <c r="AG46" s="212"/>
      <c r="AH46" s="312"/>
      <c r="AI46" s="279"/>
      <c r="AJ46" s="279"/>
      <c r="AK46" s="279"/>
      <c r="AL46" s="279"/>
      <c r="AM46" s="279"/>
      <c r="AN46" s="279"/>
      <c r="AO46" s="279"/>
      <c r="AP46" s="279"/>
      <c r="AQ46" s="279"/>
      <c r="AR46" s="313"/>
      <c r="AS46" s="230"/>
      <c r="AT46" s="2"/>
      <c r="AU46" s="211" t="str">
        <f>IF(Roster!$AN$1=0,"",Roster!$AN$1)</f>
        <v>COSTO</v>
      </c>
      <c r="AV46" s="212"/>
      <c r="AW46" s="312"/>
      <c r="AX46" s="279"/>
      <c r="AY46" s="279"/>
      <c r="AZ46" s="279"/>
      <c r="BA46" s="279"/>
      <c r="BB46" s="279"/>
      <c r="BC46" s="279"/>
      <c r="BD46" s="279"/>
      <c r="BE46" s="279"/>
      <c r="BF46" s="279"/>
      <c r="BG46" s="313"/>
      <c r="BH46" s="230"/>
      <c r="BI46" s="2"/>
    </row>
    <row r="47" spans="1:61" ht="34.5" customHeight="1">
      <c r="A47" s="2"/>
      <c r="B47" s="232">
        <f>IF(Roster!$AN$5=0,"",Roster!$AN$5)</f>
        <v>80000</v>
      </c>
      <c r="C47" s="233"/>
      <c r="D47" s="288"/>
      <c r="E47" s="289"/>
      <c r="F47" s="289"/>
      <c r="G47" s="289"/>
      <c r="H47" s="289"/>
      <c r="I47" s="289"/>
      <c r="J47" s="289"/>
      <c r="K47" s="289"/>
      <c r="L47" s="289"/>
      <c r="M47" s="289"/>
      <c r="N47" s="290"/>
      <c r="O47" s="230"/>
      <c r="P47" s="2"/>
      <c r="Q47" s="232">
        <f>IF(Roster!$AN$6=0,"",Roster!$AN$6)</f>
        <v>100000</v>
      </c>
      <c r="R47" s="233"/>
      <c r="S47" s="288"/>
      <c r="T47" s="289"/>
      <c r="U47" s="289"/>
      <c r="V47" s="289"/>
      <c r="W47" s="289"/>
      <c r="X47" s="289"/>
      <c r="Y47" s="289"/>
      <c r="Z47" s="289"/>
      <c r="AA47" s="289"/>
      <c r="AB47" s="289"/>
      <c r="AC47" s="290"/>
      <c r="AD47" s="230"/>
      <c r="AE47" s="2"/>
      <c r="AF47" s="232">
        <f>IF(Roster!$AN$7=0,"",Roster!$AN$7)</f>
        <v>90000</v>
      </c>
      <c r="AG47" s="233"/>
      <c r="AH47" s="288"/>
      <c r="AI47" s="289"/>
      <c r="AJ47" s="289"/>
      <c r="AK47" s="289"/>
      <c r="AL47" s="289"/>
      <c r="AM47" s="289"/>
      <c r="AN47" s="289"/>
      <c r="AO47" s="289"/>
      <c r="AP47" s="289"/>
      <c r="AQ47" s="289"/>
      <c r="AR47" s="290"/>
      <c r="AS47" s="230"/>
      <c r="AT47" s="2"/>
      <c r="AU47" s="232">
        <f>IF(Roster!$AN$8=0,"",Roster!$AN$8)</f>
        <v>90000</v>
      </c>
      <c r="AV47" s="233"/>
      <c r="AW47" s="288"/>
      <c r="AX47" s="289"/>
      <c r="AY47" s="289"/>
      <c r="AZ47" s="289"/>
      <c r="BA47" s="289"/>
      <c r="BB47" s="289"/>
      <c r="BC47" s="289"/>
      <c r="BD47" s="289"/>
      <c r="BE47" s="289"/>
      <c r="BF47" s="289"/>
      <c r="BG47" s="290"/>
      <c r="BH47" s="230"/>
      <c r="BI47" s="2"/>
    </row>
    <row r="48" spans="1:61" ht="4.5" customHeight="1">
      <c r="A48" s="2"/>
      <c r="B48" s="387"/>
      <c r="C48" s="242"/>
      <c r="D48" s="242"/>
      <c r="E48" s="242"/>
      <c r="F48" s="242"/>
      <c r="G48" s="242"/>
      <c r="H48" s="242"/>
      <c r="I48" s="242"/>
      <c r="J48" s="242"/>
      <c r="K48" s="242"/>
      <c r="L48" s="242"/>
      <c r="M48" s="242"/>
      <c r="N48" s="243"/>
      <c r="O48" s="234"/>
      <c r="P48" s="2"/>
      <c r="Q48" s="387"/>
      <c r="R48" s="242"/>
      <c r="S48" s="242"/>
      <c r="T48" s="242"/>
      <c r="U48" s="242"/>
      <c r="V48" s="242"/>
      <c r="W48" s="242"/>
      <c r="X48" s="242"/>
      <c r="Y48" s="242"/>
      <c r="Z48" s="242"/>
      <c r="AA48" s="242"/>
      <c r="AB48" s="242"/>
      <c r="AC48" s="243"/>
      <c r="AD48" s="234"/>
      <c r="AE48" s="2"/>
      <c r="AF48" s="387"/>
      <c r="AG48" s="242"/>
      <c r="AH48" s="242"/>
      <c r="AI48" s="242"/>
      <c r="AJ48" s="242"/>
      <c r="AK48" s="242"/>
      <c r="AL48" s="242"/>
      <c r="AM48" s="242"/>
      <c r="AN48" s="242"/>
      <c r="AO48" s="242"/>
      <c r="AP48" s="242"/>
      <c r="AQ48" s="242"/>
      <c r="AR48" s="243"/>
      <c r="AS48" s="234"/>
      <c r="AT48" s="2"/>
      <c r="AU48" s="387"/>
      <c r="AV48" s="242"/>
      <c r="AW48" s="242"/>
      <c r="AX48" s="242"/>
      <c r="AY48" s="242"/>
      <c r="AZ48" s="242"/>
      <c r="BA48" s="242"/>
      <c r="BB48" s="242"/>
      <c r="BC48" s="242"/>
      <c r="BD48" s="242"/>
      <c r="BE48" s="242"/>
      <c r="BF48" s="242"/>
      <c r="BG48" s="243"/>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5" t="str">
        <f>IF(Roster!$A$9=0,"","#"&amp;Roster!$A$9)</f>
        <v>#8</v>
      </c>
      <c r="C50" s="205"/>
      <c r="D50" s="205"/>
      <c r="E50" s="205"/>
      <c r="F50" s="205"/>
      <c r="G50" s="205"/>
      <c r="H50" s="205"/>
      <c r="I50" s="205"/>
      <c r="J50" s="205"/>
      <c r="K50" s="205"/>
      <c r="L50" s="205"/>
      <c r="M50" s="205"/>
      <c r="N50" s="205"/>
      <c r="O50" s="206"/>
      <c r="P50" s="2"/>
      <c r="Q50" s="395" t="str">
        <f>IF(Roster!$A$10=0,"","#"&amp;Roster!$A$10)</f>
        <v>#9</v>
      </c>
      <c r="R50" s="205"/>
      <c r="S50" s="205"/>
      <c r="T50" s="205"/>
      <c r="U50" s="205"/>
      <c r="V50" s="205"/>
      <c r="W50" s="205"/>
      <c r="X50" s="205"/>
      <c r="Y50" s="205"/>
      <c r="Z50" s="205"/>
      <c r="AA50" s="205"/>
      <c r="AB50" s="205"/>
      <c r="AC50" s="205"/>
      <c r="AD50" s="206"/>
      <c r="AE50" s="2"/>
      <c r="AF50" s="395" t="str">
        <f>IF(Roster!$A$11=0,"","#"&amp;Roster!$A$11)</f>
        <v>#10</v>
      </c>
      <c r="AG50" s="205"/>
      <c r="AH50" s="205"/>
      <c r="AI50" s="205"/>
      <c r="AJ50" s="205"/>
      <c r="AK50" s="205"/>
      <c r="AL50" s="205"/>
      <c r="AM50" s="205"/>
      <c r="AN50" s="205"/>
      <c r="AO50" s="205"/>
      <c r="AP50" s="205"/>
      <c r="AQ50" s="205"/>
      <c r="AR50" s="205"/>
      <c r="AS50" s="206"/>
      <c r="AT50" s="2"/>
      <c r="AU50" s="395" t="str">
        <f>IF(Roster!$A$12=0,"","#"&amp;Roster!$A$12)</f>
        <v>#11</v>
      </c>
      <c r="AV50" s="205"/>
      <c r="AW50" s="205"/>
      <c r="AX50" s="205"/>
      <c r="AY50" s="205"/>
      <c r="AZ50" s="205"/>
      <c r="BA50" s="205"/>
      <c r="BB50" s="205"/>
      <c r="BC50" s="205"/>
      <c r="BD50" s="205"/>
      <c r="BE50" s="205"/>
      <c r="BF50" s="205"/>
      <c r="BG50" s="205"/>
      <c r="BH50" s="206"/>
      <c r="BI50" s="2"/>
    </row>
    <row r="51" spans="1:61" ht="15" customHeight="1">
      <c r="A51" s="2"/>
      <c r="B51" s="396"/>
      <c r="C51" s="398" t="str">
        <f>IF(Roster!$B$9=0,"",Roster!$B$9)</f>
        <v>Aramis</v>
      </c>
      <c r="D51" s="253"/>
      <c r="E51" s="253"/>
      <c r="F51" s="253"/>
      <c r="G51" s="253"/>
      <c r="H51" s="253"/>
      <c r="I51" s="253"/>
      <c r="J51" s="253"/>
      <c r="K51" s="253"/>
      <c r="L51" s="253"/>
      <c r="M51" s="253"/>
      <c r="N51" s="254"/>
      <c r="O51" s="207"/>
      <c r="P51" s="2"/>
      <c r="Q51" s="396"/>
      <c r="R51" s="398" t="str">
        <f>IF(Roster!$B$10=0,"",Roster!$B$10)</f>
        <v>D'Artagnan</v>
      </c>
      <c r="S51" s="253"/>
      <c r="T51" s="253"/>
      <c r="U51" s="253"/>
      <c r="V51" s="253"/>
      <c r="W51" s="253"/>
      <c r="X51" s="253"/>
      <c r="Y51" s="253"/>
      <c r="Z51" s="253"/>
      <c r="AA51" s="253"/>
      <c r="AB51" s="253"/>
      <c r="AC51" s="254"/>
      <c r="AD51" s="207"/>
      <c r="AE51" s="2"/>
      <c r="AF51" s="396"/>
      <c r="AG51" s="398" t="str">
        <f>IF(Roster!$B$11=0,"",Roster!$B$11)</f>
        <v>Gork</v>
      </c>
      <c r="AH51" s="253"/>
      <c r="AI51" s="253"/>
      <c r="AJ51" s="253"/>
      <c r="AK51" s="253"/>
      <c r="AL51" s="253"/>
      <c r="AM51" s="253"/>
      <c r="AN51" s="253"/>
      <c r="AO51" s="253"/>
      <c r="AP51" s="253"/>
      <c r="AQ51" s="253"/>
      <c r="AR51" s="254"/>
      <c r="AS51" s="207"/>
      <c r="AT51" s="2"/>
      <c r="AU51" s="396"/>
      <c r="AV51" s="398" t="str">
        <f>IF(Roster!$B$12=0,"",Roster!$B$12)</f>
        <v>Mork</v>
      </c>
      <c r="AW51" s="253"/>
      <c r="AX51" s="253"/>
      <c r="AY51" s="253"/>
      <c r="AZ51" s="253"/>
      <c r="BA51" s="253"/>
      <c r="BB51" s="253"/>
      <c r="BC51" s="253"/>
      <c r="BD51" s="253"/>
      <c r="BE51" s="253"/>
      <c r="BF51" s="253"/>
      <c r="BG51" s="254"/>
      <c r="BH51" s="207"/>
      <c r="BI51" s="2"/>
    </row>
    <row r="52" spans="1:61" ht="11.25" customHeight="1">
      <c r="A52" s="2"/>
      <c r="B52" s="397"/>
      <c r="C52" s="388" t="str">
        <f>IF(Roster!$C$9=0,"",Roster!$C$9)</f>
        <v>Big Un</v>
      </c>
      <c r="D52" s="253"/>
      <c r="E52" s="253"/>
      <c r="F52" s="253"/>
      <c r="G52" s="253"/>
      <c r="H52" s="253"/>
      <c r="I52" s="253"/>
      <c r="J52" s="253"/>
      <c r="K52" s="253"/>
      <c r="L52" s="253"/>
      <c r="M52" s="253"/>
      <c r="N52" s="254"/>
      <c r="O52" s="208"/>
      <c r="P52" s="2"/>
      <c r="Q52" s="397"/>
      <c r="R52" s="388" t="str">
        <f>IF(Roster!$C$10=0,"",Roster!$C$10)</f>
        <v>Big Un</v>
      </c>
      <c r="S52" s="253"/>
      <c r="T52" s="253"/>
      <c r="U52" s="253"/>
      <c r="V52" s="253"/>
      <c r="W52" s="253"/>
      <c r="X52" s="253"/>
      <c r="Y52" s="253"/>
      <c r="Z52" s="253"/>
      <c r="AA52" s="253"/>
      <c r="AB52" s="253"/>
      <c r="AC52" s="254"/>
      <c r="AD52" s="208"/>
      <c r="AE52" s="2"/>
      <c r="AF52" s="397"/>
      <c r="AG52" s="388" t="str">
        <f>IF(Roster!$C$11=0,"",Roster!$C$11)</f>
        <v>Lineman</v>
      </c>
      <c r="AH52" s="253"/>
      <c r="AI52" s="253"/>
      <c r="AJ52" s="253"/>
      <c r="AK52" s="253"/>
      <c r="AL52" s="253"/>
      <c r="AM52" s="253"/>
      <c r="AN52" s="253"/>
      <c r="AO52" s="253"/>
      <c r="AP52" s="253"/>
      <c r="AQ52" s="253"/>
      <c r="AR52" s="254"/>
      <c r="AS52" s="208"/>
      <c r="AT52" s="2"/>
      <c r="AU52" s="397"/>
      <c r="AV52" s="388" t="str">
        <f>IF(Roster!$C$12=0,"",Roster!$C$12)</f>
        <v>Lineman</v>
      </c>
      <c r="AW52" s="253"/>
      <c r="AX52" s="253"/>
      <c r="AY52" s="253"/>
      <c r="AZ52" s="253"/>
      <c r="BA52" s="253"/>
      <c r="BB52" s="253"/>
      <c r="BC52" s="253"/>
      <c r="BD52" s="253"/>
      <c r="BE52" s="253"/>
      <c r="BF52" s="253"/>
      <c r="BG52" s="254"/>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5</v>
      </c>
      <c r="C54" s="212"/>
      <c r="D54" s="399"/>
      <c r="E54" s="286"/>
      <c r="F54" s="286"/>
      <c r="G54" s="286"/>
      <c r="H54" s="286"/>
      <c r="I54" s="286"/>
      <c r="J54" s="286"/>
      <c r="K54" s="286"/>
      <c r="L54" s="286"/>
      <c r="M54" s="286"/>
      <c r="N54" s="287"/>
      <c r="O54" s="207"/>
      <c r="P54" s="2"/>
      <c r="Q54" s="214">
        <f>IF(Roster!$J$10=0,"",Roster!$J$10)</f>
        <v>5</v>
      </c>
      <c r="R54" s="212"/>
      <c r="S54" s="399"/>
      <c r="T54" s="286"/>
      <c r="U54" s="286"/>
      <c r="V54" s="286"/>
      <c r="W54" s="286"/>
      <c r="X54" s="286"/>
      <c r="Y54" s="286"/>
      <c r="Z54" s="286"/>
      <c r="AA54" s="286"/>
      <c r="AB54" s="286"/>
      <c r="AC54" s="287"/>
      <c r="AD54" s="207"/>
      <c r="AE54" s="2"/>
      <c r="AF54" s="214">
        <f>IF(Roster!$J$11=0,"",Roster!$J$11)</f>
        <v>5</v>
      </c>
      <c r="AG54" s="212"/>
      <c r="AH54" s="399"/>
      <c r="AI54" s="286"/>
      <c r="AJ54" s="286"/>
      <c r="AK54" s="286"/>
      <c r="AL54" s="286"/>
      <c r="AM54" s="286"/>
      <c r="AN54" s="286"/>
      <c r="AO54" s="286"/>
      <c r="AP54" s="286"/>
      <c r="AQ54" s="286"/>
      <c r="AR54" s="287"/>
      <c r="AS54" s="207"/>
      <c r="AT54" s="2"/>
      <c r="AU54" s="214">
        <f>IF(Roster!$J$12=0,"",Roster!$J$12)</f>
        <v>5</v>
      </c>
      <c r="AV54" s="212"/>
      <c r="AW54" s="399"/>
      <c r="AX54" s="286"/>
      <c r="AY54" s="286"/>
      <c r="AZ54" s="286"/>
      <c r="BA54" s="286"/>
      <c r="BB54" s="286"/>
      <c r="BC54" s="286"/>
      <c r="BD54" s="286"/>
      <c r="BE54" s="286"/>
      <c r="BF54" s="286"/>
      <c r="BG54" s="287"/>
      <c r="BH54" s="207"/>
      <c r="BI54" s="2"/>
    </row>
    <row r="55" spans="1:61" ht="11.25" customHeight="1">
      <c r="A55" s="2"/>
      <c r="B55" s="211" t="str">
        <f>IF(Roster!$K$1=0,"",Roster!$K$1)</f>
        <v>ST</v>
      </c>
      <c r="C55" s="212"/>
      <c r="D55" s="312"/>
      <c r="E55" s="279"/>
      <c r="F55" s="279"/>
      <c r="G55" s="279"/>
      <c r="H55" s="279"/>
      <c r="I55" s="279"/>
      <c r="J55" s="279"/>
      <c r="K55" s="279"/>
      <c r="L55" s="279"/>
      <c r="M55" s="279"/>
      <c r="N55" s="313"/>
      <c r="O55" s="207"/>
      <c r="P55" s="2"/>
      <c r="Q55" s="211" t="str">
        <f>IF(Roster!$K$1=0,"",Roster!$K$1)</f>
        <v>ST</v>
      </c>
      <c r="R55" s="212"/>
      <c r="S55" s="312"/>
      <c r="T55" s="279"/>
      <c r="U55" s="279"/>
      <c r="V55" s="279"/>
      <c r="W55" s="279"/>
      <c r="X55" s="279"/>
      <c r="Y55" s="279"/>
      <c r="Z55" s="279"/>
      <c r="AA55" s="279"/>
      <c r="AB55" s="279"/>
      <c r="AC55" s="313"/>
      <c r="AD55" s="207"/>
      <c r="AE55" s="2"/>
      <c r="AF55" s="211" t="str">
        <f>IF(Roster!$K$1=0,"",Roster!$K$1)</f>
        <v>ST</v>
      </c>
      <c r="AG55" s="212"/>
      <c r="AH55" s="312"/>
      <c r="AI55" s="279"/>
      <c r="AJ55" s="279"/>
      <c r="AK55" s="279"/>
      <c r="AL55" s="279"/>
      <c r="AM55" s="279"/>
      <c r="AN55" s="279"/>
      <c r="AO55" s="279"/>
      <c r="AP55" s="279"/>
      <c r="AQ55" s="279"/>
      <c r="AR55" s="313"/>
      <c r="AS55" s="207"/>
      <c r="AT55" s="2"/>
      <c r="AU55" s="211" t="str">
        <f>IF(Roster!$K$1=0,"",Roster!$K$1)</f>
        <v>ST</v>
      </c>
      <c r="AV55" s="212"/>
      <c r="AW55" s="312"/>
      <c r="AX55" s="279"/>
      <c r="AY55" s="279"/>
      <c r="AZ55" s="279"/>
      <c r="BA55" s="279"/>
      <c r="BB55" s="279"/>
      <c r="BC55" s="279"/>
      <c r="BD55" s="279"/>
      <c r="BE55" s="279"/>
      <c r="BF55" s="279"/>
      <c r="BG55" s="313"/>
      <c r="BH55" s="207"/>
      <c r="BI55" s="2"/>
    </row>
    <row r="56" spans="1:61" ht="37.5" customHeight="1">
      <c r="A56" s="2"/>
      <c r="B56" s="214">
        <f>IF(Roster!$K$9=0,"",Roster!$K$9)</f>
        <v>4</v>
      </c>
      <c r="C56" s="212"/>
      <c r="D56" s="312"/>
      <c r="E56" s="279"/>
      <c r="F56" s="279"/>
      <c r="G56" s="279"/>
      <c r="H56" s="279"/>
      <c r="I56" s="279"/>
      <c r="J56" s="279"/>
      <c r="K56" s="279"/>
      <c r="L56" s="279"/>
      <c r="M56" s="279"/>
      <c r="N56" s="313"/>
      <c r="O56" s="207"/>
      <c r="P56" s="2"/>
      <c r="Q56" s="214">
        <f>IF(Roster!$K$10=0,"",Roster!$K$10)</f>
        <v>4</v>
      </c>
      <c r="R56" s="212"/>
      <c r="S56" s="312"/>
      <c r="T56" s="279"/>
      <c r="U56" s="279"/>
      <c r="V56" s="279"/>
      <c r="W56" s="279"/>
      <c r="X56" s="279"/>
      <c r="Y56" s="279"/>
      <c r="Z56" s="279"/>
      <c r="AA56" s="279"/>
      <c r="AB56" s="279"/>
      <c r="AC56" s="313"/>
      <c r="AD56" s="207"/>
      <c r="AE56" s="2"/>
      <c r="AF56" s="214">
        <f>IF(Roster!$K$11=0,"",Roster!$K$11)</f>
        <v>3</v>
      </c>
      <c r="AG56" s="212"/>
      <c r="AH56" s="312"/>
      <c r="AI56" s="279"/>
      <c r="AJ56" s="279"/>
      <c r="AK56" s="279"/>
      <c r="AL56" s="279"/>
      <c r="AM56" s="279"/>
      <c r="AN56" s="279"/>
      <c r="AO56" s="279"/>
      <c r="AP56" s="279"/>
      <c r="AQ56" s="279"/>
      <c r="AR56" s="313"/>
      <c r="AS56" s="207"/>
      <c r="AT56" s="2"/>
      <c r="AU56" s="214">
        <f>IF(Roster!$K$12=0,"",Roster!$K$12)</f>
        <v>3</v>
      </c>
      <c r="AV56" s="212"/>
      <c r="AW56" s="312"/>
      <c r="AX56" s="279"/>
      <c r="AY56" s="279"/>
      <c r="AZ56" s="279"/>
      <c r="BA56" s="279"/>
      <c r="BB56" s="279"/>
      <c r="BC56" s="279"/>
      <c r="BD56" s="279"/>
      <c r="BE56" s="279"/>
      <c r="BF56" s="279"/>
      <c r="BG56" s="313"/>
      <c r="BH56" s="207"/>
      <c r="BI56" s="2"/>
    </row>
    <row r="57" spans="1:61" ht="11.25" customHeight="1">
      <c r="A57" s="2"/>
      <c r="B57" s="211" t="str">
        <f>IF(Roster!$L$1=0,"",Roster!$L$1)</f>
        <v>AG</v>
      </c>
      <c r="C57" s="212"/>
      <c r="D57" s="312"/>
      <c r="E57" s="279"/>
      <c r="F57" s="279"/>
      <c r="G57" s="279"/>
      <c r="H57" s="279"/>
      <c r="I57" s="279"/>
      <c r="J57" s="279"/>
      <c r="K57" s="279"/>
      <c r="L57" s="279"/>
      <c r="M57" s="279"/>
      <c r="N57" s="313"/>
      <c r="O57" s="207"/>
      <c r="P57" s="2"/>
      <c r="Q57" s="211" t="str">
        <f>IF(Roster!$L$1=0,"",Roster!$L$1)</f>
        <v>AG</v>
      </c>
      <c r="R57" s="212"/>
      <c r="S57" s="312"/>
      <c r="T57" s="279"/>
      <c r="U57" s="279"/>
      <c r="V57" s="279"/>
      <c r="W57" s="279"/>
      <c r="X57" s="279"/>
      <c r="Y57" s="279"/>
      <c r="Z57" s="279"/>
      <c r="AA57" s="279"/>
      <c r="AB57" s="279"/>
      <c r="AC57" s="313"/>
      <c r="AD57" s="207"/>
      <c r="AE57" s="2"/>
      <c r="AF57" s="211" t="str">
        <f>IF(Roster!$L$1=0,"",Roster!$L$1)</f>
        <v>AG</v>
      </c>
      <c r="AG57" s="212"/>
      <c r="AH57" s="312"/>
      <c r="AI57" s="279"/>
      <c r="AJ57" s="279"/>
      <c r="AK57" s="279"/>
      <c r="AL57" s="279"/>
      <c r="AM57" s="279"/>
      <c r="AN57" s="279"/>
      <c r="AO57" s="279"/>
      <c r="AP57" s="279"/>
      <c r="AQ57" s="279"/>
      <c r="AR57" s="313"/>
      <c r="AS57" s="207"/>
      <c r="AT57" s="2"/>
      <c r="AU57" s="211" t="str">
        <f>IF(Roster!$L$1=0,"",Roster!$L$1)</f>
        <v>AG</v>
      </c>
      <c r="AV57" s="212"/>
      <c r="AW57" s="312"/>
      <c r="AX57" s="279"/>
      <c r="AY57" s="279"/>
      <c r="AZ57" s="279"/>
      <c r="BA57" s="279"/>
      <c r="BB57" s="279"/>
      <c r="BC57" s="279"/>
      <c r="BD57" s="279"/>
      <c r="BE57" s="279"/>
      <c r="BF57" s="279"/>
      <c r="BG57" s="313"/>
      <c r="BH57" s="207"/>
      <c r="BI57" s="2"/>
    </row>
    <row r="58" spans="1:61" ht="37.5" customHeight="1">
      <c r="A58" s="2"/>
      <c r="B58" s="214" t="str">
        <f>IF(Roster!$L$9=0&amp;"+","",Roster!$L$9)</f>
        <v>4+</v>
      </c>
      <c r="C58" s="212"/>
      <c r="D58" s="312"/>
      <c r="E58" s="279"/>
      <c r="F58" s="279"/>
      <c r="G58" s="279"/>
      <c r="H58" s="279"/>
      <c r="I58" s="279"/>
      <c r="J58" s="279"/>
      <c r="K58" s="279"/>
      <c r="L58" s="279"/>
      <c r="M58" s="279"/>
      <c r="N58" s="313"/>
      <c r="O58" s="207"/>
      <c r="P58" s="2"/>
      <c r="Q58" s="214" t="str">
        <f>IF(Roster!$L$10=0&amp;"+","",Roster!$L$10)</f>
        <v>4+</v>
      </c>
      <c r="R58" s="212"/>
      <c r="S58" s="312"/>
      <c r="T58" s="279"/>
      <c r="U58" s="279"/>
      <c r="V58" s="279"/>
      <c r="W58" s="279"/>
      <c r="X58" s="279"/>
      <c r="Y58" s="279"/>
      <c r="Z58" s="279"/>
      <c r="AA58" s="279"/>
      <c r="AB58" s="279"/>
      <c r="AC58" s="313"/>
      <c r="AD58" s="207"/>
      <c r="AE58" s="2"/>
      <c r="AF58" s="214" t="str">
        <f>IF(Roster!$L$11=0&amp;"+","",Roster!$L$11)</f>
        <v>3+</v>
      </c>
      <c r="AG58" s="212"/>
      <c r="AH58" s="312"/>
      <c r="AI58" s="279"/>
      <c r="AJ58" s="279"/>
      <c r="AK58" s="279"/>
      <c r="AL58" s="279"/>
      <c r="AM58" s="279"/>
      <c r="AN58" s="279"/>
      <c r="AO58" s="279"/>
      <c r="AP58" s="279"/>
      <c r="AQ58" s="279"/>
      <c r="AR58" s="313"/>
      <c r="AS58" s="207"/>
      <c r="AT58" s="2"/>
      <c r="AU58" s="214" t="str">
        <f>IF(Roster!$L$12=0&amp;"+","",Roster!$L$12)</f>
        <v>3+</v>
      </c>
      <c r="AV58" s="212"/>
      <c r="AW58" s="312"/>
      <c r="AX58" s="279"/>
      <c r="AY58" s="279"/>
      <c r="AZ58" s="279"/>
      <c r="BA58" s="279"/>
      <c r="BB58" s="279"/>
      <c r="BC58" s="279"/>
      <c r="BD58" s="279"/>
      <c r="BE58" s="279"/>
      <c r="BF58" s="279"/>
      <c r="BG58" s="313"/>
      <c r="BH58" s="207"/>
      <c r="BI58" s="2"/>
    </row>
    <row r="59" spans="1:61" ht="11.25" customHeight="1">
      <c r="A59" s="2"/>
      <c r="B59" s="211" t="str">
        <f>IF(Roster!$M$1=0,"",Roster!$M$1)</f>
        <v>PA</v>
      </c>
      <c r="C59" s="212"/>
      <c r="D59" s="312"/>
      <c r="E59" s="279"/>
      <c r="F59" s="279"/>
      <c r="G59" s="279"/>
      <c r="H59" s="279"/>
      <c r="I59" s="279"/>
      <c r="J59" s="279"/>
      <c r="K59" s="279"/>
      <c r="L59" s="279"/>
      <c r="M59" s="279"/>
      <c r="N59" s="313"/>
      <c r="O59" s="216"/>
      <c r="P59" s="2"/>
      <c r="Q59" s="211" t="str">
        <f>IF(Roster!$M$1=0,"",Roster!$M$1)</f>
        <v>PA</v>
      </c>
      <c r="R59" s="212"/>
      <c r="S59" s="312"/>
      <c r="T59" s="279"/>
      <c r="U59" s="279"/>
      <c r="V59" s="279"/>
      <c r="W59" s="279"/>
      <c r="X59" s="279"/>
      <c r="Y59" s="279"/>
      <c r="Z59" s="279"/>
      <c r="AA59" s="279"/>
      <c r="AB59" s="279"/>
      <c r="AC59" s="313"/>
      <c r="AD59" s="216"/>
      <c r="AE59" s="2"/>
      <c r="AF59" s="211" t="str">
        <f>IF(Roster!$M$1=0,"",Roster!$M$1)</f>
        <v>PA</v>
      </c>
      <c r="AG59" s="212"/>
      <c r="AH59" s="312"/>
      <c r="AI59" s="279"/>
      <c r="AJ59" s="279"/>
      <c r="AK59" s="279"/>
      <c r="AL59" s="279"/>
      <c r="AM59" s="279"/>
      <c r="AN59" s="279"/>
      <c r="AO59" s="279"/>
      <c r="AP59" s="279"/>
      <c r="AQ59" s="279"/>
      <c r="AR59" s="313"/>
      <c r="AS59" s="216"/>
      <c r="AT59" s="2"/>
      <c r="AU59" s="211" t="str">
        <f>IF(Roster!$M$1=0,"",Roster!$M$1)</f>
        <v>PA</v>
      </c>
      <c r="AV59" s="212"/>
      <c r="AW59" s="312"/>
      <c r="AX59" s="279"/>
      <c r="AY59" s="279"/>
      <c r="AZ59" s="279"/>
      <c r="BA59" s="279"/>
      <c r="BB59" s="279"/>
      <c r="BC59" s="279"/>
      <c r="BD59" s="279"/>
      <c r="BE59" s="279"/>
      <c r="BF59" s="279"/>
      <c r="BG59" s="313"/>
      <c r="BH59" s="216"/>
      <c r="BI59" s="2"/>
    </row>
    <row r="60" spans="1:61" ht="6" customHeight="1">
      <c r="A60" s="2"/>
      <c r="B60" s="403" t="str">
        <f>IF(Roster!$M$9=0&amp;"+","",Roster!$M$9)</f>
        <v/>
      </c>
      <c r="C60" s="212"/>
      <c r="D60" s="288"/>
      <c r="E60" s="289"/>
      <c r="F60" s="289"/>
      <c r="G60" s="289"/>
      <c r="H60" s="289"/>
      <c r="I60" s="289"/>
      <c r="J60" s="289"/>
      <c r="K60" s="289"/>
      <c r="L60" s="289"/>
      <c r="M60" s="289"/>
      <c r="N60" s="290"/>
      <c r="O60" s="218"/>
      <c r="P60" s="2"/>
      <c r="Q60" s="403" t="str">
        <f>IF(Roster!$M$10=0&amp;"+","",Roster!$M$10)</f>
        <v/>
      </c>
      <c r="R60" s="212"/>
      <c r="S60" s="288"/>
      <c r="T60" s="289"/>
      <c r="U60" s="289"/>
      <c r="V60" s="289"/>
      <c r="W60" s="289"/>
      <c r="X60" s="289"/>
      <c r="Y60" s="289"/>
      <c r="Z60" s="289"/>
      <c r="AA60" s="289"/>
      <c r="AB60" s="289"/>
      <c r="AC60" s="290"/>
      <c r="AD60" s="218"/>
      <c r="AE60" s="2"/>
      <c r="AF60" s="403" t="str">
        <f>IF(Roster!$M$11=0&amp;"+","",Roster!$M$11)</f>
        <v>4+</v>
      </c>
      <c r="AG60" s="212"/>
      <c r="AH60" s="288"/>
      <c r="AI60" s="289"/>
      <c r="AJ60" s="289"/>
      <c r="AK60" s="289"/>
      <c r="AL60" s="289"/>
      <c r="AM60" s="289"/>
      <c r="AN60" s="289"/>
      <c r="AO60" s="289"/>
      <c r="AP60" s="289"/>
      <c r="AQ60" s="289"/>
      <c r="AR60" s="290"/>
      <c r="AS60" s="218"/>
      <c r="AT60" s="2"/>
      <c r="AU60" s="403" t="str">
        <f>IF(Roster!$M$12=0&amp;"+","",Roster!$M$12)</f>
        <v>4+</v>
      </c>
      <c r="AV60" s="212"/>
      <c r="AW60" s="288"/>
      <c r="AX60" s="289"/>
      <c r="AY60" s="289"/>
      <c r="AZ60" s="289"/>
      <c r="BA60" s="289"/>
      <c r="BB60" s="289"/>
      <c r="BC60" s="289"/>
      <c r="BD60" s="289"/>
      <c r="BE60" s="289"/>
      <c r="BF60" s="289"/>
      <c r="BG60" s="290"/>
      <c r="BH60" s="218"/>
      <c r="BI60" s="2"/>
    </row>
    <row r="61" spans="1:61" ht="4.5" customHeight="1">
      <c r="A61" s="2"/>
      <c r="B61" s="404"/>
      <c r="C61" s="210"/>
      <c r="D61" s="219"/>
      <c r="E61" s="217"/>
      <c r="F61" s="219"/>
      <c r="G61" s="217"/>
      <c r="H61" s="219"/>
      <c r="I61" s="217"/>
      <c r="J61" s="219"/>
      <c r="K61" s="217"/>
      <c r="L61" s="219"/>
      <c r="M61" s="217"/>
      <c r="N61" s="219"/>
      <c r="O61" s="218"/>
      <c r="P61" s="2"/>
      <c r="Q61" s="404"/>
      <c r="R61" s="210"/>
      <c r="S61" s="219"/>
      <c r="T61" s="217"/>
      <c r="U61" s="219"/>
      <c r="V61" s="217"/>
      <c r="W61" s="219"/>
      <c r="X61" s="217"/>
      <c r="Y61" s="219"/>
      <c r="Z61" s="217"/>
      <c r="AA61" s="219"/>
      <c r="AB61" s="217"/>
      <c r="AC61" s="219"/>
      <c r="AD61" s="218"/>
      <c r="AE61" s="2"/>
      <c r="AF61" s="404"/>
      <c r="AG61" s="210"/>
      <c r="AH61" s="219"/>
      <c r="AI61" s="217"/>
      <c r="AJ61" s="219"/>
      <c r="AK61" s="217"/>
      <c r="AL61" s="219"/>
      <c r="AM61" s="217"/>
      <c r="AN61" s="219"/>
      <c r="AO61" s="217"/>
      <c r="AP61" s="219"/>
      <c r="AQ61" s="217"/>
      <c r="AR61" s="219"/>
      <c r="AS61" s="218"/>
      <c r="AT61" s="2"/>
      <c r="AU61" s="404"/>
      <c r="AV61" s="210"/>
      <c r="AW61" s="219"/>
      <c r="AX61" s="217"/>
      <c r="AY61" s="219"/>
      <c r="AZ61" s="217"/>
      <c r="BA61" s="219"/>
      <c r="BB61" s="217"/>
      <c r="BC61" s="219"/>
      <c r="BD61" s="217"/>
      <c r="BE61" s="219"/>
      <c r="BF61" s="217"/>
      <c r="BG61" s="219"/>
      <c r="BH61" s="218"/>
      <c r="BI61" s="2"/>
    </row>
    <row r="62" spans="1:61" ht="11.25" customHeight="1">
      <c r="A62" s="2"/>
      <c r="B62" s="404"/>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404"/>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404"/>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404"/>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404"/>
      <c r="C63" s="213"/>
      <c r="D63" s="222" t="str">
        <f>IF(Roster!$AC$9=0,"",Roster!$AC$9)</f>
        <v/>
      </c>
      <c r="E63" s="223"/>
      <c r="F63" s="222">
        <f>IF((SUM(H63,J63,L63))=0,"",(SUM(H63,J63,L63)))</f>
        <v>3</v>
      </c>
      <c r="G63" s="223"/>
      <c r="H63" s="222">
        <f>IF(Roster!$AF$9=0,"",Roster!$AF$9)</f>
        <v>2</v>
      </c>
      <c r="I63" s="223"/>
      <c r="J63" s="222">
        <f>IF(Roster!$AG$9=0,"",Roster!$AG$9)</f>
        <v>1</v>
      </c>
      <c r="K63" s="223"/>
      <c r="L63" s="222" t="str">
        <f>IF(Roster!$AH$9=0,"",Roster!$AH$9)</f>
        <v/>
      </c>
      <c r="M63" s="223"/>
      <c r="N63" s="222" t="str">
        <f>IF(Roster!$AB$9=0,"",Roster!$AB$9)</f>
        <v/>
      </c>
      <c r="O63" s="218"/>
      <c r="P63" s="2"/>
      <c r="Q63" s="404"/>
      <c r="R63" s="213"/>
      <c r="S63" s="222" t="str">
        <f>IF(Roster!$AC$10=0,"",Roster!$AC$10)</f>
        <v/>
      </c>
      <c r="T63" s="223"/>
      <c r="U63" s="222">
        <f>IF((SUM(W63,Y63,AA63))=0,"",(SUM(W63,Y63,AA63)))</f>
        <v>1</v>
      </c>
      <c r="V63" s="223"/>
      <c r="W63" s="222" t="str">
        <f>IF(Roster!$AF$10=0,"",Roster!$AF$10)</f>
        <v/>
      </c>
      <c r="X63" s="223"/>
      <c r="Y63" s="222">
        <f>IF(Roster!$AG$10=0,"",Roster!$AG$10)</f>
        <v>1</v>
      </c>
      <c r="Z63" s="223"/>
      <c r="AA63" s="222" t="str">
        <f>IF(Roster!$AH$10=0,"",Roster!$AH$10)</f>
        <v/>
      </c>
      <c r="AB63" s="223"/>
      <c r="AC63" s="222" t="str">
        <f>IF(Roster!$AB$10=0,"",Roster!$AB$10)</f>
        <v/>
      </c>
      <c r="AD63" s="218"/>
      <c r="AE63" s="2"/>
      <c r="AF63" s="404"/>
      <c r="AG63" s="213"/>
      <c r="AH63" s="222" t="str">
        <f>IF(Roster!$AC$11=0,"",Roster!$AC$11)</f>
        <v/>
      </c>
      <c r="AI63" s="223"/>
      <c r="AJ63" s="222">
        <f>IF((SUM(AL63,AN63,AP63))=0,"",(SUM(AL63,AN63,AP63)))</f>
        <v>1</v>
      </c>
      <c r="AK63" s="223"/>
      <c r="AL63" s="222" t="str">
        <f>IF(Roster!$AF$11=0,"",Roster!$AF$11)</f>
        <v/>
      </c>
      <c r="AM63" s="223"/>
      <c r="AN63" s="222">
        <f>IF(Roster!$AG$11=0,"",Roster!$AG$11)</f>
        <v>1</v>
      </c>
      <c r="AO63" s="223"/>
      <c r="AP63" s="222" t="str">
        <f>IF(Roster!$AH$11=0,"",Roster!$AH$11)</f>
        <v/>
      </c>
      <c r="AQ63" s="223"/>
      <c r="AR63" s="222">
        <f>IF(Roster!$AB$11=0,"",Roster!$AB$11)</f>
        <v>1</v>
      </c>
      <c r="AS63" s="218"/>
      <c r="AT63" s="2"/>
      <c r="AU63" s="404"/>
      <c r="AV63" s="213"/>
      <c r="AW63" s="222" t="str">
        <f>IF(Roster!$AC$12=0,"",Roster!$AC$12)</f>
        <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309"/>
      <c r="C64" s="213"/>
      <c r="D64" s="45"/>
      <c r="E64" s="223"/>
      <c r="F64" s="45"/>
      <c r="G64" s="223"/>
      <c r="H64" s="45"/>
      <c r="I64" s="223"/>
      <c r="J64" s="45"/>
      <c r="K64" s="223"/>
      <c r="L64" s="45"/>
      <c r="M64" s="223"/>
      <c r="N64" s="45"/>
      <c r="O64" s="218"/>
      <c r="P64" s="2"/>
      <c r="Q64" s="309"/>
      <c r="R64" s="213"/>
      <c r="S64" s="45"/>
      <c r="T64" s="223"/>
      <c r="U64" s="45"/>
      <c r="V64" s="223"/>
      <c r="W64" s="45"/>
      <c r="X64" s="223"/>
      <c r="Y64" s="45"/>
      <c r="Z64" s="223"/>
      <c r="AA64" s="45"/>
      <c r="AB64" s="223"/>
      <c r="AC64" s="45"/>
      <c r="AD64" s="218"/>
      <c r="AE64" s="2"/>
      <c r="AF64" s="309"/>
      <c r="AG64" s="213"/>
      <c r="AH64" s="45"/>
      <c r="AI64" s="223"/>
      <c r="AJ64" s="45"/>
      <c r="AK64" s="223"/>
      <c r="AL64" s="45"/>
      <c r="AM64" s="223"/>
      <c r="AN64" s="45"/>
      <c r="AO64" s="223"/>
      <c r="AP64" s="45"/>
      <c r="AQ64" s="223"/>
      <c r="AR64" s="45"/>
      <c r="AS64" s="218"/>
      <c r="AT64" s="2"/>
      <c r="AU64" s="309"/>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403" t="str">
        <f>IF(Roster!$N$9=0&amp;"+","",Roster!$N$9)</f>
        <v>10+</v>
      </c>
      <c r="C66" s="213"/>
      <c r="D66" s="222" t="str">
        <f>IF(Roster!$AD$9=0,"",Roster!$AD$9)</f>
        <v/>
      </c>
      <c r="E66" s="223"/>
      <c r="F66" s="222" t="str">
        <f>IF(Roster!$AE$9=0,"",Roster!$AE$9)</f>
        <v/>
      </c>
      <c r="G66" s="223"/>
      <c r="H66" s="222" t="str">
        <f>IF(Roster!$AA$9=0,"",Roster!$AA$9)</f>
        <v/>
      </c>
      <c r="I66" s="223"/>
      <c r="J66" s="222">
        <f>IF(Roster!$AI$9=0,"",Roster!$AI$9)</f>
        <v>1</v>
      </c>
      <c r="K66" s="223"/>
      <c r="L66" s="222">
        <f>IF(Roster!$AJ$9=0,"",Roster!$AJ$9)</f>
        <v>10</v>
      </c>
      <c r="M66" s="223"/>
      <c r="N66" s="222" t="str">
        <f>IF(Roster!$Z$9=0,"",Roster!$Z$9)</f>
        <v/>
      </c>
      <c r="O66" s="226"/>
      <c r="P66" s="2"/>
      <c r="Q66" s="403" t="str">
        <f>IF(Roster!$N$10=0&amp;"+","",Roster!$N$10)</f>
        <v>10+</v>
      </c>
      <c r="R66" s="213"/>
      <c r="S66" s="222" t="str">
        <f>IF(Roster!$AD$10=0,"",Roster!$AD$10)</f>
        <v/>
      </c>
      <c r="T66" s="223"/>
      <c r="U66" s="222" t="str">
        <f>IF(Roster!$AE$10=0,"",Roster!$AE$10)</f>
        <v/>
      </c>
      <c r="V66" s="223"/>
      <c r="W66" s="222" t="str">
        <f>IF(Roster!$AA$10=0,"",Roster!$AA$10)</f>
        <v/>
      </c>
      <c r="X66" s="223"/>
      <c r="Y66" s="222">
        <f>IF(Roster!$AI$10=0,"",Roster!$AI$10)</f>
        <v>1</v>
      </c>
      <c r="Z66" s="223"/>
      <c r="AA66" s="222">
        <f>IF(Roster!$AJ$10=0,"",Roster!$AJ$10)</f>
        <v>6</v>
      </c>
      <c r="AB66" s="223"/>
      <c r="AC66" s="222" t="str">
        <f>IF(Roster!$Z$10=0,"",Roster!$Z$10)</f>
        <v/>
      </c>
      <c r="AD66" s="226"/>
      <c r="AE66" s="2"/>
      <c r="AF66" s="403" t="str">
        <f>IF(Roster!$N$11=0&amp;"+","",Roster!$N$11)</f>
        <v>10+</v>
      </c>
      <c r="AG66" s="213"/>
      <c r="AH66" s="222" t="str">
        <f>IF(Roster!$AD$11=0,"",Roster!$AD$11)</f>
        <v/>
      </c>
      <c r="AI66" s="223"/>
      <c r="AJ66" s="222" t="str">
        <f>IF(Roster!$AE$11=0,"",Roster!$AE$11)</f>
        <v/>
      </c>
      <c r="AK66" s="223"/>
      <c r="AL66" s="222" t="str">
        <f>IF(Roster!$AA$11=0,"",Roster!$AA$11)</f>
        <v/>
      </c>
      <c r="AM66" s="223"/>
      <c r="AN66" s="222">
        <f>IF(Roster!$AI$11=0,"",Roster!$AI$11)</f>
        <v>1</v>
      </c>
      <c r="AO66" s="223"/>
      <c r="AP66" s="222">
        <f>IF(Roster!$AJ$11=0,"",Roster!$AJ$11)</f>
        <v>7</v>
      </c>
      <c r="AQ66" s="223"/>
      <c r="AR66" s="222" t="str">
        <f>IF(Roster!$Z$11=0,"",Roster!$Z$11)</f>
        <v/>
      </c>
      <c r="AS66" s="226"/>
      <c r="AT66" s="2"/>
      <c r="AU66" s="403" t="str">
        <f>IF(Roster!$N$12=0&amp;"+","",Roster!$N$12)</f>
        <v>10+</v>
      </c>
      <c r="AV66" s="213"/>
      <c r="AW66" s="222" t="str">
        <f>IF(Roster!$AD$12=0,"",Roster!$AD$12)</f>
        <v/>
      </c>
      <c r="AX66" s="223"/>
      <c r="AY66" s="222" t="str">
        <f>IF(Roster!$AE$12=0,"",Roster!$AE$12)</f>
        <v/>
      </c>
      <c r="AZ66" s="223"/>
      <c r="BA66" s="222" t="str">
        <f>IF(Roster!$AA$12=0,"",Roster!$AA$12)</f>
        <v/>
      </c>
      <c r="BB66" s="223"/>
      <c r="BC66" s="222" t="str">
        <f>IF(Roster!$AI$12=0,"",Roster!$AI$12)</f>
        <v/>
      </c>
      <c r="BD66" s="223"/>
      <c r="BE66" s="222" t="str">
        <f>IF(Roster!$AJ$12=0,"",Roster!$AJ$12)</f>
        <v/>
      </c>
      <c r="BF66" s="223"/>
      <c r="BG66" s="222" t="str">
        <f>IF(Roster!$Z$12=0,"",Roster!$Z$12)</f>
        <v/>
      </c>
      <c r="BH66" s="226"/>
      <c r="BI66" s="2"/>
    </row>
    <row r="67" spans="1:61" ht="4.5" customHeight="1">
      <c r="A67" s="2"/>
      <c r="B67" s="404"/>
      <c r="C67" s="213"/>
      <c r="D67" s="223"/>
      <c r="E67" s="223"/>
      <c r="F67" s="223"/>
      <c r="G67" s="223"/>
      <c r="H67" s="223"/>
      <c r="I67" s="223"/>
      <c r="J67" s="223"/>
      <c r="K67" s="223"/>
      <c r="L67" s="223"/>
      <c r="M67" s="223"/>
      <c r="N67" s="227"/>
      <c r="O67" s="226"/>
      <c r="P67" s="2"/>
      <c r="Q67" s="404"/>
      <c r="R67" s="213"/>
      <c r="S67" s="223"/>
      <c r="T67" s="223"/>
      <c r="U67" s="223"/>
      <c r="V67" s="223"/>
      <c r="W67" s="223"/>
      <c r="X67" s="223"/>
      <c r="Y67" s="223"/>
      <c r="Z67" s="223"/>
      <c r="AA67" s="223"/>
      <c r="AB67" s="223"/>
      <c r="AC67" s="227"/>
      <c r="AD67" s="226"/>
      <c r="AE67" s="2"/>
      <c r="AF67" s="404"/>
      <c r="AG67" s="213"/>
      <c r="AH67" s="223"/>
      <c r="AI67" s="223"/>
      <c r="AJ67" s="223"/>
      <c r="AK67" s="223"/>
      <c r="AL67" s="223"/>
      <c r="AM67" s="223"/>
      <c r="AN67" s="223"/>
      <c r="AO67" s="223"/>
      <c r="AP67" s="223"/>
      <c r="AQ67" s="223"/>
      <c r="AR67" s="227"/>
      <c r="AS67" s="226"/>
      <c r="AT67" s="2"/>
      <c r="AU67" s="404"/>
      <c r="AV67" s="213"/>
      <c r="AW67" s="223"/>
      <c r="AX67" s="223"/>
      <c r="AY67" s="223"/>
      <c r="AZ67" s="223"/>
      <c r="BA67" s="223"/>
      <c r="BB67" s="223"/>
      <c r="BC67" s="223"/>
      <c r="BD67" s="223"/>
      <c r="BE67" s="223"/>
      <c r="BF67" s="223"/>
      <c r="BG67" s="227"/>
      <c r="BH67" s="226"/>
      <c r="BI67" s="2"/>
    </row>
    <row r="68" spans="1:61" ht="11.25" customHeight="1">
      <c r="A68" s="2"/>
      <c r="B68" s="404"/>
      <c r="C68" s="213"/>
      <c r="D68" s="380" t="str">
        <f>IF(Roster!$J$25="Italiano","ABILITÀ &amp; TRATTI",(IF(Roster!$J$25="Español","HABILIDADES Y RASGOS","SKILLS &amp; TRAITS")))</f>
        <v>ABILITÀ &amp; TRATTI</v>
      </c>
      <c r="E68" s="315"/>
      <c r="F68" s="315"/>
      <c r="G68" s="315"/>
      <c r="H68" s="315"/>
      <c r="I68" s="315"/>
      <c r="J68" s="315"/>
      <c r="K68" s="315"/>
      <c r="L68" s="315"/>
      <c r="M68" s="315"/>
      <c r="N68" s="381"/>
      <c r="O68" s="226"/>
      <c r="P68" s="2"/>
      <c r="Q68" s="404"/>
      <c r="R68" s="213"/>
      <c r="S68" s="380" t="str">
        <f>IF(Roster!$J$25="Italiano","ABILITÀ &amp; TRATTI",(IF(Roster!$J$25="Español","HABILIDADES Y RASGOS","SKILLS &amp; TRAITS")))</f>
        <v>ABILITÀ &amp; TRATTI</v>
      </c>
      <c r="T68" s="315"/>
      <c r="U68" s="315"/>
      <c r="V68" s="315"/>
      <c r="W68" s="315"/>
      <c r="X68" s="315"/>
      <c r="Y68" s="315"/>
      <c r="Z68" s="315"/>
      <c r="AA68" s="315"/>
      <c r="AB68" s="315"/>
      <c r="AC68" s="381"/>
      <c r="AD68" s="226"/>
      <c r="AE68" s="2"/>
      <c r="AF68" s="404"/>
      <c r="AG68" s="213"/>
      <c r="AH68" s="380" t="str">
        <f>IF(Roster!$J$25="Italiano","ABILITÀ &amp; TRATTI",(IF(Roster!$J$25="Español","HABILIDADES Y RASGOS","SKILLS &amp; TRAITS")))</f>
        <v>ABILITÀ &amp; TRATTI</v>
      </c>
      <c r="AI68" s="315"/>
      <c r="AJ68" s="315"/>
      <c r="AK68" s="315"/>
      <c r="AL68" s="315"/>
      <c r="AM68" s="315"/>
      <c r="AN68" s="315"/>
      <c r="AO68" s="315"/>
      <c r="AP68" s="315"/>
      <c r="AQ68" s="315"/>
      <c r="AR68" s="381"/>
      <c r="AS68" s="226"/>
      <c r="AT68" s="2"/>
      <c r="AU68" s="404"/>
      <c r="AV68" s="213"/>
      <c r="AW68" s="380" t="str">
        <f>IF(Roster!$J$25="Italiano","ABILITÀ &amp; TRATTI",(IF(Roster!$J$25="Español","HABILIDADES Y RASGOS","SKILLS &amp; TRAITS")))</f>
        <v>ABILITÀ &amp; TRATTI</v>
      </c>
      <c r="AX68" s="315"/>
      <c r="AY68" s="315"/>
      <c r="AZ68" s="315"/>
      <c r="BA68" s="315"/>
      <c r="BB68" s="315"/>
      <c r="BC68" s="315"/>
      <c r="BD68" s="315"/>
      <c r="BE68" s="315"/>
      <c r="BF68" s="315"/>
      <c r="BG68" s="381"/>
      <c r="BH68" s="226"/>
      <c r="BI68" s="2"/>
    </row>
    <row r="69" spans="1:61" ht="6.75" customHeight="1">
      <c r="A69" s="2"/>
      <c r="B69" s="309"/>
      <c r="C69" s="213"/>
      <c r="D69" s="394" t="str">
        <f>IF(Roster!$O$9=0&amp;AQ50,"",Roster!$O$9)</f>
        <v>Animosity (Big Un Blockers), Block, Wrestle</v>
      </c>
      <c r="E69" s="358"/>
      <c r="F69" s="358"/>
      <c r="G69" s="358"/>
      <c r="H69" s="358"/>
      <c r="I69" s="358"/>
      <c r="J69" s="358"/>
      <c r="K69" s="358"/>
      <c r="L69" s="358"/>
      <c r="M69" s="358"/>
      <c r="N69" s="383"/>
      <c r="O69" s="226"/>
      <c r="P69" s="2"/>
      <c r="Q69" s="309"/>
      <c r="R69" s="213"/>
      <c r="S69" s="394" t="str">
        <f>IF(Roster!$O$10=0&amp;BF50,"",Roster!$O$10)</f>
        <v>Animosity (Big Un Blockers), Block</v>
      </c>
      <c r="T69" s="358"/>
      <c r="U69" s="358"/>
      <c r="V69" s="358"/>
      <c r="W69" s="358"/>
      <c r="X69" s="358"/>
      <c r="Y69" s="358"/>
      <c r="Z69" s="358"/>
      <c r="AA69" s="358"/>
      <c r="AB69" s="358"/>
      <c r="AC69" s="383"/>
      <c r="AD69" s="226"/>
      <c r="AE69" s="2"/>
      <c r="AF69" s="309"/>
      <c r="AG69" s="213"/>
      <c r="AH69" s="394" t="str">
        <f>IF(Roster!$O$11=0&amp;BU50,"",Roster!$O$11)</f>
        <v>Animosity (Orc Linemen), Block</v>
      </c>
      <c r="AI69" s="358"/>
      <c r="AJ69" s="358"/>
      <c r="AK69" s="358"/>
      <c r="AL69" s="358"/>
      <c r="AM69" s="358"/>
      <c r="AN69" s="358"/>
      <c r="AO69" s="358"/>
      <c r="AP69" s="358"/>
      <c r="AQ69" s="358"/>
      <c r="AR69" s="383"/>
      <c r="AS69" s="226"/>
      <c r="AT69" s="2"/>
      <c r="AU69" s="309"/>
      <c r="AV69" s="213"/>
      <c r="AW69" s="394" t="str">
        <f>IF(Roster!$O$12=0&amp;CJ50,"",Roster!$O$12)</f>
        <v>Animosity (Orc Linemen)</v>
      </c>
      <c r="AX69" s="358"/>
      <c r="AY69" s="358"/>
      <c r="AZ69" s="358"/>
      <c r="BA69" s="358"/>
      <c r="BB69" s="358"/>
      <c r="BC69" s="358"/>
      <c r="BD69" s="358"/>
      <c r="BE69" s="358"/>
      <c r="BF69" s="358"/>
      <c r="BG69" s="383"/>
      <c r="BH69" s="226"/>
      <c r="BI69" s="2"/>
    </row>
    <row r="70" spans="1:61" ht="11.25" customHeight="1">
      <c r="A70" s="2"/>
      <c r="B70" s="211" t="str">
        <f>IF(Roster!$AN$1=0,"",Roster!$AN$1)</f>
        <v>COSTO</v>
      </c>
      <c r="C70" s="212"/>
      <c r="D70" s="312"/>
      <c r="E70" s="279"/>
      <c r="F70" s="279"/>
      <c r="G70" s="279"/>
      <c r="H70" s="279"/>
      <c r="I70" s="279"/>
      <c r="J70" s="279"/>
      <c r="K70" s="279"/>
      <c r="L70" s="279"/>
      <c r="M70" s="279"/>
      <c r="N70" s="313"/>
      <c r="O70" s="230"/>
      <c r="P70" s="2"/>
      <c r="Q70" s="211" t="str">
        <f>IF(Roster!$AN$1=0,"",Roster!$AN$1)</f>
        <v>COSTO</v>
      </c>
      <c r="R70" s="212"/>
      <c r="S70" s="312"/>
      <c r="T70" s="279"/>
      <c r="U70" s="279"/>
      <c r="V70" s="279"/>
      <c r="W70" s="279"/>
      <c r="X70" s="279"/>
      <c r="Y70" s="279"/>
      <c r="Z70" s="279"/>
      <c r="AA70" s="279"/>
      <c r="AB70" s="279"/>
      <c r="AC70" s="313"/>
      <c r="AD70" s="230"/>
      <c r="AE70" s="2"/>
      <c r="AF70" s="211" t="str">
        <f>IF(Roster!$AN$1=0,"",Roster!$AN$1)</f>
        <v>COSTO</v>
      </c>
      <c r="AG70" s="212"/>
      <c r="AH70" s="312"/>
      <c r="AI70" s="279"/>
      <c r="AJ70" s="279"/>
      <c r="AK70" s="279"/>
      <c r="AL70" s="279"/>
      <c r="AM70" s="279"/>
      <c r="AN70" s="279"/>
      <c r="AO70" s="279"/>
      <c r="AP70" s="279"/>
      <c r="AQ70" s="279"/>
      <c r="AR70" s="313"/>
      <c r="AS70" s="230"/>
      <c r="AT70" s="2"/>
      <c r="AU70" s="211" t="str">
        <f>IF(Roster!$AN$1=0,"",Roster!$AN$1)</f>
        <v>COSTO</v>
      </c>
      <c r="AV70" s="212"/>
      <c r="AW70" s="312"/>
      <c r="AX70" s="279"/>
      <c r="AY70" s="279"/>
      <c r="AZ70" s="279"/>
      <c r="BA70" s="279"/>
      <c r="BB70" s="279"/>
      <c r="BC70" s="279"/>
      <c r="BD70" s="279"/>
      <c r="BE70" s="279"/>
      <c r="BF70" s="279"/>
      <c r="BG70" s="313"/>
      <c r="BH70" s="230"/>
      <c r="BI70" s="2"/>
    </row>
    <row r="71" spans="1:61" ht="34.5" customHeight="1">
      <c r="A71" s="2"/>
      <c r="B71" s="232">
        <f>IF(Roster!$AN$9=0,"",Roster!$AN$9)</f>
        <v>120000</v>
      </c>
      <c r="C71" s="233"/>
      <c r="D71" s="288"/>
      <c r="E71" s="289"/>
      <c r="F71" s="289"/>
      <c r="G71" s="289"/>
      <c r="H71" s="289"/>
      <c r="I71" s="289"/>
      <c r="J71" s="289"/>
      <c r="K71" s="289"/>
      <c r="L71" s="289"/>
      <c r="M71" s="289"/>
      <c r="N71" s="290"/>
      <c r="O71" s="230"/>
      <c r="P71" s="2"/>
      <c r="Q71" s="232">
        <f>IF(Roster!$AN$10=0,"",Roster!$AN$10)</f>
        <v>110000</v>
      </c>
      <c r="R71" s="233"/>
      <c r="S71" s="288"/>
      <c r="T71" s="289"/>
      <c r="U71" s="289"/>
      <c r="V71" s="289"/>
      <c r="W71" s="289"/>
      <c r="X71" s="289"/>
      <c r="Y71" s="289"/>
      <c r="Z71" s="289"/>
      <c r="AA71" s="289"/>
      <c r="AB71" s="289"/>
      <c r="AC71" s="290"/>
      <c r="AD71" s="230"/>
      <c r="AE71" s="2"/>
      <c r="AF71" s="232">
        <f>IF(Roster!$AN$11=0,"",Roster!$AN$11)</f>
        <v>70000</v>
      </c>
      <c r="AG71" s="233"/>
      <c r="AH71" s="288"/>
      <c r="AI71" s="289"/>
      <c r="AJ71" s="289"/>
      <c r="AK71" s="289"/>
      <c r="AL71" s="289"/>
      <c r="AM71" s="289"/>
      <c r="AN71" s="289"/>
      <c r="AO71" s="289"/>
      <c r="AP71" s="289"/>
      <c r="AQ71" s="289"/>
      <c r="AR71" s="290"/>
      <c r="AS71" s="230"/>
      <c r="AT71" s="2"/>
      <c r="AU71" s="232">
        <f>IF(Roster!$AN$12=0,"",Roster!$AN$12)</f>
        <v>50000</v>
      </c>
      <c r="AV71" s="233"/>
      <c r="AW71" s="288"/>
      <c r="AX71" s="289"/>
      <c r="AY71" s="289"/>
      <c r="AZ71" s="289"/>
      <c r="BA71" s="289"/>
      <c r="BB71" s="289"/>
      <c r="BC71" s="289"/>
      <c r="BD71" s="289"/>
      <c r="BE71" s="289"/>
      <c r="BF71" s="289"/>
      <c r="BG71" s="290"/>
      <c r="BH71" s="230"/>
      <c r="BI71" s="2"/>
    </row>
    <row r="72" spans="1:61" ht="4.5" customHeight="1">
      <c r="A72" s="2"/>
      <c r="B72" s="387"/>
      <c r="C72" s="242"/>
      <c r="D72" s="242"/>
      <c r="E72" s="242"/>
      <c r="F72" s="242"/>
      <c r="G72" s="242"/>
      <c r="H72" s="242"/>
      <c r="I72" s="242"/>
      <c r="J72" s="242"/>
      <c r="K72" s="242"/>
      <c r="L72" s="242"/>
      <c r="M72" s="242"/>
      <c r="N72" s="243"/>
      <c r="O72" s="234"/>
      <c r="P72" s="2"/>
      <c r="Q72" s="387"/>
      <c r="R72" s="242"/>
      <c r="S72" s="242"/>
      <c r="T72" s="242"/>
      <c r="U72" s="242"/>
      <c r="V72" s="242"/>
      <c r="W72" s="242"/>
      <c r="X72" s="242"/>
      <c r="Y72" s="242"/>
      <c r="Z72" s="242"/>
      <c r="AA72" s="242"/>
      <c r="AB72" s="242"/>
      <c r="AC72" s="243"/>
      <c r="AD72" s="234"/>
      <c r="AE72" s="2"/>
      <c r="AF72" s="387"/>
      <c r="AG72" s="242"/>
      <c r="AH72" s="242"/>
      <c r="AI72" s="242"/>
      <c r="AJ72" s="242"/>
      <c r="AK72" s="242"/>
      <c r="AL72" s="242"/>
      <c r="AM72" s="242"/>
      <c r="AN72" s="242"/>
      <c r="AO72" s="242"/>
      <c r="AP72" s="242"/>
      <c r="AQ72" s="242"/>
      <c r="AR72" s="243"/>
      <c r="AS72" s="234"/>
      <c r="AT72" s="2"/>
      <c r="AU72" s="387"/>
      <c r="AV72" s="242"/>
      <c r="AW72" s="242"/>
      <c r="AX72" s="242"/>
      <c r="AY72" s="242"/>
      <c r="AZ72" s="242"/>
      <c r="BA72" s="242"/>
      <c r="BB72" s="242"/>
      <c r="BC72" s="242"/>
      <c r="BD72" s="242"/>
      <c r="BE72" s="242"/>
      <c r="BF72" s="242"/>
      <c r="BG72" s="243"/>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5" t="str">
        <f>IF(Roster!$A$13=0,"","#"&amp;Roster!$A$13)</f>
        <v>#12</v>
      </c>
      <c r="C74" s="205"/>
      <c r="D74" s="205"/>
      <c r="E74" s="205"/>
      <c r="F74" s="205"/>
      <c r="G74" s="205"/>
      <c r="H74" s="205"/>
      <c r="I74" s="205"/>
      <c r="J74" s="205"/>
      <c r="K74" s="205"/>
      <c r="L74" s="205"/>
      <c r="M74" s="205"/>
      <c r="N74" s="205"/>
      <c r="O74" s="206"/>
      <c r="P74" s="2"/>
      <c r="Q74" s="395" t="str">
        <f>IF(Roster!$A$14=0,"","#"&amp;Roster!$A$14)</f>
        <v>#13</v>
      </c>
      <c r="R74" s="205"/>
      <c r="S74" s="205"/>
      <c r="T74" s="205"/>
      <c r="U74" s="205"/>
      <c r="V74" s="205"/>
      <c r="W74" s="205"/>
      <c r="X74" s="205"/>
      <c r="Y74" s="205"/>
      <c r="Z74" s="205"/>
      <c r="AA74" s="205"/>
      <c r="AB74" s="205"/>
      <c r="AC74" s="205"/>
      <c r="AD74" s="206"/>
      <c r="AE74" s="2"/>
      <c r="AF74" s="395" t="str">
        <f>IF(Roster!$A$15=0,"","#"&amp;Roster!$A$15)</f>
        <v>#14</v>
      </c>
      <c r="AG74" s="205"/>
      <c r="AH74" s="205"/>
      <c r="AI74" s="205"/>
      <c r="AJ74" s="205"/>
      <c r="AK74" s="205"/>
      <c r="AL74" s="205"/>
      <c r="AM74" s="205"/>
      <c r="AN74" s="205"/>
      <c r="AO74" s="205"/>
      <c r="AP74" s="205"/>
      <c r="AQ74" s="205"/>
      <c r="AR74" s="205"/>
      <c r="AS74" s="206"/>
      <c r="AT74" s="2"/>
      <c r="AU74" s="395" t="str">
        <f>IF(Roster!$A$16=0,"","#"&amp;Roster!$A$16)</f>
        <v>#15</v>
      </c>
      <c r="AV74" s="205"/>
      <c r="AW74" s="205"/>
      <c r="AX74" s="205"/>
      <c r="AY74" s="205"/>
      <c r="AZ74" s="205"/>
      <c r="BA74" s="205"/>
      <c r="BB74" s="205"/>
      <c r="BC74" s="205"/>
      <c r="BD74" s="205"/>
      <c r="BE74" s="205"/>
      <c r="BF74" s="205"/>
      <c r="BG74" s="205"/>
      <c r="BH74" s="206"/>
      <c r="BI74" s="2"/>
    </row>
    <row r="75" spans="1:61" ht="15" customHeight="1">
      <c r="A75" s="2"/>
      <c r="B75" s="396"/>
      <c r="C75" s="398" t="str">
        <f>IF(Roster!$B$13=0,"",Roster!$B$13)</f>
        <v>Bully</v>
      </c>
      <c r="D75" s="253"/>
      <c r="E75" s="253"/>
      <c r="F75" s="253"/>
      <c r="G75" s="253"/>
      <c r="H75" s="253"/>
      <c r="I75" s="253"/>
      <c r="J75" s="253"/>
      <c r="K75" s="253"/>
      <c r="L75" s="253"/>
      <c r="M75" s="253"/>
      <c r="N75" s="254"/>
      <c r="O75" s="207"/>
      <c r="P75" s="2"/>
      <c r="Q75" s="396"/>
      <c r="R75" s="398" t="str">
        <f>IF(Roster!$B$14=0,"",Roster!$B$14)</f>
        <v/>
      </c>
      <c r="S75" s="253"/>
      <c r="T75" s="253"/>
      <c r="U75" s="253"/>
      <c r="V75" s="253"/>
      <c r="W75" s="253"/>
      <c r="X75" s="253"/>
      <c r="Y75" s="253"/>
      <c r="Z75" s="253"/>
      <c r="AA75" s="253"/>
      <c r="AB75" s="253"/>
      <c r="AC75" s="254"/>
      <c r="AD75" s="207"/>
      <c r="AE75" s="2"/>
      <c r="AF75" s="396"/>
      <c r="AG75" s="398" t="str">
        <f>IF(Roster!$B$15=0,"",Roster!$B$15)</f>
        <v/>
      </c>
      <c r="AH75" s="253"/>
      <c r="AI75" s="253"/>
      <c r="AJ75" s="253"/>
      <c r="AK75" s="253"/>
      <c r="AL75" s="253"/>
      <c r="AM75" s="253"/>
      <c r="AN75" s="253"/>
      <c r="AO75" s="253"/>
      <c r="AP75" s="253"/>
      <c r="AQ75" s="253"/>
      <c r="AR75" s="254"/>
      <c r="AS75" s="207"/>
      <c r="AT75" s="2"/>
      <c r="AU75" s="396"/>
      <c r="AV75" s="398" t="str">
        <f>IF(Roster!$B$16=0,"",Roster!$B$16)</f>
        <v/>
      </c>
      <c r="AW75" s="253"/>
      <c r="AX75" s="253"/>
      <c r="AY75" s="253"/>
      <c r="AZ75" s="253"/>
      <c r="BA75" s="253"/>
      <c r="BB75" s="253"/>
      <c r="BC75" s="253"/>
      <c r="BD75" s="253"/>
      <c r="BE75" s="253"/>
      <c r="BF75" s="253"/>
      <c r="BG75" s="254"/>
      <c r="BH75" s="207"/>
      <c r="BI75" s="2"/>
    </row>
    <row r="76" spans="1:61" ht="11.25" customHeight="1">
      <c r="A76" s="2"/>
      <c r="B76" s="397"/>
      <c r="C76" s="388" t="str">
        <f>IF(Roster!$C$13=0,"",Roster!$C$13)</f>
        <v>Lineman</v>
      </c>
      <c r="D76" s="253"/>
      <c r="E76" s="253"/>
      <c r="F76" s="253"/>
      <c r="G76" s="253"/>
      <c r="H76" s="253"/>
      <c r="I76" s="253"/>
      <c r="J76" s="253"/>
      <c r="K76" s="253"/>
      <c r="L76" s="253"/>
      <c r="M76" s="253"/>
      <c r="N76" s="254"/>
      <c r="O76" s="208"/>
      <c r="P76" s="2"/>
      <c r="Q76" s="397"/>
      <c r="R76" s="388" t="str">
        <f>IF(Roster!$C$14=0,"",Roster!$C$14)</f>
        <v/>
      </c>
      <c r="S76" s="253"/>
      <c r="T76" s="253"/>
      <c r="U76" s="253"/>
      <c r="V76" s="253"/>
      <c r="W76" s="253"/>
      <c r="X76" s="253"/>
      <c r="Y76" s="253"/>
      <c r="Z76" s="253"/>
      <c r="AA76" s="253"/>
      <c r="AB76" s="253"/>
      <c r="AC76" s="254"/>
      <c r="AD76" s="208"/>
      <c r="AE76" s="2"/>
      <c r="AF76" s="397"/>
      <c r="AG76" s="388" t="str">
        <f>IF(Roster!$C$15=0,"",Roster!$C$15)</f>
        <v/>
      </c>
      <c r="AH76" s="253"/>
      <c r="AI76" s="253"/>
      <c r="AJ76" s="253"/>
      <c r="AK76" s="253"/>
      <c r="AL76" s="253"/>
      <c r="AM76" s="253"/>
      <c r="AN76" s="253"/>
      <c r="AO76" s="253"/>
      <c r="AP76" s="253"/>
      <c r="AQ76" s="253"/>
      <c r="AR76" s="254"/>
      <c r="AS76" s="208"/>
      <c r="AT76" s="2"/>
      <c r="AU76" s="397"/>
      <c r="AV76" s="388" t="str">
        <f>IF(Roster!$C$16=0,"",Roster!$C$16)</f>
        <v/>
      </c>
      <c r="AW76" s="253"/>
      <c r="AX76" s="253"/>
      <c r="AY76" s="253"/>
      <c r="AZ76" s="253"/>
      <c r="BA76" s="253"/>
      <c r="BB76" s="253"/>
      <c r="BC76" s="253"/>
      <c r="BD76" s="253"/>
      <c r="BE76" s="253"/>
      <c r="BF76" s="253"/>
      <c r="BG76" s="254"/>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f>IF(Roster!$J$13=0,"",Roster!$J$13)</f>
        <v>5</v>
      </c>
      <c r="C78" s="212"/>
      <c r="D78" s="399"/>
      <c r="E78" s="286"/>
      <c r="F78" s="286"/>
      <c r="G78" s="286"/>
      <c r="H78" s="286"/>
      <c r="I78" s="286"/>
      <c r="J78" s="286"/>
      <c r="K78" s="286"/>
      <c r="L78" s="286"/>
      <c r="M78" s="286"/>
      <c r="N78" s="287"/>
      <c r="O78" s="207"/>
      <c r="P78" s="2"/>
      <c r="Q78" s="214" t="str">
        <f>IF(Roster!$J$14=0,"",Roster!$J$14)</f>
        <v/>
      </c>
      <c r="R78" s="212"/>
      <c r="S78" s="399"/>
      <c r="T78" s="286"/>
      <c r="U78" s="286"/>
      <c r="V78" s="286"/>
      <c r="W78" s="286"/>
      <c r="X78" s="286"/>
      <c r="Y78" s="286"/>
      <c r="Z78" s="286"/>
      <c r="AA78" s="286"/>
      <c r="AB78" s="286"/>
      <c r="AC78" s="287"/>
      <c r="AD78" s="207"/>
      <c r="AE78" s="2"/>
      <c r="AF78" s="214" t="str">
        <f>IF(Roster!$J$15=0,"",Roster!$J$15)</f>
        <v/>
      </c>
      <c r="AG78" s="212"/>
      <c r="AH78" s="399"/>
      <c r="AI78" s="286"/>
      <c r="AJ78" s="286"/>
      <c r="AK78" s="286"/>
      <c r="AL78" s="286"/>
      <c r="AM78" s="286"/>
      <c r="AN78" s="286"/>
      <c r="AO78" s="286"/>
      <c r="AP78" s="286"/>
      <c r="AQ78" s="286"/>
      <c r="AR78" s="287"/>
      <c r="AS78" s="207"/>
      <c r="AT78" s="2"/>
      <c r="AU78" s="214" t="str">
        <f>IF(Roster!$J$16=0,"",Roster!$J$16)</f>
        <v/>
      </c>
      <c r="AV78" s="212"/>
      <c r="AW78" s="399"/>
      <c r="AX78" s="286"/>
      <c r="AY78" s="286"/>
      <c r="AZ78" s="286"/>
      <c r="BA78" s="286"/>
      <c r="BB78" s="286"/>
      <c r="BC78" s="286"/>
      <c r="BD78" s="286"/>
      <c r="BE78" s="286"/>
      <c r="BF78" s="286"/>
      <c r="BG78" s="287"/>
      <c r="BH78" s="207"/>
      <c r="BI78" s="2"/>
    </row>
    <row r="79" spans="1:61" ht="11.25" customHeight="1">
      <c r="A79" s="2"/>
      <c r="B79" s="211" t="str">
        <f>IF(Roster!$K$1=0,"",Roster!$K$1)</f>
        <v>ST</v>
      </c>
      <c r="C79" s="212"/>
      <c r="D79" s="312"/>
      <c r="E79" s="279"/>
      <c r="F79" s="279"/>
      <c r="G79" s="279"/>
      <c r="H79" s="279"/>
      <c r="I79" s="279"/>
      <c r="J79" s="279"/>
      <c r="K79" s="279"/>
      <c r="L79" s="279"/>
      <c r="M79" s="279"/>
      <c r="N79" s="313"/>
      <c r="O79" s="207"/>
      <c r="P79" s="2"/>
      <c r="Q79" s="211" t="str">
        <f>IF(Roster!$K$1=0,"",Roster!$K$1)</f>
        <v>ST</v>
      </c>
      <c r="R79" s="212"/>
      <c r="S79" s="312"/>
      <c r="T79" s="279"/>
      <c r="U79" s="279"/>
      <c r="V79" s="279"/>
      <c r="W79" s="279"/>
      <c r="X79" s="279"/>
      <c r="Y79" s="279"/>
      <c r="Z79" s="279"/>
      <c r="AA79" s="279"/>
      <c r="AB79" s="279"/>
      <c r="AC79" s="313"/>
      <c r="AD79" s="207"/>
      <c r="AE79" s="2"/>
      <c r="AF79" s="211" t="str">
        <f>IF(Roster!$K$1=0,"",Roster!$K$1)</f>
        <v>ST</v>
      </c>
      <c r="AG79" s="212"/>
      <c r="AH79" s="312"/>
      <c r="AI79" s="279"/>
      <c r="AJ79" s="279"/>
      <c r="AK79" s="279"/>
      <c r="AL79" s="279"/>
      <c r="AM79" s="279"/>
      <c r="AN79" s="279"/>
      <c r="AO79" s="279"/>
      <c r="AP79" s="279"/>
      <c r="AQ79" s="279"/>
      <c r="AR79" s="313"/>
      <c r="AS79" s="207"/>
      <c r="AT79" s="2"/>
      <c r="AU79" s="211" t="str">
        <f>IF(Roster!$K$1=0,"",Roster!$K$1)</f>
        <v>ST</v>
      </c>
      <c r="AV79" s="212"/>
      <c r="AW79" s="312"/>
      <c r="AX79" s="279"/>
      <c r="AY79" s="279"/>
      <c r="AZ79" s="279"/>
      <c r="BA79" s="279"/>
      <c r="BB79" s="279"/>
      <c r="BC79" s="279"/>
      <c r="BD79" s="279"/>
      <c r="BE79" s="279"/>
      <c r="BF79" s="279"/>
      <c r="BG79" s="313"/>
      <c r="BH79" s="207"/>
      <c r="BI79" s="2"/>
    </row>
    <row r="80" spans="1:61" ht="37.5" customHeight="1">
      <c r="A80" s="2"/>
      <c r="B80" s="214">
        <f>IF(Roster!$K$13=0,"",Roster!$K$13)</f>
        <v>3</v>
      </c>
      <c r="C80" s="212"/>
      <c r="D80" s="312"/>
      <c r="E80" s="279"/>
      <c r="F80" s="279"/>
      <c r="G80" s="279"/>
      <c r="H80" s="279"/>
      <c r="I80" s="279"/>
      <c r="J80" s="279"/>
      <c r="K80" s="279"/>
      <c r="L80" s="279"/>
      <c r="M80" s="279"/>
      <c r="N80" s="313"/>
      <c r="O80" s="207"/>
      <c r="P80" s="2"/>
      <c r="Q80" s="214" t="str">
        <f>IF(Roster!$K$14=0,"",Roster!$K$14)</f>
        <v/>
      </c>
      <c r="R80" s="212"/>
      <c r="S80" s="312"/>
      <c r="T80" s="279"/>
      <c r="U80" s="279"/>
      <c r="V80" s="279"/>
      <c r="W80" s="279"/>
      <c r="X80" s="279"/>
      <c r="Y80" s="279"/>
      <c r="Z80" s="279"/>
      <c r="AA80" s="279"/>
      <c r="AB80" s="279"/>
      <c r="AC80" s="313"/>
      <c r="AD80" s="207"/>
      <c r="AE80" s="2"/>
      <c r="AF80" s="214" t="str">
        <f>IF(Roster!$K$15=0,"",Roster!$K$15)</f>
        <v/>
      </c>
      <c r="AG80" s="212"/>
      <c r="AH80" s="312"/>
      <c r="AI80" s="279"/>
      <c r="AJ80" s="279"/>
      <c r="AK80" s="279"/>
      <c r="AL80" s="279"/>
      <c r="AM80" s="279"/>
      <c r="AN80" s="279"/>
      <c r="AO80" s="279"/>
      <c r="AP80" s="279"/>
      <c r="AQ80" s="279"/>
      <c r="AR80" s="313"/>
      <c r="AS80" s="207"/>
      <c r="AT80" s="2"/>
      <c r="AU80" s="214" t="str">
        <f>IF(Roster!$K$16=0,"",Roster!$K$16)</f>
        <v/>
      </c>
      <c r="AV80" s="212"/>
      <c r="AW80" s="312"/>
      <c r="AX80" s="279"/>
      <c r="AY80" s="279"/>
      <c r="AZ80" s="279"/>
      <c r="BA80" s="279"/>
      <c r="BB80" s="279"/>
      <c r="BC80" s="279"/>
      <c r="BD80" s="279"/>
      <c r="BE80" s="279"/>
      <c r="BF80" s="279"/>
      <c r="BG80" s="313"/>
      <c r="BH80" s="207"/>
      <c r="BI80" s="2"/>
    </row>
    <row r="81" spans="1:61" ht="11.25" customHeight="1">
      <c r="A81" s="2"/>
      <c r="B81" s="211" t="str">
        <f>IF(Roster!$L$1=0,"",Roster!$L$1)</f>
        <v>AG</v>
      </c>
      <c r="C81" s="212"/>
      <c r="D81" s="312"/>
      <c r="E81" s="279"/>
      <c r="F81" s="279"/>
      <c r="G81" s="279"/>
      <c r="H81" s="279"/>
      <c r="I81" s="279"/>
      <c r="J81" s="279"/>
      <c r="K81" s="279"/>
      <c r="L81" s="279"/>
      <c r="M81" s="279"/>
      <c r="N81" s="313"/>
      <c r="O81" s="207"/>
      <c r="P81" s="2"/>
      <c r="Q81" s="211" t="str">
        <f>IF(Roster!$L$1=0,"",Roster!$L$1)</f>
        <v>AG</v>
      </c>
      <c r="R81" s="212"/>
      <c r="S81" s="312"/>
      <c r="T81" s="279"/>
      <c r="U81" s="279"/>
      <c r="V81" s="279"/>
      <c r="W81" s="279"/>
      <c r="X81" s="279"/>
      <c r="Y81" s="279"/>
      <c r="Z81" s="279"/>
      <c r="AA81" s="279"/>
      <c r="AB81" s="279"/>
      <c r="AC81" s="313"/>
      <c r="AD81" s="207"/>
      <c r="AE81" s="2"/>
      <c r="AF81" s="211" t="str">
        <f>IF(Roster!$L$1=0,"",Roster!$L$1)</f>
        <v>AG</v>
      </c>
      <c r="AG81" s="212"/>
      <c r="AH81" s="312"/>
      <c r="AI81" s="279"/>
      <c r="AJ81" s="279"/>
      <c r="AK81" s="279"/>
      <c r="AL81" s="279"/>
      <c r="AM81" s="279"/>
      <c r="AN81" s="279"/>
      <c r="AO81" s="279"/>
      <c r="AP81" s="279"/>
      <c r="AQ81" s="279"/>
      <c r="AR81" s="313"/>
      <c r="AS81" s="207"/>
      <c r="AT81" s="2"/>
      <c r="AU81" s="211" t="str">
        <f>IF(Roster!$L$1=0,"",Roster!$L$1)</f>
        <v>AG</v>
      </c>
      <c r="AV81" s="212"/>
      <c r="AW81" s="312"/>
      <c r="AX81" s="279"/>
      <c r="AY81" s="279"/>
      <c r="AZ81" s="279"/>
      <c r="BA81" s="279"/>
      <c r="BB81" s="279"/>
      <c r="BC81" s="279"/>
      <c r="BD81" s="279"/>
      <c r="BE81" s="279"/>
      <c r="BF81" s="279"/>
      <c r="BG81" s="313"/>
      <c r="BH81" s="207"/>
      <c r="BI81" s="2"/>
    </row>
    <row r="82" spans="1:61" ht="37.5" customHeight="1">
      <c r="A82" s="2"/>
      <c r="B82" s="214" t="str">
        <f>IF(Roster!$L$13=0&amp;"+","",Roster!$L$13)</f>
        <v>3+</v>
      </c>
      <c r="C82" s="212"/>
      <c r="D82" s="312"/>
      <c r="E82" s="279"/>
      <c r="F82" s="279"/>
      <c r="G82" s="279"/>
      <c r="H82" s="279"/>
      <c r="I82" s="279"/>
      <c r="J82" s="279"/>
      <c r="K82" s="279"/>
      <c r="L82" s="279"/>
      <c r="M82" s="279"/>
      <c r="N82" s="313"/>
      <c r="O82" s="207"/>
      <c r="P82" s="2"/>
      <c r="Q82" s="214" t="str">
        <f>IF(Roster!$L$14=0&amp;"+","",Roster!$L$14)</f>
        <v/>
      </c>
      <c r="R82" s="212"/>
      <c r="S82" s="312"/>
      <c r="T82" s="279"/>
      <c r="U82" s="279"/>
      <c r="V82" s="279"/>
      <c r="W82" s="279"/>
      <c r="X82" s="279"/>
      <c r="Y82" s="279"/>
      <c r="Z82" s="279"/>
      <c r="AA82" s="279"/>
      <c r="AB82" s="279"/>
      <c r="AC82" s="313"/>
      <c r="AD82" s="207"/>
      <c r="AE82" s="2"/>
      <c r="AF82" s="214" t="str">
        <f>IF(Roster!$L$15=0&amp;"+","",Roster!$L$15)</f>
        <v/>
      </c>
      <c r="AG82" s="212"/>
      <c r="AH82" s="312"/>
      <c r="AI82" s="279"/>
      <c r="AJ82" s="279"/>
      <c r="AK82" s="279"/>
      <c r="AL82" s="279"/>
      <c r="AM82" s="279"/>
      <c r="AN82" s="279"/>
      <c r="AO82" s="279"/>
      <c r="AP82" s="279"/>
      <c r="AQ82" s="279"/>
      <c r="AR82" s="313"/>
      <c r="AS82" s="207"/>
      <c r="AT82" s="2"/>
      <c r="AU82" s="214" t="str">
        <f>IF(Roster!$L$16=0&amp;"+","",Roster!$L$16)</f>
        <v/>
      </c>
      <c r="AV82" s="212"/>
      <c r="AW82" s="312"/>
      <c r="AX82" s="279"/>
      <c r="AY82" s="279"/>
      <c r="AZ82" s="279"/>
      <c r="BA82" s="279"/>
      <c r="BB82" s="279"/>
      <c r="BC82" s="279"/>
      <c r="BD82" s="279"/>
      <c r="BE82" s="279"/>
      <c r="BF82" s="279"/>
      <c r="BG82" s="313"/>
      <c r="BH82" s="207"/>
      <c r="BI82" s="2"/>
    </row>
    <row r="83" spans="1:61" ht="11.25" customHeight="1">
      <c r="A83" s="2"/>
      <c r="B83" s="211" t="str">
        <f>IF(Roster!$M$1=0,"",Roster!$M$1)</f>
        <v>PA</v>
      </c>
      <c r="C83" s="212"/>
      <c r="D83" s="312"/>
      <c r="E83" s="279"/>
      <c r="F83" s="279"/>
      <c r="G83" s="279"/>
      <c r="H83" s="279"/>
      <c r="I83" s="279"/>
      <c r="J83" s="279"/>
      <c r="K83" s="279"/>
      <c r="L83" s="279"/>
      <c r="M83" s="279"/>
      <c r="N83" s="313"/>
      <c r="O83" s="216"/>
      <c r="P83" s="2"/>
      <c r="Q83" s="211" t="str">
        <f>IF(Roster!$M$1=0,"",Roster!$M$1)</f>
        <v>PA</v>
      </c>
      <c r="R83" s="212"/>
      <c r="S83" s="312"/>
      <c r="T83" s="279"/>
      <c r="U83" s="279"/>
      <c r="V83" s="279"/>
      <c r="W83" s="279"/>
      <c r="X83" s="279"/>
      <c r="Y83" s="279"/>
      <c r="Z83" s="279"/>
      <c r="AA83" s="279"/>
      <c r="AB83" s="279"/>
      <c r="AC83" s="313"/>
      <c r="AD83" s="216"/>
      <c r="AE83" s="2"/>
      <c r="AF83" s="211" t="str">
        <f>IF(Roster!$M$1=0,"",Roster!$M$1)</f>
        <v>PA</v>
      </c>
      <c r="AG83" s="212"/>
      <c r="AH83" s="312"/>
      <c r="AI83" s="279"/>
      <c r="AJ83" s="279"/>
      <c r="AK83" s="279"/>
      <c r="AL83" s="279"/>
      <c r="AM83" s="279"/>
      <c r="AN83" s="279"/>
      <c r="AO83" s="279"/>
      <c r="AP83" s="279"/>
      <c r="AQ83" s="279"/>
      <c r="AR83" s="313"/>
      <c r="AS83" s="216"/>
      <c r="AT83" s="2"/>
      <c r="AU83" s="211" t="str">
        <f>IF(Roster!$M$1=0,"",Roster!$M$1)</f>
        <v>PA</v>
      </c>
      <c r="AV83" s="212"/>
      <c r="AW83" s="312"/>
      <c r="AX83" s="279"/>
      <c r="AY83" s="279"/>
      <c r="AZ83" s="279"/>
      <c r="BA83" s="279"/>
      <c r="BB83" s="279"/>
      <c r="BC83" s="279"/>
      <c r="BD83" s="279"/>
      <c r="BE83" s="279"/>
      <c r="BF83" s="279"/>
      <c r="BG83" s="313"/>
      <c r="BH83" s="216"/>
      <c r="BI83" s="2"/>
    </row>
    <row r="84" spans="1:61" ht="6" customHeight="1">
      <c r="A84" s="2"/>
      <c r="B84" s="403" t="str">
        <f>IF(Roster!$M$13=0&amp;"+","",Roster!$M$13)</f>
        <v>4+</v>
      </c>
      <c r="C84" s="212"/>
      <c r="D84" s="288"/>
      <c r="E84" s="289"/>
      <c r="F84" s="289"/>
      <c r="G84" s="289"/>
      <c r="H84" s="289"/>
      <c r="I84" s="289"/>
      <c r="J84" s="289"/>
      <c r="K84" s="289"/>
      <c r="L84" s="289"/>
      <c r="M84" s="289"/>
      <c r="N84" s="290"/>
      <c r="O84" s="218"/>
      <c r="P84" s="2"/>
      <c r="Q84" s="403" t="str">
        <f>IF(Roster!$M$14=0&amp;"+","",Roster!$M$14)</f>
        <v/>
      </c>
      <c r="R84" s="212"/>
      <c r="S84" s="288"/>
      <c r="T84" s="289"/>
      <c r="U84" s="289"/>
      <c r="V84" s="289"/>
      <c r="W84" s="289"/>
      <c r="X84" s="289"/>
      <c r="Y84" s="289"/>
      <c r="Z84" s="289"/>
      <c r="AA84" s="289"/>
      <c r="AB84" s="289"/>
      <c r="AC84" s="290"/>
      <c r="AD84" s="218"/>
      <c r="AE84" s="2"/>
      <c r="AF84" s="403" t="str">
        <f>IF(Roster!$M$15=0&amp;"+","",Roster!$M$15)</f>
        <v/>
      </c>
      <c r="AG84" s="212"/>
      <c r="AH84" s="288"/>
      <c r="AI84" s="289"/>
      <c r="AJ84" s="289"/>
      <c r="AK84" s="289"/>
      <c r="AL84" s="289"/>
      <c r="AM84" s="289"/>
      <c r="AN84" s="289"/>
      <c r="AO84" s="289"/>
      <c r="AP84" s="289"/>
      <c r="AQ84" s="289"/>
      <c r="AR84" s="290"/>
      <c r="AS84" s="218"/>
      <c r="AT84" s="2"/>
      <c r="AU84" s="403" t="str">
        <f>IF(Roster!$M$16=0&amp;"+","",Roster!$M$16)</f>
        <v/>
      </c>
      <c r="AV84" s="212"/>
      <c r="AW84" s="288"/>
      <c r="AX84" s="289"/>
      <c r="AY84" s="289"/>
      <c r="AZ84" s="289"/>
      <c r="BA84" s="289"/>
      <c r="BB84" s="289"/>
      <c r="BC84" s="289"/>
      <c r="BD84" s="289"/>
      <c r="BE84" s="289"/>
      <c r="BF84" s="289"/>
      <c r="BG84" s="290"/>
      <c r="BH84" s="218"/>
      <c r="BI84" s="2"/>
    </row>
    <row r="85" spans="1:61" ht="4.5" customHeight="1">
      <c r="A85" s="2"/>
      <c r="B85" s="404"/>
      <c r="C85" s="210"/>
      <c r="D85" s="219"/>
      <c r="E85" s="217"/>
      <c r="F85" s="219"/>
      <c r="G85" s="217"/>
      <c r="H85" s="219"/>
      <c r="I85" s="217"/>
      <c r="J85" s="219"/>
      <c r="K85" s="217"/>
      <c r="L85" s="219"/>
      <c r="M85" s="217"/>
      <c r="N85" s="219"/>
      <c r="O85" s="218"/>
      <c r="P85" s="2"/>
      <c r="Q85" s="404"/>
      <c r="R85" s="210"/>
      <c r="S85" s="219"/>
      <c r="T85" s="217"/>
      <c r="U85" s="219"/>
      <c r="V85" s="217"/>
      <c r="W85" s="219"/>
      <c r="X85" s="217"/>
      <c r="Y85" s="219"/>
      <c r="Z85" s="217"/>
      <c r="AA85" s="219"/>
      <c r="AB85" s="217"/>
      <c r="AC85" s="219"/>
      <c r="AD85" s="218"/>
      <c r="AE85" s="2"/>
      <c r="AF85" s="404"/>
      <c r="AG85" s="210"/>
      <c r="AH85" s="219"/>
      <c r="AI85" s="217"/>
      <c r="AJ85" s="219"/>
      <c r="AK85" s="217"/>
      <c r="AL85" s="219"/>
      <c r="AM85" s="217"/>
      <c r="AN85" s="219"/>
      <c r="AO85" s="217"/>
      <c r="AP85" s="219"/>
      <c r="AQ85" s="217"/>
      <c r="AR85" s="219"/>
      <c r="AS85" s="218"/>
      <c r="AT85" s="2"/>
      <c r="AU85" s="404"/>
      <c r="AV85" s="210"/>
      <c r="AW85" s="219"/>
      <c r="AX85" s="217"/>
      <c r="AY85" s="219"/>
      <c r="AZ85" s="217"/>
      <c r="BA85" s="219"/>
      <c r="BB85" s="217"/>
      <c r="BC85" s="219"/>
      <c r="BD85" s="217"/>
      <c r="BE85" s="219"/>
      <c r="BF85" s="217"/>
      <c r="BG85" s="219"/>
      <c r="BH85" s="218"/>
      <c r="BI85" s="2"/>
    </row>
    <row r="86" spans="1:61" ht="11.25" customHeight="1">
      <c r="A86" s="2"/>
      <c r="B86" s="404"/>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404"/>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404"/>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404"/>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404"/>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404"/>
      <c r="R87" s="213"/>
      <c r="S87" s="222" t="str">
        <f>IF(Roster!$AC$14=0,"",Roster!$AC$14)</f>
        <v/>
      </c>
      <c r="T87" s="223"/>
      <c r="U87" s="222" t="str">
        <f>IF((SUM(W87,Y87,AA87))=0,"",(SUM(W87,Y87,AA87)))</f>
        <v/>
      </c>
      <c r="V87" s="223"/>
      <c r="W87" s="222" t="str">
        <f>IF(Roster!$AF$14=0,"",Roster!$AF$14)</f>
        <v/>
      </c>
      <c r="X87" s="223"/>
      <c r="Y87" s="222" t="str">
        <f>IF(Roster!$AG$14=0,"",Roster!$AG$14)</f>
        <v/>
      </c>
      <c r="Z87" s="223"/>
      <c r="AA87" s="222" t="str">
        <f>IF(Roster!$AH$14=0,"",Roster!$AH$14)</f>
        <v/>
      </c>
      <c r="AB87" s="223"/>
      <c r="AC87" s="222" t="str">
        <f>IF(Roster!$AB$14=0,"",Roster!$AB$14)</f>
        <v/>
      </c>
      <c r="AD87" s="218"/>
      <c r="AE87" s="2"/>
      <c r="AF87" s="404"/>
      <c r="AG87" s="213"/>
      <c r="AH87" s="222" t="str">
        <f>IF(Roster!$AC$15=0,"",Roster!$AC$15)</f>
        <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404"/>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309"/>
      <c r="C88" s="213"/>
      <c r="D88" s="45"/>
      <c r="E88" s="223"/>
      <c r="F88" s="45"/>
      <c r="G88" s="223"/>
      <c r="H88" s="45"/>
      <c r="I88" s="223"/>
      <c r="J88" s="45"/>
      <c r="K88" s="223"/>
      <c r="L88" s="45"/>
      <c r="M88" s="223"/>
      <c r="N88" s="45"/>
      <c r="O88" s="218"/>
      <c r="P88" s="2"/>
      <c r="Q88" s="309"/>
      <c r="R88" s="213"/>
      <c r="S88" s="45"/>
      <c r="T88" s="223"/>
      <c r="U88" s="45"/>
      <c r="V88" s="223"/>
      <c r="W88" s="45"/>
      <c r="X88" s="223"/>
      <c r="Y88" s="45"/>
      <c r="Z88" s="223"/>
      <c r="AA88" s="45"/>
      <c r="AB88" s="223"/>
      <c r="AC88" s="45"/>
      <c r="AD88" s="218"/>
      <c r="AE88" s="2"/>
      <c r="AF88" s="309"/>
      <c r="AG88" s="213"/>
      <c r="AH88" s="45"/>
      <c r="AI88" s="223"/>
      <c r="AJ88" s="45"/>
      <c r="AK88" s="223"/>
      <c r="AL88" s="45"/>
      <c r="AM88" s="223"/>
      <c r="AN88" s="45"/>
      <c r="AO88" s="223"/>
      <c r="AP88" s="45"/>
      <c r="AQ88" s="223"/>
      <c r="AR88" s="45"/>
      <c r="AS88" s="218"/>
      <c r="AT88" s="2"/>
      <c r="AU88" s="309"/>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403" t="str">
        <f>IF(Roster!$N$13=0&amp;"+","",Roster!$N$13)</f>
        <v>10+</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403" t="str">
        <f>IF(Roster!$N$14=0&amp;"+","",Roster!$N$14)</f>
        <v/>
      </c>
      <c r="R90" s="213"/>
      <c r="S90" s="222" t="str">
        <f>IF(Roster!$AD$14=0,"",Roster!$AD$14)</f>
        <v/>
      </c>
      <c r="T90" s="223"/>
      <c r="U90" s="222" t="str">
        <f>IF(Roster!$AE$14=0,"",Roster!$AE$14)</f>
        <v/>
      </c>
      <c r="V90" s="223"/>
      <c r="W90" s="222" t="str">
        <f>IF(Roster!$AA$14=0,"",Roster!$AA$14)</f>
        <v/>
      </c>
      <c r="X90" s="223"/>
      <c r="Y90" s="222" t="str">
        <f>IF(Roster!$AI$14=0,"",Roster!$AI$14)</f>
        <v/>
      </c>
      <c r="Z90" s="223"/>
      <c r="AA90" s="222" t="str">
        <f>IF(Roster!$AJ$14=0,"",Roster!$AJ$14)</f>
        <v/>
      </c>
      <c r="AB90" s="223"/>
      <c r="AC90" s="222" t="str">
        <f>IF(Roster!$Z$14=0,"",Roster!$Z$14)</f>
        <v/>
      </c>
      <c r="AD90" s="226"/>
      <c r="AE90" s="2"/>
      <c r="AF90" s="403" t="str">
        <f>IF(Roster!$N$15=0&amp;"+","",Roster!$N$15)</f>
        <v/>
      </c>
      <c r="AG90" s="213"/>
      <c r="AH90" s="222" t="str">
        <f>IF(Roster!$AD$15=0,"",Roster!$AD$15)</f>
        <v/>
      </c>
      <c r="AI90" s="223"/>
      <c r="AJ90" s="222" t="str">
        <f>IF(Roster!$AE$15=0,"",Roster!$AE$15)</f>
        <v/>
      </c>
      <c r="AK90" s="223"/>
      <c r="AL90" s="222" t="str">
        <f>IF(Roster!$AA$15=0,"",Roster!$AA$15)</f>
        <v/>
      </c>
      <c r="AM90" s="223"/>
      <c r="AN90" s="222" t="str">
        <f>IF(Roster!$AI$15=0,"",Roster!$AI$15)</f>
        <v/>
      </c>
      <c r="AO90" s="223"/>
      <c r="AP90" s="222" t="str">
        <f>IF(Roster!$AJ$15=0,"",Roster!$AJ$15)</f>
        <v/>
      </c>
      <c r="AQ90" s="223"/>
      <c r="AR90" s="222" t="str">
        <f>IF(Roster!$Z$15=0,"",Roster!$Z$15)</f>
        <v/>
      </c>
      <c r="AS90" s="226"/>
      <c r="AT90" s="2"/>
      <c r="AU90" s="403" t="str">
        <f>IF(Roster!$N$16=0&amp;"+","",Roster!$N$16)</f>
        <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404"/>
      <c r="C91" s="213"/>
      <c r="D91" s="223"/>
      <c r="E91" s="223"/>
      <c r="F91" s="223"/>
      <c r="G91" s="223"/>
      <c r="H91" s="223"/>
      <c r="I91" s="223"/>
      <c r="J91" s="223"/>
      <c r="K91" s="223"/>
      <c r="L91" s="223"/>
      <c r="M91" s="223"/>
      <c r="N91" s="227"/>
      <c r="O91" s="226"/>
      <c r="P91" s="2"/>
      <c r="Q91" s="404"/>
      <c r="R91" s="213"/>
      <c r="S91" s="223"/>
      <c r="T91" s="223"/>
      <c r="U91" s="223"/>
      <c r="V91" s="223"/>
      <c r="W91" s="223"/>
      <c r="X91" s="223"/>
      <c r="Y91" s="223"/>
      <c r="Z91" s="223"/>
      <c r="AA91" s="223"/>
      <c r="AB91" s="223"/>
      <c r="AC91" s="227"/>
      <c r="AD91" s="226"/>
      <c r="AE91" s="2"/>
      <c r="AF91" s="404"/>
      <c r="AG91" s="213"/>
      <c r="AH91" s="223"/>
      <c r="AI91" s="223"/>
      <c r="AJ91" s="223"/>
      <c r="AK91" s="223"/>
      <c r="AL91" s="223"/>
      <c r="AM91" s="223"/>
      <c r="AN91" s="223"/>
      <c r="AO91" s="223"/>
      <c r="AP91" s="223"/>
      <c r="AQ91" s="223"/>
      <c r="AR91" s="227"/>
      <c r="AS91" s="226"/>
      <c r="AT91" s="2"/>
      <c r="AU91" s="404"/>
      <c r="AV91" s="213"/>
      <c r="AW91" s="223"/>
      <c r="AX91" s="223"/>
      <c r="AY91" s="223"/>
      <c r="AZ91" s="223"/>
      <c r="BA91" s="223"/>
      <c r="BB91" s="223"/>
      <c r="BC91" s="223"/>
      <c r="BD91" s="223"/>
      <c r="BE91" s="223"/>
      <c r="BF91" s="223"/>
      <c r="BG91" s="227"/>
      <c r="BH91" s="226"/>
      <c r="BI91" s="2"/>
    </row>
    <row r="92" spans="1:61" ht="11.25" customHeight="1">
      <c r="A92" s="2"/>
      <c r="B92" s="404"/>
      <c r="C92" s="213"/>
      <c r="D92" s="380" t="str">
        <f>IF(Roster!$J$25="Italiano","ABILITÀ &amp; TRATTI",(IF(Roster!$J$25="Español","HABILIDADES Y RASGOS","SKILLS &amp; TRAITS")))</f>
        <v>ABILITÀ &amp; TRATTI</v>
      </c>
      <c r="E92" s="315"/>
      <c r="F92" s="315"/>
      <c r="G92" s="315"/>
      <c r="H92" s="315"/>
      <c r="I92" s="315"/>
      <c r="J92" s="315"/>
      <c r="K92" s="315"/>
      <c r="L92" s="315"/>
      <c r="M92" s="315"/>
      <c r="N92" s="381"/>
      <c r="O92" s="226"/>
      <c r="P92" s="2"/>
      <c r="Q92" s="404"/>
      <c r="R92" s="213"/>
      <c r="S92" s="380" t="str">
        <f>IF(Roster!$J$25="Italiano","ABILITÀ &amp; TRATTI",(IF(Roster!$J$25="Español","HABILIDADES Y RASGOS","SKILLS &amp; TRAITS")))</f>
        <v>ABILITÀ &amp; TRATTI</v>
      </c>
      <c r="T92" s="315"/>
      <c r="U92" s="315"/>
      <c r="V92" s="315"/>
      <c r="W92" s="315"/>
      <c r="X92" s="315"/>
      <c r="Y92" s="315"/>
      <c r="Z92" s="315"/>
      <c r="AA92" s="315"/>
      <c r="AB92" s="315"/>
      <c r="AC92" s="381"/>
      <c r="AD92" s="226"/>
      <c r="AE92" s="2"/>
      <c r="AF92" s="404"/>
      <c r="AG92" s="213"/>
      <c r="AH92" s="380" t="str">
        <f>IF(Roster!$J$25="Italiano","ABILITÀ &amp; TRATTI",(IF(Roster!$J$25="Español","HABILIDADES Y RASGOS","SKILLS &amp; TRAITS")))</f>
        <v>ABILITÀ &amp; TRATTI</v>
      </c>
      <c r="AI92" s="315"/>
      <c r="AJ92" s="315"/>
      <c r="AK92" s="315"/>
      <c r="AL92" s="315"/>
      <c r="AM92" s="315"/>
      <c r="AN92" s="315"/>
      <c r="AO92" s="315"/>
      <c r="AP92" s="315"/>
      <c r="AQ92" s="315"/>
      <c r="AR92" s="381"/>
      <c r="AS92" s="226"/>
      <c r="AT92" s="2"/>
      <c r="AU92" s="404"/>
      <c r="AV92" s="213"/>
      <c r="AW92" s="380" t="str">
        <f>IF(Roster!$J$25="Italiano","ABILITÀ &amp; TRATTI",(IF(Roster!$J$25="Español","HABILIDADES Y RASGOS","SKILLS &amp; TRAITS")))</f>
        <v>ABILITÀ &amp; TRATTI</v>
      </c>
      <c r="AX92" s="315"/>
      <c r="AY92" s="315"/>
      <c r="AZ92" s="315"/>
      <c r="BA92" s="315"/>
      <c r="BB92" s="315"/>
      <c r="BC92" s="315"/>
      <c r="BD92" s="315"/>
      <c r="BE92" s="315"/>
      <c r="BF92" s="315"/>
      <c r="BG92" s="381"/>
      <c r="BH92" s="226"/>
      <c r="BI92" s="2"/>
    </row>
    <row r="93" spans="1:61" ht="6.75" customHeight="1">
      <c r="A93" s="2"/>
      <c r="B93" s="309"/>
      <c r="C93" s="213"/>
      <c r="D93" s="394" t="str">
        <f>IF(Roster!$O$13=0&amp;AQ74,"",Roster!$O$13)</f>
        <v>Animosity (Orc Linemen) - 1 NI</v>
      </c>
      <c r="E93" s="358"/>
      <c r="F93" s="358"/>
      <c r="G93" s="358"/>
      <c r="H93" s="358"/>
      <c r="I93" s="358"/>
      <c r="J93" s="358"/>
      <c r="K93" s="358"/>
      <c r="L93" s="358"/>
      <c r="M93" s="358"/>
      <c r="N93" s="383"/>
      <c r="O93" s="226"/>
      <c r="P93" s="2"/>
      <c r="Q93" s="309"/>
      <c r="R93" s="213"/>
      <c r="S93" s="394" t="str">
        <f>IF(Roster!$O$14=0&amp;BF74,"",Roster!$O$14)</f>
        <v/>
      </c>
      <c r="T93" s="358"/>
      <c r="U93" s="358"/>
      <c r="V93" s="358"/>
      <c r="W93" s="358"/>
      <c r="X93" s="358"/>
      <c r="Y93" s="358"/>
      <c r="Z93" s="358"/>
      <c r="AA93" s="358"/>
      <c r="AB93" s="358"/>
      <c r="AC93" s="383"/>
      <c r="AD93" s="226"/>
      <c r="AE93" s="2"/>
      <c r="AF93" s="309"/>
      <c r="AG93" s="213"/>
      <c r="AH93" s="394" t="str">
        <f>IF(Roster!$O$15=0&amp;BU74,"",Roster!$O$15)</f>
        <v/>
      </c>
      <c r="AI93" s="358"/>
      <c r="AJ93" s="358"/>
      <c r="AK93" s="358"/>
      <c r="AL93" s="358"/>
      <c r="AM93" s="358"/>
      <c r="AN93" s="358"/>
      <c r="AO93" s="358"/>
      <c r="AP93" s="358"/>
      <c r="AQ93" s="358"/>
      <c r="AR93" s="383"/>
      <c r="AS93" s="226"/>
      <c r="AT93" s="2"/>
      <c r="AU93" s="309"/>
      <c r="AV93" s="213"/>
      <c r="AW93" s="394" t="str">
        <f>IF(Roster!$O$16=0&amp;CJ74,"",Roster!$O$16)</f>
        <v/>
      </c>
      <c r="AX93" s="358"/>
      <c r="AY93" s="358"/>
      <c r="AZ93" s="358"/>
      <c r="BA93" s="358"/>
      <c r="BB93" s="358"/>
      <c r="BC93" s="358"/>
      <c r="BD93" s="358"/>
      <c r="BE93" s="358"/>
      <c r="BF93" s="358"/>
      <c r="BG93" s="383"/>
      <c r="BH93" s="226"/>
      <c r="BI93" s="2"/>
    </row>
    <row r="94" spans="1:61" ht="11.25" customHeight="1">
      <c r="A94" s="2"/>
      <c r="B94" s="211" t="str">
        <f>IF(Roster!$AN$1=0,"",Roster!$AN$1)</f>
        <v>COSTO</v>
      </c>
      <c r="C94" s="212"/>
      <c r="D94" s="312"/>
      <c r="E94" s="279"/>
      <c r="F94" s="279"/>
      <c r="G94" s="279"/>
      <c r="H94" s="279"/>
      <c r="I94" s="279"/>
      <c r="J94" s="279"/>
      <c r="K94" s="279"/>
      <c r="L94" s="279"/>
      <c r="M94" s="279"/>
      <c r="N94" s="313"/>
      <c r="O94" s="230"/>
      <c r="P94" s="2"/>
      <c r="Q94" s="211" t="str">
        <f>IF(Roster!$AN$1=0,"",Roster!$AN$1)</f>
        <v>COSTO</v>
      </c>
      <c r="R94" s="212"/>
      <c r="S94" s="312"/>
      <c r="T94" s="279"/>
      <c r="U94" s="279"/>
      <c r="V94" s="279"/>
      <c r="W94" s="279"/>
      <c r="X94" s="279"/>
      <c r="Y94" s="279"/>
      <c r="Z94" s="279"/>
      <c r="AA94" s="279"/>
      <c r="AB94" s="279"/>
      <c r="AC94" s="313"/>
      <c r="AD94" s="230"/>
      <c r="AE94" s="2"/>
      <c r="AF94" s="211" t="str">
        <f>IF(Roster!$AN$1=0,"",Roster!$AN$1)</f>
        <v>COSTO</v>
      </c>
      <c r="AG94" s="212"/>
      <c r="AH94" s="312"/>
      <c r="AI94" s="279"/>
      <c r="AJ94" s="279"/>
      <c r="AK94" s="279"/>
      <c r="AL94" s="279"/>
      <c r="AM94" s="279"/>
      <c r="AN94" s="279"/>
      <c r="AO94" s="279"/>
      <c r="AP94" s="279"/>
      <c r="AQ94" s="279"/>
      <c r="AR94" s="313"/>
      <c r="AS94" s="230"/>
      <c r="AT94" s="2"/>
      <c r="AU94" s="211" t="str">
        <f>IF(Roster!$AN$1=0,"",Roster!$AN$1)</f>
        <v>COSTO</v>
      </c>
      <c r="AV94" s="212"/>
      <c r="AW94" s="312"/>
      <c r="AX94" s="279"/>
      <c r="AY94" s="279"/>
      <c r="AZ94" s="279"/>
      <c r="BA94" s="279"/>
      <c r="BB94" s="279"/>
      <c r="BC94" s="279"/>
      <c r="BD94" s="279"/>
      <c r="BE94" s="279"/>
      <c r="BF94" s="279"/>
      <c r="BG94" s="313"/>
      <c r="BH94" s="230"/>
      <c r="BI94" s="2"/>
    </row>
    <row r="95" spans="1:61" ht="34.5" customHeight="1">
      <c r="A95" s="2"/>
      <c r="B95" s="232">
        <f>IF(Roster!$AN$13=0,"",Roster!$AN$13)</f>
        <v>50000</v>
      </c>
      <c r="C95" s="233"/>
      <c r="D95" s="288"/>
      <c r="E95" s="289"/>
      <c r="F95" s="289"/>
      <c r="G95" s="289"/>
      <c r="H95" s="289"/>
      <c r="I95" s="289"/>
      <c r="J95" s="289"/>
      <c r="K95" s="289"/>
      <c r="L95" s="289"/>
      <c r="M95" s="289"/>
      <c r="N95" s="290"/>
      <c r="O95" s="230"/>
      <c r="P95" s="2"/>
      <c r="Q95" s="232" t="str">
        <f>IF(Roster!$AN$14=0,"",Roster!$AN$14)</f>
        <v/>
      </c>
      <c r="R95" s="233"/>
      <c r="S95" s="288"/>
      <c r="T95" s="289"/>
      <c r="U95" s="289"/>
      <c r="V95" s="289"/>
      <c r="W95" s="289"/>
      <c r="X95" s="289"/>
      <c r="Y95" s="289"/>
      <c r="Z95" s="289"/>
      <c r="AA95" s="289"/>
      <c r="AB95" s="289"/>
      <c r="AC95" s="290"/>
      <c r="AD95" s="230"/>
      <c r="AE95" s="2"/>
      <c r="AF95" s="232" t="str">
        <f>IF(Roster!$AN$15=0,"",Roster!$AN$15)</f>
        <v/>
      </c>
      <c r="AG95" s="233"/>
      <c r="AH95" s="288"/>
      <c r="AI95" s="289"/>
      <c r="AJ95" s="289"/>
      <c r="AK95" s="289"/>
      <c r="AL95" s="289"/>
      <c r="AM95" s="289"/>
      <c r="AN95" s="289"/>
      <c r="AO95" s="289"/>
      <c r="AP95" s="289"/>
      <c r="AQ95" s="289"/>
      <c r="AR95" s="290"/>
      <c r="AS95" s="230"/>
      <c r="AT95" s="2"/>
      <c r="AU95" s="232" t="str">
        <f>IF(Roster!$AN$16=0,"",Roster!$AN$16)</f>
        <v/>
      </c>
      <c r="AV95" s="233"/>
      <c r="AW95" s="288"/>
      <c r="AX95" s="289"/>
      <c r="AY95" s="289"/>
      <c r="AZ95" s="289"/>
      <c r="BA95" s="289"/>
      <c r="BB95" s="289"/>
      <c r="BC95" s="289"/>
      <c r="BD95" s="289"/>
      <c r="BE95" s="289"/>
      <c r="BF95" s="289"/>
      <c r="BG95" s="290"/>
      <c r="BH95" s="230"/>
      <c r="BI95" s="2"/>
    </row>
    <row r="96" spans="1:61" ht="4.5" customHeight="1">
      <c r="A96" s="2"/>
      <c r="B96" s="387"/>
      <c r="C96" s="242"/>
      <c r="D96" s="242"/>
      <c r="E96" s="242"/>
      <c r="F96" s="242"/>
      <c r="G96" s="242"/>
      <c r="H96" s="242"/>
      <c r="I96" s="242"/>
      <c r="J96" s="242"/>
      <c r="K96" s="242"/>
      <c r="L96" s="242"/>
      <c r="M96" s="242"/>
      <c r="N96" s="243"/>
      <c r="O96" s="234"/>
      <c r="P96" s="2"/>
      <c r="Q96" s="387"/>
      <c r="R96" s="242"/>
      <c r="S96" s="242"/>
      <c r="T96" s="242"/>
      <c r="U96" s="242"/>
      <c r="V96" s="242"/>
      <c r="W96" s="242"/>
      <c r="X96" s="242"/>
      <c r="Y96" s="242"/>
      <c r="Z96" s="242"/>
      <c r="AA96" s="242"/>
      <c r="AB96" s="242"/>
      <c r="AC96" s="243"/>
      <c r="AD96" s="234"/>
      <c r="AE96" s="2"/>
      <c r="AF96" s="387"/>
      <c r="AG96" s="242"/>
      <c r="AH96" s="242"/>
      <c r="AI96" s="242"/>
      <c r="AJ96" s="242"/>
      <c r="AK96" s="242"/>
      <c r="AL96" s="242"/>
      <c r="AM96" s="242"/>
      <c r="AN96" s="242"/>
      <c r="AO96" s="242"/>
      <c r="AP96" s="242"/>
      <c r="AQ96" s="242"/>
      <c r="AR96" s="243"/>
      <c r="AS96" s="234"/>
      <c r="AT96" s="2"/>
      <c r="AU96" s="387"/>
      <c r="AV96" s="242"/>
      <c r="AW96" s="242"/>
      <c r="AX96" s="242"/>
      <c r="AY96" s="242"/>
      <c r="AZ96" s="242"/>
      <c r="BA96" s="242"/>
      <c r="BB96" s="242"/>
      <c r="BC96" s="242"/>
      <c r="BD96" s="242"/>
      <c r="BE96" s="242"/>
      <c r="BF96" s="242"/>
      <c r="BG96" s="243"/>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5" t="str">
        <f>IF(Roster!$A$17=0,"","#"&amp;Roster!$A$17)</f>
        <v>#16</v>
      </c>
      <c r="C98" s="205"/>
      <c r="D98" s="205"/>
      <c r="E98" s="205"/>
      <c r="F98" s="205"/>
      <c r="G98" s="205"/>
      <c r="H98" s="205"/>
      <c r="I98" s="205"/>
      <c r="J98" s="205"/>
      <c r="K98" s="205"/>
      <c r="L98" s="205"/>
      <c r="M98" s="205"/>
      <c r="N98" s="205"/>
      <c r="O98" s="206"/>
      <c r="P98" s="2"/>
      <c r="Q98" s="395"/>
      <c r="R98" s="205"/>
      <c r="S98" s="205"/>
      <c r="T98" s="205"/>
      <c r="U98" s="205"/>
      <c r="V98" s="205"/>
      <c r="W98" s="205"/>
      <c r="X98" s="205"/>
      <c r="Y98" s="205"/>
      <c r="Z98" s="205"/>
      <c r="AA98" s="205"/>
      <c r="AB98" s="205"/>
      <c r="AC98" s="205"/>
      <c r="AD98" s="206"/>
      <c r="AE98" s="219"/>
      <c r="AF98" s="395"/>
      <c r="AG98" s="205"/>
      <c r="AH98" s="205"/>
      <c r="AI98" s="205"/>
      <c r="AJ98" s="205"/>
      <c r="AK98" s="205"/>
      <c r="AL98" s="205"/>
      <c r="AM98" s="205"/>
      <c r="AN98" s="205"/>
      <c r="AO98" s="205"/>
      <c r="AP98" s="205"/>
      <c r="AQ98" s="205"/>
      <c r="AR98" s="205"/>
      <c r="AS98" s="206"/>
      <c r="AT98" s="219"/>
      <c r="AU98" s="395"/>
      <c r="AV98" s="205"/>
      <c r="AW98" s="205"/>
      <c r="AX98" s="205"/>
      <c r="AY98" s="205"/>
      <c r="AZ98" s="205"/>
      <c r="BA98" s="205"/>
      <c r="BB98" s="205"/>
      <c r="BC98" s="205"/>
      <c r="BD98" s="205"/>
      <c r="BE98" s="205"/>
      <c r="BF98" s="205"/>
      <c r="BG98" s="205"/>
      <c r="BH98" s="206"/>
      <c r="BI98" s="235"/>
    </row>
    <row r="99" spans="1:61" ht="15" customHeight="1">
      <c r="A99" s="2"/>
      <c r="B99" s="396"/>
      <c r="C99" s="398" t="str">
        <f>IF(Roster!$B$17=0,"",Roster!$B$17)</f>
        <v/>
      </c>
      <c r="D99" s="253"/>
      <c r="E99" s="253"/>
      <c r="F99" s="253"/>
      <c r="G99" s="253"/>
      <c r="H99" s="253"/>
      <c r="I99" s="253"/>
      <c r="J99" s="253"/>
      <c r="K99" s="253"/>
      <c r="L99" s="253"/>
      <c r="M99" s="253"/>
      <c r="N99" s="254"/>
      <c r="O99" s="207"/>
      <c r="P99" s="2"/>
      <c r="Q99" s="396"/>
      <c r="R99" s="388" t="str">
        <f>IF(Roster!$B$18=0,"","("&amp;Roster!$B$18&amp;")")</f>
        <v>(Star Player &amp; Mercenario)</v>
      </c>
      <c r="S99" s="253"/>
      <c r="T99" s="253"/>
      <c r="U99" s="253"/>
      <c r="V99" s="253"/>
      <c r="W99" s="253"/>
      <c r="X99" s="253"/>
      <c r="Y99" s="253"/>
      <c r="Z99" s="253"/>
      <c r="AA99" s="253"/>
      <c r="AB99" s="253"/>
      <c r="AC99" s="254"/>
      <c r="AD99" s="207"/>
      <c r="AE99" s="219"/>
      <c r="AF99" s="396"/>
      <c r="AG99" s="388" t="str">
        <f>IF(Roster!$B$18=0,"","("&amp;Roster!$B$18&amp;")")</f>
        <v>(Star Player &amp; Mercenario)</v>
      </c>
      <c r="AH99" s="253"/>
      <c r="AI99" s="253"/>
      <c r="AJ99" s="253"/>
      <c r="AK99" s="253"/>
      <c r="AL99" s="253"/>
      <c r="AM99" s="253"/>
      <c r="AN99" s="253"/>
      <c r="AO99" s="253"/>
      <c r="AP99" s="253"/>
      <c r="AQ99" s="253"/>
      <c r="AR99" s="254"/>
      <c r="AS99" s="207"/>
      <c r="AT99" s="219"/>
      <c r="AU99" s="396"/>
      <c r="AV99" s="388" t="str">
        <f>IF(Roster!$B$20=0,"","("&amp;Roster!$B$20&amp;")")</f>
        <v>(Mercenario)</v>
      </c>
      <c r="AW99" s="253"/>
      <c r="AX99" s="253"/>
      <c r="AY99" s="253"/>
      <c r="AZ99" s="253"/>
      <c r="BA99" s="253"/>
      <c r="BB99" s="253"/>
      <c r="BC99" s="253"/>
      <c r="BD99" s="253"/>
      <c r="BE99" s="253"/>
      <c r="BF99" s="253"/>
      <c r="BG99" s="254"/>
      <c r="BH99" s="207"/>
      <c r="BI99" s="235"/>
    </row>
    <row r="100" spans="1:61" ht="11.25" customHeight="1">
      <c r="A100" s="2"/>
      <c r="B100" s="397"/>
      <c r="C100" s="388" t="str">
        <f>IF(Roster!$C$17=0,"",Roster!$C$17)</f>
        <v/>
      </c>
      <c r="D100" s="253"/>
      <c r="E100" s="253"/>
      <c r="F100" s="253"/>
      <c r="G100" s="253"/>
      <c r="H100" s="253"/>
      <c r="I100" s="253"/>
      <c r="J100" s="253"/>
      <c r="K100" s="253"/>
      <c r="L100" s="253"/>
      <c r="M100" s="253"/>
      <c r="N100" s="254"/>
      <c r="O100" s="208"/>
      <c r="P100" s="2"/>
      <c r="Q100" s="397"/>
      <c r="R100" s="389" t="str">
        <f>IF(Roster!$C$18=0,"",Roster!$C$18)</f>
        <v/>
      </c>
      <c r="S100" s="358"/>
      <c r="T100" s="358"/>
      <c r="U100" s="358"/>
      <c r="V100" s="358"/>
      <c r="W100" s="358"/>
      <c r="X100" s="358"/>
      <c r="Y100" s="358"/>
      <c r="Z100" s="358"/>
      <c r="AA100" s="358"/>
      <c r="AB100" s="358"/>
      <c r="AC100" s="359"/>
      <c r="AD100" s="208"/>
      <c r="AE100" s="219"/>
      <c r="AF100" s="397"/>
      <c r="AG100" s="389" t="str">
        <f>IF(Roster!$C$19=0,"",Roster!$C$19)</f>
        <v/>
      </c>
      <c r="AH100" s="358"/>
      <c r="AI100" s="358"/>
      <c r="AJ100" s="358"/>
      <c r="AK100" s="358"/>
      <c r="AL100" s="358"/>
      <c r="AM100" s="358"/>
      <c r="AN100" s="358"/>
      <c r="AO100" s="358"/>
      <c r="AP100" s="358"/>
      <c r="AQ100" s="358"/>
      <c r="AR100" s="359"/>
      <c r="AS100" s="208"/>
      <c r="AT100" s="219"/>
      <c r="AU100" s="397"/>
      <c r="AV100" s="389" t="str">
        <f>IF(Roster!$C$20=0,"",Roster!$C$20)</f>
        <v/>
      </c>
      <c r="AW100" s="358"/>
      <c r="AX100" s="358"/>
      <c r="AY100" s="358"/>
      <c r="AZ100" s="358"/>
      <c r="BA100" s="358"/>
      <c r="BB100" s="358"/>
      <c r="BC100" s="358"/>
      <c r="BD100" s="358"/>
      <c r="BE100" s="358"/>
      <c r="BF100" s="358"/>
      <c r="BG100" s="359"/>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60"/>
      <c r="S101" s="279"/>
      <c r="T101" s="279"/>
      <c r="U101" s="279"/>
      <c r="V101" s="279"/>
      <c r="W101" s="279"/>
      <c r="X101" s="279"/>
      <c r="Y101" s="279"/>
      <c r="Z101" s="279"/>
      <c r="AA101" s="279"/>
      <c r="AB101" s="279"/>
      <c r="AC101" s="338"/>
      <c r="AD101" s="207"/>
      <c r="AE101" s="219"/>
      <c r="AF101" s="211" t="str">
        <f>IF(Roster!$J$1=0,"",Roster!$J$1)</f>
        <v>MA</v>
      </c>
      <c r="AG101" s="360"/>
      <c r="AH101" s="279"/>
      <c r="AI101" s="279"/>
      <c r="AJ101" s="279"/>
      <c r="AK101" s="279"/>
      <c r="AL101" s="279"/>
      <c r="AM101" s="279"/>
      <c r="AN101" s="279"/>
      <c r="AO101" s="279"/>
      <c r="AP101" s="279"/>
      <c r="AQ101" s="279"/>
      <c r="AR101" s="338"/>
      <c r="AS101" s="207"/>
      <c r="AT101" s="219"/>
      <c r="AU101" s="211" t="str">
        <f>IF(Roster!$J$1=0,"",Roster!$J$1)</f>
        <v>MA</v>
      </c>
      <c r="AV101" s="360"/>
      <c r="AW101" s="279"/>
      <c r="AX101" s="279"/>
      <c r="AY101" s="279"/>
      <c r="AZ101" s="279"/>
      <c r="BA101" s="279"/>
      <c r="BB101" s="279"/>
      <c r="BC101" s="279"/>
      <c r="BD101" s="279"/>
      <c r="BE101" s="279"/>
      <c r="BF101" s="279"/>
      <c r="BG101" s="338"/>
      <c r="BH101" s="207"/>
      <c r="BI101" s="235"/>
    </row>
    <row r="102" spans="1:61" ht="37.5" customHeight="1">
      <c r="A102" s="2"/>
      <c r="B102" s="214" t="str">
        <f>IF(Roster!$J$17=0,"",Roster!$J$17)</f>
        <v/>
      </c>
      <c r="C102" s="212"/>
      <c r="D102" s="399"/>
      <c r="E102" s="286"/>
      <c r="F102" s="286"/>
      <c r="G102" s="286"/>
      <c r="H102" s="286"/>
      <c r="I102" s="286"/>
      <c r="J102" s="286"/>
      <c r="K102" s="286"/>
      <c r="L102" s="286"/>
      <c r="M102" s="286"/>
      <c r="N102" s="287"/>
      <c r="O102" s="207"/>
      <c r="P102" s="2"/>
      <c r="Q102" s="214" t="str">
        <f>IF(Roster!$J$18=0,"",Roster!$J$18)</f>
        <v/>
      </c>
      <c r="R102" s="361"/>
      <c r="S102" s="362"/>
      <c r="T102" s="362"/>
      <c r="U102" s="362"/>
      <c r="V102" s="362"/>
      <c r="W102" s="362"/>
      <c r="X102" s="362"/>
      <c r="Y102" s="362"/>
      <c r="Z102" s="362"/>
      <c r="AA102" s="362"/>
      <c r="AB102" s="362"/>
      <c r="AC102" s="363"/>
      <c r="AD102" s="390"/>
      <c r="AE102" s="219"/>
      <c r="AF102" s="214" t="str">
        <f>IF(Roster!$J$19=0,"",Roster!$J$19)</f>
        <v/>
      </c>
      <c r="AG102" s="361"/>
      <c r="AH102" s="362"/>
      <c r="AI102" s="362"/>
      <c r="AJ102" s="362"/>
      <c r="AK102" s="362"/>
      <c r="AL102" s="362"/>
      <c r="AM102" s="362"/>
      <c r="AN102" s="362"/>
      <c r="AO102" s="362"/>
      <c r="AP102" s="362"/>
      <c r="AQ102" s="362"/>
      <c r="AR102" s="363"/>
      <c r="AS102" s="390"/>
      <c r="AT102" s="219"/>
      <c r="AU102" s="214" t="str">
        <f>IF(Roster!$J$20=0,"",Roster!$J$20)</f>
        <v/>
      </c>
      <c r="AV102" s="361"/>
      <c r="AW102" s="362"/>
      <c r="AX102" s="362"/>
      <c r="AY102" s="362"/>
      <c r="AZ102" s="362"/>
      <c r="BA102" s="362"/>
      <c r="BB102" s="362"/>
      <c r="BC102" s="362"/>
      <c r="BD102" s="362"/>
      <c r="BE102" s="362"/>
      <c r="BF102" s="362"/>
      <c r="BG102" s="363"/>
      <c r="BH102" s="390"/>
      <c r="BI102" s="235"/>
    </row>
    <row r="103" spans="1:61" ht="11.25" customHeight="1">
      <c r="A103" s="2"/>
      <c r="B103" s="211" t="str">
        <f>IF(Roster!$K$1=0,"",Roster!$K$1)</f>
        <v>ST</v>
      </c>
      <c r="C103" s="212"/>
      <c r="D103" s="312"/>
      <c r="E103" s="279"/>
      <c r="F103" s="279"/>
      <c r="G103" s="279"/>
      <c r="H103" s="279"/>
      <c r="I103" s="279"/>
      <c r="J103" s="279"/>
      <c r="K103" s="279"/>
      <c r="L103" s="279"/>
      <c r="M103" s="279"/>
      <c r="N103" s="313"/>
      <c r="O103" s="207"/>
      <c r="P103" s="2"/>
      <c r="Q103" s="211" t="str">
        <f>IF(Roster!$K$1=0,"",Roster!$K$1)</f>
        <v>ST</v>
      </c>
      <c r="R103" s="393"/>
      <c r="S103" s="380" t="str">
        <f>IF(Roster!$J$25="Español","REGLA ESPECIAL","SPECIAL RULE")</f>
        <v>SPECIAL RULE</v>
      </c>
      <c r="T103" s="315"/>
      <c r="U103" s="315"/>
      <c r="V103" s="315"/>
      <c r="W103" s="315"/>
      <c r="X103" s="315"/>
      <c r="Y103" s="315"/>
      <c r="Z103" s="315"/>
      <c r="AA103" s="315"/>
      <c r="AB103" s="315"/>
      <c r="AC103" s="381"/>
      <c r="AD103" s="391"/>
      <c r="AE103" s="219"/>
      <c r="AF103" s="211" t="str">
        <f>IF(Roster!$K$1=0,"",Roster!$K$1)</f>
        <v>ST</v>
      </c>
      <c r="AG103" s="393"/>
      <c r="AH103" s="380" t="str">
        <f>IF(Roster!$J$25="Español","REGLA ESPECIAL","SPECIAL RULE")</f>
        <v>SPECIAL RULE</v>
      </c>
      <c r="AI103" s="315"/>
      <c r="AJ103" s="315"/>
      <c r="AK103" s="315"/>
      <c r="AL103" s="315"/>
      <c r="AM103" s="315"/>
      <c r="AN103" s="315"/>
      <c r="AO103" s="315"/>
      <c r="AP103" s="315"/>
      <c r="AQ103" s="315"/>
      <c r="AR103" s="381"/>
      <c r="AS103" s="391"/>
      <c r="AT103" s="219"/>
      <c r="AU103" s="211" t="str">
        <f>IF(Roster!$K$1=0,"",Roster!$K$1)</f>
        <v>ST</v>
      </c>
      <c r="AV103" s="393"/>
      <c r="AW103" s="380" t="str">
        <f>IF(Roster!$J$25="Italiano","REGOLE SPECIALI",(IF(Roster!$J$25="Español","REGLA ESPECIAL","SPECIAL RULE")))</f>
        <v>REGOLE SPECIALI</v>
      </c>
      <c r="AX103" s="315"/>
      <c r="AY103" s="315"/>
      <c r="AZ103" s="315"/>
      <c r="BA103" s="315"/>
      <c r="BB103" s="315"/>
      <c r="BC103" s="315"/>
      <c r="BD103" s="315"/>
      <c r="BE103" s="315"/>
      <c r="BF103" s="315"/>
      <c r="BG103" s="381"/>
      <c r="BH103" s="391"/>
      <c r="BI103" s="235"/>
    </row>
    <row r="104" spans="1:61" ht="37.5" customHeight="1">
      <c r="A104" s="2"/>
      <c r="B104" s="214" t="str">
        <f>IF(Roster!$K$17=0,"",Roster!$K$17)</f>
        <v/>
      </c>
      <c r="C104" s="212"/>
      <c r="D104" s="312"/>
      <c r="E104" s="279"/>
      <c r="F104" s="279"/>
      <c r="G104" s="279"/>
      <c r="H104" s="279"/>
      <c r="I104" s="279"/>
      <c r="J104" s="279"/>
      <c r="K104" s="279"/>
      <c r="L104" s="279"/>
      <c r="M104" s="279"/>
      <c r="N104" s="313"/>
      <c r="O104" s="207"/>
      <c r="P104" s="2"/>
      <c r="Q104" s="214" t="str">
        <f>IF(Roster!$K$18=0,"",Roster!$K$18)</f>
        <v/>
      </c>
      <c r="R104" s="249"/>
      <c r="S104" s="382" t="str">
        <f>IF(Roster!$Z$18=0,"",Roster!$Z$18)</f>
        <v/>
      </c>
      <c r="T104" s="358"/>
      <c r="U104" s="358"/>
      <c r="V104" s="358"/>
      <c r="W104" s="358"/>
      <c r="X104" s="358"/>
      <c r="Y104" s="358"/>
      <c r="Z104" s="358"/>
      <c r="AA104" s="358"/>
      <c r="AB104" s="358"/>
      <c r="AC104" s="383"/>
      <c r="AD104" s="391"/>
      <c r="AE104" s="219"/>
      <c r="AF104" s="214" t="str">
        <f>IF(Roster!$K$19=0,"",Roster!$K$19)</f>
        <v/>
      </c>
      <c r="AG104" s="249"/>
      <c r="AH104" s="382" t="str">
        <f>IF(Roster!$Z$19=0,"",Roster!$Z$19)</f>
        <v/>
      </c>
      <c r="AI104" s="358"/>
      <c r="AJ104" s="358"/>
      <c r="AK104" s="358"/>
      <c r="AL104" s="358"/>
      <c r="AM104" s="358"/>
      <c r="AN104" s="358"/>
      <c r="AO104" s="358"/>
      <c r="AP104" s="358"/>
      <c r="AQ104" s="358"/>
      <c r="AR104" s="383"/>
      <c r="AS104" s="391"/>
      <c r="AT104" s="219"/>
      <c r="AU104" s="214" t="str">
        <f>IF(Roster!$K$20=0,"",Roster!$K$20)</f>
        <v/>
      </c>
      <c r="AV104" s="249"/>
      <c r="AW104" s="382" t="str">
        <f>IF(Roster!$Z$20=0,"",Roster!$Z$20)</f>
        <v/>
      </c>
      <c r="AX104" s="358"/>
      <c r="AY104" s="358"/>
      <c r="AZ104" s="358"/>
      <c r="BA104" s="358"/>
      <c r="BB104" s="358"/>
      <c r="BC104" s="358"/>
      <c r="BD104" s="358"/>
      <c r="BE104" s="358"/>
      <c r="BF104" s="358"/>
      <c r="BG104" s="383"/>
      <c r="BH104" s="391"/>
      <c r="BI104" s="235"/>
    </row>
    <row r="105" spans="1:61" ht="11.25" customHeight="1">
      <c r="A105" s="2"/>
      <c r="B105" s="211" t="str">
        <f>IF(Roster!$L$1=0,"",Roster!$L$1)</f>
        <v>AG</v>
      </c>
      <c r="C105" s="212"/>
      <c r="D105" s="312"/>
      <c r="E105" s="279"/>
      <c r="F105" s="279"/>
      <c r="G105" s="279"/>
      <c r="H105" s="279"/>
      <c r="I105" s="279"/>
      <c r="J105" s="279"/>
      <c r="K105" s="279"/>
      <c r="L105" s="279"/>
      <c r="M105" s="279"/>
      <c r="N105" s="313"/>
      <c r="O105" s="207"/>
      <c r="P105" s="2"/>
      <c r="Q105" s="211" t="str">
        <f>IF(Roster!$L$1=0,"",Roster!$L$1)</f>
        <v>AG</v>
      </c>
      <c r="R105" s="249"/>
      <c r="S105" s="312"/>
      <c r="T105" s="279"/>
      <c r="U105" s="279"/>
      <c r="V105" s="279"/>
      <c r="W105" s="279"/>
      <c r="X105" s="279"/>
      <c r="Y105" s="279"/>
      <c r="Z105" s="279"/>
      <c r="AA105" s="279"/>
      <c r="AB105" s="279"/>
      <c r="AC105" s="313"/>
      <c r="AD105" s="391"/>
      <c r="AE105" s="219"/>
      <c r="AF105" s="211" t="str">
        <f>IF(Roster!$L$1=0,"",Roster!$L$1)</f>
        <v>AG</v>
      </c>
      <c r="AG105" s="249"/>
      <c r="AH105" s="312"/>
      <c r="AI105" s="279"/>
      <c r="AJ105" s="279"/>
      <c r="AK105" s="279"/>
      <c r="AL105" s="279"/>
      <c r="AM105" s="279"/>
      <c r="AN105" s="279"/>
      <c r="AO105" s="279"/>
      <c r="AP105" s="279"/>
      <c r="AQ105" s="279"/>
      <c r="AR105" s="313"/>
      <c r="AS105" s="391"/>
      <c r="AT105" s="219"/>
      <c r="AU105" s="211" t="str">
        <f>IF(Roster!$L$1=0,"",Roster!$L$1)</f>
        <v>AG</v>
      </c>
      <c r="AV105" s="249"/>
      <c r="AW105" s="312"/>
      <c r="AX105" s="279"/>
      <c r="AY105" s="279"/>
      <c r="AZ105" s="279"/>
      <c r="BA105" s="279"/>
      <c r="BB105" s="279"/>
      <c r="BC105" s="279"/>
      <c r="BD105" s="279"/>
      <c r="BE105" s="279"/>
      <c r="BF105" s="279"/>
      <c r="BG105" s="313"/>
      <c r="BH105" s="391"/>
      <c r="BI105" s="235"/>
    </row>
    <row r="106" spans="1:61" ht="37.5" customHeight="1">
      <c r="A106" s="2"/>
      <c r="B106" s="214" t="str">
        <f>IF(Roster!$L$17=0&amp;"+","",Roster!$L$17)</f>
        <v/>
      </c>
      <c r="C106" s="212"/>
      <c r="D106" s="312"/>
      <c r="E106" s="279"/>
      <c r="F106" s="279"/>
      <c r="G106" s="279"/>
      <c r="H106" s="279"/>
      <c r="I106" s="279"/>
      <c r="J106" s="279"/>
      <c r="K106" s="279"/>
      <c r="L106" s="279"/>
      <c r="M106" s="279"/>
      <c r="N106" s="313"/>
      <c r="O106" s="207"/>
      <c r="P106" s="2"/>
      <c r="Q106" s="214" t="str">
        <f>IF(Roster!$L$18=0,"",Roster!$L$18)</f>
        <v/>
      </c>
      <c r="R106" s="249"/>
      <c r="S106" s="312"/>
      <c r="T106" s="279"/>
      <c r="U106" s="279"/>
      <c r="V106" s="279"/>
      <c r="W106" s="279"/>
      <c r="X106" s="279"/>
      <c r="Y106" s="279"/>
      <c r="Z106" s="279"/>
      <c r="AA106" s="279"/>
      <c r="AB106" s="279"/>
      <c r="AC106" s="313"/>
      <c r="AD106" s="391"/>
      <c r="AE106" s="219"/>
      <c r="AF106" s="214" t="str">
        <f>IF(Roster!$L$19=0,"",Roster!$L$19)</f>
        <v/>
      </c>
      <c r="AG106" s="249"/>
      <c r="AH106" s="312"/>
      <c r="AI106" s="279"/>
      <c r="AJ106" s="279"/>
      <c r="AK106" s="279"/>
      <c r="AL106" s="279"/>
      <c r="AM106" s="279"/>
      <c r="AN106" s="279"/>
      <c r="AO106" s="279"/>
      <c r="AP106" s="279"/>
      <c r="AQ106" s="279"/>
      <c r="AR106" s="313"/>
      <c r="AS106" s="391"/>
      <c r="AT106" s="219"/>
      <c r="AU106" s="214" t="str">
        <f>IF(Roster!$L$20=0,"",Roster!$L$20)</f>
        <v/>
      </c>
      <c r="AV106" s="249"/>
      <c r="AW106" s="312"/>
      <c r="AX106" s="279"/>
      <c r="AY106" s="279"/>
      <c r="AZ106" s="279"/>
      <c r="BA106" s="279"/>
      <c r="BB106" s="279"/>
      <c r="BC106" s="279"/>
      <c r="BD106" s="279"/>
      <c r="BE106" s="279"/>
      <c r="BF106" s="279"/>
      <c r="BG106" s="313"/>
      <c r="BH106" s="391"/>
      <c r="BI106" s="235"/>
    </row>
    <row r="107" spans="1:61" ht="11.25" customHeight="1">
      <c r="A107" s="2"/>
      <c r="B107" s="211" t="str">
        <f>IF(Roster!$M$1=0,"",Roster!$M$1)</f>
        <v>PA</v>
      </c>
      <c r="C107" s="212"/>
      <c r="D107" s="312"/>
      <c r="E107" s="279"/>
      <c r="F107" s="279"/>
      <c r="G107" s="279"/>
      <c r="H107" s="279"/>
      <c r="I107" s="279"/>
      <c r="J107" s="279"/>
      <c r="K107" s="279"/>
      <c r="L107" s="279"/>
      <c r="M107" s="279"/>
      <c r="N107" s="313"/>
      <c r="O107" s="216"/>
      <c r="P107" s="2"/>
      <c r="Q107" s="211" t="str">
        <f>IF(Roster!$M$1=0,"",Roster!$M$1)</f>
        <v>PA</v>
      </c>
      <c r="R107" s="249"/>
      <c r="S107" s="312"/>
      <c r="T107" s="279"/>
      <c r="U107" s="279"/>
      <c r="V107" s="279"/>
      <c r="W107" s="279"/>
      <c r="X107" s="279"/>
      <c r="Y107" s="279"/>
      <c r="Z107" s="279"/>
      <c r="AA107" s="279"/>
      <c r="AB107" s="279"/>
      <c r="AC107" s="313"/>
      <c r="AD107" s="391"/>
      <c r="AE107" s="219"/>
      <c r="AF107" s="211" t="str">
        <f>IF(Roster!$M$1=0,"",Roster!$M$1)</f>
        <v>PA</v>
      </c>
      <c r="AG107" s="249"/>
      <c r="AH107" s="312"/>
      <c r="AI107" s="279"/>
      <c r="AJ107" s="279"/>
      <c r="AK107" s="279"/>
      <c r="AL107" s="279"/>
      <c r="AM107" s="279"/>
      <c r="AN107" s="279"/>
      <c r="AO107" s="279"/>
      <c r="AP107" s="279"/>
      <c r="AQ107" s="279"/>
      <c r="AR107" s="313"/>
      <c r="AS107" s="391"/>
      <c r="AT107" s="219"/>
      <c r="AU107" s="211" t="str">
        <f>IF(Roster!$M$1=0,"",Roster!$M$1)</f>
        <v>PA</v>
      </c>
      <c r="AV107" s="249"/>
      <c r="AW107" s="312"/>
      <c r="AX107" s="279"/>
      <c r="AY107" s="279"/>
      <c r="AZ107" s="279"/>
      <c r="BA107" s="279"/>
      <c r="BB107" s="279"/>
      <c r="BC107" s="279"/>
      <c r="BD107" s="279"/>
      <c r="BE107" s="279"/>
      <c r="BF107" s="279"/>
      <c r="BG107" s="313"/>
      <c r="BH107" s="391"/>
      <c r="BI107" s="235"/>
    </row>
    <row r="108" spans="1:61" ht="6" customHeight="1">
      <c r="A108" s="2"/>
      <c r="B108" s="403" t="str">
        <f>IF(Roster!$M$17=0&amp;"+","",Roster!$M$17)</f>
        <v/>
      </c>
      <c r="C108" s="212"/>
      <c r="D108" s="288"/>
      <c r="E108" s="289"/>
      <c r="F108" s="289"/>
      <c r="G108" s="289"/>
      <c r="H108" s="289"/>
      <c r="I108" s="289"/>
      <c r="J108" s="289"/>
      <c r="K108" s="289"/>
      <c r="L108" s="289"/>
      <c r="M108" s="289"/>
      <c r="N108" s="290"/>
      <c r="O108" s="218"/>
      <c r="P108" s="2"/>
      <c r="Q108" s="403" t="str">
        <f>IF(Roster!$M$18=0,"",Roster!$M$18)</f>
        <v/>
      </c>
      <c r="R108" s="249"/>
      <c r="S108" s="312"/>
      <c r="T108" s="279"/>
      <c r="U108" s="279"/>
      <c r="V108" s="279"/>
      <c r="W108" s="279"/>
      <c r="X108" s="279"/>
      <c r="Y108" s="279"/>
      <c r="Z108" s="279"/>
      <c r="AA108" s="279"/>
      <c r="AB108" s="279"/>
      <c r="AC108" s="313"/>
      <c r="AD108" s="391"/>
      <c r="AE108" s="219"/>
      <c r="AF108" s="403" t="str">
        <f>IF(Roster!$M$19=0,"",Roster!$M$19)</f>
        <v/>
      </c>
      <c r="AG108" s="249"/>
      <c r="AH108" s="312"/>
      <c r="AI108" s="279"/>
      <c r="AJ108" s="279"/>
      <c r="AK108" s="279"/>
      <c r="AL108" s="279"/>
      <c r="AM108" s="279"/>
      <c r="AN108" s="279"/>
      <c r="AO108" s="279"/>
      <c r="AP108" s="279"/>
      <c r="AQ108" s="279"/>
      <c r="AR108" s="313"/>
      <c r="AS108" s="391"/>
      <c r="AT108" s="219"/>
      <c r="AU108" s="403" t="str">
        <f>IF(Roster!$M$20=0,"",Roster!$M$20)</f>
        <v/>
      </c>
      <c r="AV108" s="249"/>
      <c r="AW108" s="312"/>
      <c r="AX108" s="279"/>
      <c r="AY108" s="279"/>
      <c r="AZ108" s="279"/>
      <c r="BA108" s="279"/>
      <c r="BB108" s="279"/>
      <c r="BC108" s="279"/>
      <c r="BD108" s="279"/>
      <c r="BE108" s="279"/>
      <c r="BF108" s="279"/>
      <c r="BG108" s="313"/>
      <c r="BH108" s="391"/>
      <c r="BI108" s="235"/>
    </row>
    <row r="109" spans="1:61" ht="4.5" customHeight="1">
      <c r="A109" s="2"/>
      <c r="B109" s="404"/>
      <c r="C109" s="210"/>
      <c r="D109" s="219"/>
      <c r="E109" s="217"/>
      <c r="F109" s="219"/>
      <c r="G109" s="217"/>
      <c r="H109" s="219"/>
      <c r="I109" s="217"/>
      <c r="J109" s="219"/>
      <c r="K109" s="217"/>
      <c r="L109" s="219"/>
      <c r="M109" s="217"/>
      <c r="N109" s="219"/>
      <c r="O109" s="218"/>
      <c r="P109" s="2"/>
      <c r="Q109" s="404"/>
      <c r="R109" s="249"/>
      <c r="S109" s="312"/>
      <c r="T109" s="279"/>
      <c r="U109" s="279"/>
      <c r="V109" s="279"/>
      <c r="W109" s="279"/>
      <c r="X109" s="279"/>
      <c r="Y109" s="279"/>
      <c r="Z109" s="279"/>
      <c r="AA109" s="279"/>
      <c r="AB109" s="279"/>
      <c r="AC109" s="313"/>
      <c r="AD109" s="391"/>
      <c r="AE109" s="219"/>
      <c r="AF109" s="404"/>
      <c r="AG109" s="249"/>
      <c r="AH109" s="312"/>
      <c r="AI109" s="279"/>
      <c r="AJ109" s="279"/>
      <c r="AK109" s="279"/>
      <c r="AL109" s="279"/>
      <c r="AM109" s="279"/>
      <c r="AN109" s="279"/>
      <c r="AO109" s="279"/>
      <c r="AP109" s="279"/>
      <c r="AQ109" s="279"/>
      <c r="AR109" s="313"/>
      <c r="AS109" s="391"/>
      <c r="AT109" s="219"/>
      <c r="AU109" s="404"/>
      <c r="AV109" s="249"/>
      <c r="AW109" s="312"/>
      <c r="AX109" s="279"/>
      <c r="AY109" s="279"/>
      <c r="AZ109" s="279"/>
      <c r="BA109" s="279"/>
      <c r="BB109" s="279"/>
      <c r="BC109" s="279"/>
      <c r="BD109" s="279"/>
      <c r="BE109" s="279"/>
      <c r="BF109" s="279"/>
      <c r="BG109" s="313"/>
      <c r="BH109" s="391"/>
      <c r="BI109" s="235"/>
    </row>
    <row r="110" spans="1:61" ht="11.25" customHeight="1">
      <c r="A110" s="2"/>
      <c r="B110" s="404"/>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404"/>
      <c r="R110" s="249"/>
      <c r="S110" s="312"/>
      <c r="T110" s="279"/>
      <c r="U110" s="279"/>
      <c r="V110" s="279"/>
      <c r="W110" s="279"/>
      <c r="X110" s="279"/>
      <c r="Y110" s="279"/>
      <c r="Z110" s="279"/>
      <c r="AA110" s="279"/>
      <c r="AB110" s="279"/>
      <c r="AC110" s="313"/>
      <c r="AD110" s="391"/>
      <c r="AE110" s="219"/>
      <c r="AF110" s="404"/>
      <c r="AG110" s="249"/>
      <c r="AH110" s="312"/>
      <c r="AI110" s="279"/>
      <c r="AJ110" s="279"/>
      <c r="AK110" s="279"/>
      <c r="AL110" s="279"/>
      <c r="AM110" s="279"/>
      <c r="AN110" s="279"/>
      <c r="AO110" s="279"/>
      <c r="AP110" s="279"/>
      <c r="AQ110" s="279"/>
      <c r="AR110" s="313"/>
      <c r="AS110" s="391"/>
      <c r="AT110" s="219"/>
      <c r="AU110" s="404"/>
      <c r="AV110" s="249"/>
      <c r="AW110" s="312"/>
      <c r="AX110" s="279"/>
      <c r="AY110" s="279"/>
      <c r="AZ110" s="279"/>
      <c r="BA110" s="279"/>
      <c r="BB110" s="279"/>
      <c r="BC110" s="279"/>
      <c r="BD110" s="279"/>
      <c r="BE110" s="279"/>
      <c r="BF110" s="279"/>
      <c r="BG110" s="313"/>
      <c r="BH110" s="391"/>
      <c r="BI110" s="235"/>
    </row>
    <row r="111" spans="1:61" ht="15" customHeight="1">
      <c r="A111" s="2"/>
      <c r="B111" s="404"/>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404"/>
      <c r="R111" s="249"/>
      <c r="S111" s="384"/>
      <c r="T111" s="362"/>
      <c r="U111" s="362"/>
      <c r="V111" s="362"/>
      <c r="W111" s="362"/>
      <c r="X111" s="362"/>
      <c r="Y111" s="362"/>
      <c r="Z111" s="362"/>
      <c r="AA111" s="362"/>
      <c r="AB111" s="362"/>
      <c r="AC111" s="385"/>
      <c r="AD111" s="391"/>
      <c r="AE111" s="219"/>
      <c r="AF111" s="404"/>
      <c r="AG111" s="249"/>
      <c r="AH111" s="384"/>
      <c r="AI111" s="362"/>
      <c r="AJ111" s="362"/>
      <c r="AK111" s="362"/>
      <c r="AL111" s="362"/>
      <c r="AM111" s="362"/>
      <c r="AN111" s="362"/>
      <c r="AO111" s="362"/>
      <c r="AP111" s="362"/>
      <c r="AQ111" s="362"/>
      <c r="AR111" s="385"/>
      <c r="AS111" s="391"/>
      <c r="AT111" s="219"/>
      <c r="AU111" s="404"/>
      <c r="AV111" s="249"/>
      <c r="AW111" s="384"/>
      <c r="AX111" s="362"/>
      <c r="AY111" s="362"/>
      <c r="AZ111" s="362"/>
      <c r="BA111" s="362"/>
      <c r="BB111" s="362"/>
      <c r="BC111" s="362"/>
      <c r="BD111" s="362"/>
      <c r="BE111" s="362"/>
      <c r="BF111" s="362"/>
      <c r="BG111" s="385"/>
      <c r="BH111" s="391"/>
      <c r="BI111" s="235"/>
    </row>
    <row r="112" spans="1:61" ht="4.5" customHeight="1">
      <c r="A112" s="2"/>
      <c r="B112" s="309"/>
      <c r="C112" s="213"/>
      <c r="D112" s="45"/>
      <c r="E112" s="223"/>
      <c r="F112" s="45"/>
      <c r="G112" s="223"/>
      <c r="H112" s="45"/>
      <c r="I112" s="223"/>
      <c r="J112" s="45"/>
      <c r="K112" s="223"/>
      <c r="L112" s="45"/>
      <c r="M112" s="223"/>
      <c r="N112" s="45"/>
      <c r="O112" s="218"/>
      <c r="P112" s="2"/>
      <c r="Q112" s="309"/>
      <c r="R112" s="249"/>
      <c r="S112" s="400"/>
      <c r="T112" s="245"/>
      <c r="U112" s="245"/>
      <c r="V112" s="245"/>
      <c r="W112" s="245"/>
      <c r="X112" s="245"/>
      <c r="Y112" s="245"/>
      <c r="Z112" s="245"/>
      <c r="AA112" s="245"/>
      <c r="AB112" s="245"/>
      <c r="AC112" s="265"/>
      <c r="AD112" s="391"/>
      <c r="AE112" s="219"/>
      <c r="AF112" s="309"/>
      <c r="AG112" s="249"/>
      <c r="AH112" s="400"/>
      <c r="AI112" s="245"/>
      <c r="AJ112" s="245"/>
      <c r="AK112" s="245"/>
      <c r="AL112" s="245"/>
      <c r="AM112" s="245"/>
      <c r="AN112" s="245"/>
      <c r="AO112" s="245"/>
      <c r="AP112" s="245"/>
      <c r="AQ112" s="245"/>
      <c r="AR112" s="265"/>
      <c r="AS112" s="391"/>
      <c r="AT112" s="219"/>
      <c r="AU112" s="309"/>
      <c r="AV112" s="249"/>
      <c r="AW112" s="400"/>
      <c r="AX112" s="245"/>
      <c r="AY112" s="245"/>
      <c r="AZ112" s="245"/>
      <c r="BA112" s="245"/>
      <c r="BB112" s="245"/>
      <c r="BC112" s="245"/>
      <c r="BD112" s="245"/>
      <c r="BE112" s="245"/>
      <c r="BF112" s="245"/>
      <c r="BG112" s="265"/>
      <c r="BH112" s="391"/>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49"/>
      <c r="S113" s="401" t="str">
        <f>IF(Roster!$J$25="Español","HABILIDADES Y RASGOS","SKILLS &amp; TRAITS")</f>
        <v>SKILLS &amp; TRAITS</v>
      </c>
      <c r="T113" s="253"/>
      <c r="U113" s="253"/>
      <c r="V113" s="253"/>
      <c r="W113" s="253"/>
      <c r="X113" s="253"/>
      <c r="Y113" s="253"/>
      <c r="Z113" s="253"/>
      <c r="AA113" s="253"/>
      <c r="AB113" s="253"/>
      <c r="AC113" s="402"/>
      <c r="AD113" s="391"/>
      <c r="AE113" s="219"/>
      <c r="AF113" s="211" t="str">
        <f>IF(Roster!$N$1=0,"",Roster!$N$1)</f>
        <v>AV</v>
      </c>
      <c r="AG113" s="249"/>
      <c r="AH113" s="401" t="str">
        <f>IF(Roster!$J$25="Español","HABILIDADES Y RASGOS","SKILLS &amp; TRAITS")</f>
        <v>SKILLS &amp; TRAITS</v>
      </c>
      <c r="AI113" s="253"/>
      <c r="AJ113" s="253"/>
      <c r="AK113" s="253"/>
      <c r="AL113" s="253"/>
      <c r="AM113" s="253"/>
      <c r="AN113" s="253"/>
      <c r="AO113" s="253"/>
      <c r="AP113" s="253"/>
      <c r="AQ113" s="253"/>
      <c r="AR113" s="402"/>
      <c r="AS113" s="391"/>
      <c r="AT113" s="219"/>
      <c r="AU113" s="211" t="str">
        <f>IF(Roster!$N$1=0,"",Roster!$N$1)</f>
        <v>AV</v>
      </c>
      <c r="AV113" s="249"/>
      <c r="AW113" s="401" t="str">
        <f>IF(Roster!$J$25="Italiano","ABILITÀ &amp; TRATTI",(IF(Roster!$J$25="Español","HABILIDADES Y RASGOS","SKILLS &amp; TRAITS")))</f>
        <v>ABILITÀ &amp; TRATTI</v>
      </c>
      <c r="AX113" s="253"/>
      <c r="AY113" s="253"/>
      <c r="AZ113" s="253"/>
      <c r="BA113" s="253"/>
      <c r="BB113" s="253"/>
      <c r="BC113" s="253"/>
      <c r="BD113" s="253"/>
      <c r="BE113" s="253"/>
      <c r="BF113" s="253"/>
      <c r="BG113" s="402"/>
      <c r="BH113" s="391"/>
      <c r="BI113" s="235"/>
    </row>
    <row r="114" spans="1:61" ht="15" customHeight="1">
      <c r="A114" s="2"/>
      <c r="B114" s="403" t="str">
        <f>IF(Roster!$N$17=0&amp;"+","",Roster!$N$17)</f>
        <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403" t="str">
        <f>IF(Roster!$N$18=0,"",Roster!$N$18)</f>
        <v/>
      </c>
      <c r="R114" s="249"/>
      <c r="S114" s="382" t="str">
        <f>IF(Roster!$O$18=0,"",Roster!$O$18)</f>
        <v/>
      </c>
      <c r="T114" s="358"/>
      <c r="U114" s="358"/>
      <c r="V114" s="358"/>
      <c r="W114" s="358"/>
      <c r="X114" s="358"/>
      <c r="Y114" s="358"/>
      <c r="Z114" s="358"/>
      <c r="AA114" s="358"/>
      <c r="AB114" s="358"/>
      <c r="AC114" s="383"/>
      <c r="AD114" s="391"/>
      <c r="AE114" s="219"/>
      <c r="AF114" s="403" t="str">
        <f>IF(Roster!$N$19=0,"",Roster!$N$19)</f>
        <v/>
      </c>
      <c r="AG114" s="249"/>
      <c r="AH114" s="382" t="str">
        <f>IF(Roster!$O$19=0,"",Roster!$O$19)</f>
        <v/>
      </c>
      <c r="AI114" s="358"/>
      <c r="AJ114" s="358"/>
      <c r="AK114" s="358"/>
      <c r="AL114" s="358"/>
      <c r="AM114" s="358"/>
      <c r="AN114" s="358"/>
      <c r="AO114" s="358"/>
      <c r="AP114" s="358"/>
      <c r="AQ114" s="358"/>
      <c r="AR114" s="383"/>
      <c r="AS114" s="391"/>
      <c r="AT114" s="219"/>
      <c r="AU114" s="403" t="str">
        <f>IF(Roster!$N$20=0,"",Roster!$N$20)</f>
        <v/>
      </c>
      <c r="AV114" s="249"/>
      <c r="AW114" s="382" t="str">
        <f>IF(Roster!$O$20=0,"",Roster!$O$20)</f>
        <v/>
      </c>
      <c r="AX114" s="358"/>
      <c r="AY114" s="358"/>
      <c r="AZ114" s="358"/>
      <c r="BA114" s="358"/>
      <c r="BB114" s="358"/>
      <c r="BC114" s="358"/>
      <c r="BD114" s="358"/>
      <c r="BE114" s="358"/>
      <c r="BF114" s="358"/>
      <c r="BG114" s="383"/>
      <c r="BH114" s="391"/>
      <c r="BI114" s="235"/>
    </row>
    <row r="115" spans="1:61" ht="4.5" customHeight="1">
      <c r="A115" s="2"/>
      <c r="B115" s="404"/>
      <c r="C115" s="213"/>
      <c r="D115" s="223"/>
      <c r="E115" s="223"/>
      <c r="F115" s="223"/>
      <c r="G115" s="223"/>
      <c r="H115" s="223"/>
      <c r="I115" s="223"/>
      <c r="J115" s="223"/>
      <c r="K115" s="223"/>
      <c r="L115" s="223"/>
      <c r="M115" s="223"/>
      <c r="N115" s="227"/>
      <c r="O115" s="226"/>
      <c r="P115" s="2"/>
      <c r="Q115" s="404"/>
      <c r="R115" s="249"/>
      <c r="S115" s="312"/>
      <c r="T115" s="279"/>
      <c r="U115" s="279"/>
      <c r="V115" s="279"/>
      <c r="W115" s="279"/>
      <c r="X115" s="279"/>
      <c r="Y115" s="279"/>
      <c r="Z115" s="279"/>
      <c r="AA115" s="279"/>
      <c r="AB115" s="279"/>
      <c r="AC115" s="313"/>
      <c r="AD115" s="391"/>
      <c r="AE115" s="219"/>
      <c r="AF115" s="404"/>
      <c r="AG115" s="249"/>
      <c r="AH115" s="312"/>
      <c r="AI115" s="279"/>
      <c r="AJ115" s="279"/>
      <c r="AK115" s="279"/>
      <c r="AL115" s="279"/>
      <c r="AM115" s="279"/>
      <c r="AN115" s="279"/>
      <c r="AO115" s="279"/>
      <c r="AP115" s="279"/>
      <c r="AQ115" s="279"/>
      <c r="AR115" s="313"/>
      <c r="AS115" s="391"/>
      <c r="AT115" s="219"/>
      <c r="AU115" s="404"/>
      <c r="AV115" s="249"/>
      <c r="AW115" s="312"/>
      <c r="AX115" s="279"/>
      <c r="AY115" s="279"/>
      <c r="AZ115" s="279"/>
      <c r="BA115" s="279"/>
      <c r="BB115" s="279"/>
      <c r="BC115" s="279"/>
      <c r="BD115" s="279"/>
      <c r="BE115" s="279"/>
      <c r="BF115" s="279"/>
      <c r="BG115" s="313"/>
      <c r="BH115" s="391"/>
      <c r="BI115" s="235"/>
    </row>
    <row r="116" spans="1:61" ht="11.25" customHeight="1">
      <c r="A116" s="2"/>
      <c r="B116" s="404"/>
      <c r="C116" s="213"/>
      <c r="D116" s="380" t="str">
        <f>IF(Roster!$J$25="Italiano","ABILITÀ &amp; TRATTI",(IF(Roster!$J$25="Español","HABILIDADES Y RASGOS","SKILLS &amp; TRAITS")))</f>
        <v>ABILITÀ &amp; TRATTI</v>
      </c>
      <c r="E116" s="315"/>
      <c r="F116" s="315"/>
      <c r="G116" s="315"/>
      <c r="H116" s="315"/>
      <c r="I116" s="315"/>
      <c r="J116" s="315"/>
      <c r="K116" s="315"/>
      <c r="L116" s="315"/>
      <c r="M116" s="315"/>
      <c r="N116" s="381"/>
      <c r="O116" s="226"/>
      <c r="P116" s="2"/>
      <c r="Q116" s="404"/>
      <c r="R116" s="249"/>
      <c r="S116" s="312"/>
      <c r="T116" s="279"/>
      <c r="U116" s="279"/>
      <c r="V116" s="279"/>
      <c r="W116" s="279"/>
      <c r="X116" s="279"/>
      <c r="Y116" s="279"/>
      <c r="Z116" s="279"/>
      <c r="AA116" s="279"/>
      <c r="AB116" s="279"/>
      <c r="AC116" s="313"/>
      <c r="AD116" s="391"/>
      <c r="AE116" s="219"/>
      <c r="AF116" s="404"/>
      <c r="AG116" s="249"/>
      <c r="AH116" s="312"/>
      <c r="AI116" s="279"/>
      <c r="AJ116" s="279"/>
      <c r="AK116" s="279"/>
      <c r="AL116" s="279"/>
      <c r="AM116" s="279"/>
      <c r="AN116" s="279"/>
      <c r="AO116" s="279"/>
      <c r="AP116" s="279"/>
      <c r="AQ116" s="279"/>
      <c r="AR116" s="313"/>
      <c r="AS116" s="391"/>
      <c r="AT116" s="219"/>
      <c r="AU116" s="404"/>
      <c r="AV116" s="249"/>
      <c r="AW116" s="312"/>
      <c r="AX116" s="279"/>
      <c r="AY116" s="279"/>
      <c r="AZ116" s="279"/>
      <c r="BA116" s="279"/>
      <c r="BB116" s="279"/>
      <c r="BC116" s="279"/>
      <c r="BD116" s="279"/>
      <c r="BE116" s="279"/>
      <c r="BF116" s="279"/>
      <c r="BG116" s="313"/>
      <c r="BH116" s="391"/>
      <c r="BI116" s="235"/>
    </row>
    <row r="117" spans="1:61" ht="6.75" customHeight="1">
      <c r="A117" s="2"/>
      <c r="B117" s="309"/>
      <c r="C117" s="213"/>
      <c r="D117" s="394" t="str">
        <f>IF(Roster!$O$17=0&amp;AQ98,"",Roster!$O$17)</f>
        <v/>
      </c>
      <c r="E117" s="358"/>
      <c r="F117" s="358"/>
      <c r="G117" s="358"/>
      <c r="H117" s="358"/>
      <c r="I117" s="358"/>
      <c r="J117" s="358"/>
      <c r="K117" s="358"/>
      <c r="L117" s="358"/>
      <c r="M117" s="358"/>
      <c r="N117" s="383"/>
      <c r="O117" s="226"/>
      <c r="P117" s="2"/>
      <c r="Q117" s="309"/>
      <c r="R117" s="249"/>
      <c r="S117" s="312"/>
      <c r="T117" s="279"/>
      <c r="U117" s="279"/>
      <c r="V117" s="279"/>
      <c r="W117" s="279"/>
      <c r="X117" s="279"/>
      <c r="Y117" s="279"/>
      <c r="Z117" s="279"/>
      <c r="AA117" s="279"/>
      <c r="AB117" s="279"/>
      <c r="AC117" s="313"/>
      <c r="AD117" s="391"/>
      <c r="AE117" s="219"/>
      <c r="AF117" s="309"/>
      <c r="AG117" s="249"/>
      <c r="AH117" s="312"/>
      <c r="AI117" s="279"/>
      <c r="AJ117" s="279"/>
      <c r="AK117" s="279"/>
      <c r="AL117" s="279"/>
      <c r="AM117" s="279"/>
      <c r="AN117" s="279"/>
      <c r="AO117" s="279"/>
      <c r="AP117" s="279"/>
      <c r="AQ117" s="279"/>
      <c r="AR117" s="313"/>
      <c r="AS117" s="391"/>
      <c r="AT117" s="219"/>
      <c r="AU117" s="309"/>
      <c r="AV117" s="249"/>
      <c r="AW117" s="312"/>
      <c r="AX117" s="279"/>
      <c r="AY117" s="279"/>
      <c r="AZ117" s="279"/>
      <c r="BA117" s="279"/>
      <c r="BB117" s="279"/>
      <c r="BC117" s="279"/>
      <c r="BD117" s="279"/>
      <c r="BE117" s="279"/>
      <c r="BF117" s="279"/>
      <c r="BG117" s="313"/>
      <c r="BH117" s="391"/>
      <c r="BI117" s="235"/>
    </row>
    <row r="118" spans="1:61" ht="11.25" customHeight="1">
      <c r="A118" s="2"/>
      <c r="B118" s="211" t="str">
        <f>IF(Roster!$AN$1=0,"",Roster!$AN$1)</f>
        <v>COSTO</v>
      </c>
      <c r="C118" s="212"/>
      <c r="D118" s="312"/>
      <c r="E118" s="279"/>
      <c r="F118" s="279"/>
      <c r="G118" s="279"/>
      <c r="H118" s="279"/>
      <c r="I118" s="279"/>
      <c r="J118" s="279"/>
      <c r="K118" s="279"/>
      <c r="L118" s="279"/>
      <c r="M118" s="279"/>
      <c r="N118" s="313"/>
      <c r="O118" s="230"/>
      <c r="P118" s="2"/>
      <c r="Q118" s="211" t="str">
        <f>IF(Roster!$AN$1=0,"",Roster!$AN$1)</f>
        <v>COSTO</v>
      </c>
      <c r="R118" s="249"/>
      <c r="S118" s="312"/>
      <c r="T118" s="279"/>
      <c r="U118" s="279"/>
      <c r="V118" s="279"/>
      <c r="W118" s="279"/>
      <c r="X118" s="279"/>
      <c r="Y118" s="279"/>
      <c r="Z118" s="279"/>
      <c r="AA118" s="279"/>
      <c r="AB118" s="279"/>
      <c r="AC118" s="313"/>
      <c r="AD118" s="391"/>
      <c r="AE118" s="219"/>
      <c r="AF118" s="211" t="str">
        <f>IF(Roster!$AN$1=0,"",Roster!$AN$1)</f>
        <v>COSTO</v>
      </c>
      <c r="AG118" s="249"/>
      <c r="AH118" s="312"/>
      <c r="AI118" s="279"/>
      <c r="AJ118" s="279"/>
      <c r="AK118" s="279"/>
      <c r="AL118" s="279"/>
      <c r="AM118" s="279"/>
      <c r="AN118" s="279"/>
      <c r="AO118" s="279"/>
      <c r="AP118" s="279"/>
      <c r="AQ118" s="279"/>
      <c r="AR118" s="313"/>
      <c r="AS118" s="391"/>
      <c r="AT118" s="219"/>
      <c r="AU118" s="211" t="str">
        <f>IF(Roster!$AN$1=0,"",Roster!$AN$1)</f>
        <v>COSTO</v>
      </c>
      <c r="AV118" s="249"/>
      <c r="AW118" s="312"/>
      <c r="AX118" s="279"/>
      <c r="AY118" s="279"/>
      <c r="AZ118" s="279"/>
      <c r="BA118" s="279"/>
      <c r="BB118" s="279"/>
      <c r="BC118" s="279"/>
      <c r="BD118" s="279"/>
      <c r="BE118" s="279"/>
      <c r="BF118" s="279"/>
      <c r="BG118" s="313"/>
      <c r="BH118" s="391"/>
      <c r="BI118" s="235"/>
    </row>
    <row r="119" spans="1:61" ht="34.5" customHeight="1">
      <c r="A119" s="2"/>
      <c r="B119" s="232" t="str">
        <f>IF(Roster!$AN$17=0,"",Roster!$AN$17)</f>
        <v/>
      </c>
      <c r="C119" s="233"/>
      <c r="D119" s="288"/>
      <c r="E119" s="289"/>
      <c r="F119" s="289"/>
      <c r="G119" s="289"/>
      <c r="H119" s="289"/>
      <c r="I119" s="289"/>
      <c r="J119" s="289"/>
      <c r="K119" s="289"/>
      <c r="L119" s="289"/>
      <c r="M119" s="289"/>
      <c r="N119" s="290"/>
      <c r="O119" s="230"/>
      <c r="P119" s="2"/>
      <c r="Q119" s="232" t="str">
        <f>IF(Roster!$AN$18=0,"",Roster!$AN$18)</f>
        <v/>
      </c>
      <c r="R119" s="250"/>
      <c r="S119" s="288"/>
      <c r="T119" s="289"/>
      <c r="U119" s="289"/>
      <c r="V119" s="289"/>
      <c r="W119" s="289"/>
      <c r="X119" s="289"/>
      <c r="Y119" s="289"/>
      <c r="Z119" s="289"/>
      <c r="AA119" s="289"/>
      <c r="AB119" s="289"/>
      <c r="AC119" s="290"/>
      <c r="AD119" s="392"/>
      <c r="AE119" s="219"/>
      <c r="AF119" s="232" t="str">
        <f>IF(Roster!$AN$19=0,"",Roster!$AN$19)</f>
        <v/>
      </c>
      <c r="AG119" s="250"/>
      <c r="AH119" s="288"/>
      <c r="AI119" s="289"/>
      <c r="AJ119" s="289"/>
      <c r="AK119" s="289"/>
      <c r="AL119" s="289"/>
      <c r="AM119" s="289"/>
      <c r="AN119" s="289"/>
      <c r="AO119" s="289"/>
      <c r="AP119" s="289"/>
      <c r="AQ119" s="289"/>
      <c r="AR119" s="290"/>
      <c r="AS119" s="392"/>
      <c r="AT119" s="219"/>
      <c r="AU119" s="232" t="str">
        <f>IF(Roster!$AN$20=0,"",Roster!$AN$20)</f>
        <v/>
      </c>
      <c r="AV119" s="250"/>
      <c r="AW119" s="288"/>
      <c r="AX119" s="289"/>
      <c r="AY119" s="289"/>
      <c r="AZ119" s="289"/>
      <c r="BA119" s="289"/>
      <c r="BB119" s="289"/>
      <c r="BC119" s="289"/>
      <c r="BD119" s="289"/>
      <c r="BE119" s="289"/>
      <c r="BF119" s="289"/>
      <c r="BG119" s="290"/>
      <c r="BH119" s="392"/>
      <c r="BI119" s="235"/>
    </row>
    <row r="120" spans="1:61" ht="4.5" customHeight="1">
      <c r="A120" s="2"/>
      <c r="B120" s="387"/>
      <c r="C120" s="242"/>
      <c r="D120" s="242"/>
      <c r="E120" s="242"/>
      <c r="F120" s="242"/>
      <c r="G120" s="242"/>
      <c r="H120" s="242"/>
      <c r="I120" s="242"/>
      <c r="J120" s="242"/>
      <c r="K120" s="242"/>
      <c r="L120" s="242"/>
      <c r="M120" s="242"/>
      <c r="N120" s="243"/>
      <c r="O120" s="234"/>
      <c r="P120" s="2"/>
      <c r="Q120" s="386"/>
      <c r="R120" s="242"/>
      <c r="S120" s="242"/>
      <c r="T120" s="242"/>
      <c r="U120" s="242"/>
      <c r="V120" s="242"/>
      <c r="W120" s="242"/>
      <c r="X120" s="242"/>
      <c r="Y120" s="242"/>
      <c r="Z120" s="242"/>
      <c r="AA120" s="242"/>
      <c r="AB120" s="242"/>
      <c r="AC120" s="242"/>
      <c r="AD120" s="302"/>
      <c r="AE120" s="235"/>
      <c r="AF120" s="386"/>
      <c r="AG120" s="242"/>
      <c r="AH120" s="242"/>
      <c r="AI120" s="242"/>
      <c r="AJ120" s="242"/>
      <c r="AK120" s="242"/>
      <c r="AL120" s="242"/>
      <c r="AM120" s="242"/>
      <c r="AN120" s="242"/>
      <c r="AO120" s="242"/>
      <c r="AP120" s="242"/>
      <c r="AQ120" s="242"/>
      <c r="AR120" s="242"/>
      <c r="AS120" s="302"/>
      <c r="AT120" s="235"/>
      <c r="AU120" s="386"/>
      <c r="AV120" s="242"/>
      <c r="AW120" s="242"/>
      <c r="AX120" s="242"/>
      <c r="AY120" s="242"/>
      <c r="AZ120" s="242"/>
      <c r="BA120" s="242"/>
      <c r="BB120" s="242"/>
      <c r="BC120" s="242"/>
      <c r="BD120" s="242"/>
      <c r="BE120" s="242"/>
      <c r="BF120" s="242"/>
      <c r="BG120" s="242"/>
      <c r="BH120" s="302"/>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
      </c>
      <c r="H44" s="12" t="str">
        <f t="shared" si="0"/>
        <v/>
      </c>
      <c r="I44" s="12" t="str">
        <f t="shared" si="0"/>
        <v/>
      </c>
      <c r="J44" s="12" t="str">
        <f t="shared" si="0"/>
        <v/>
      </c>
      <c r="K44" s="12" t="str">
        <f t="shared" si="0"/>
        <v/>
      </c>
      <c r="L44" s="12" t="str">
        <f t="shared" si="0"/>
        <v/>
      </c>
      <c r="M44" s="12" t="str">
        <f t="shared" si="0"/>
        <v/>
      </c>
      <c r="N44" s="12" t="str">
        <f t="shared" si="0"/>
        <v/>
      </c>
      <c r="O44" s="12" t="str">
        <f t="shared" si="0"/>
        <v/>
      </c>
      <c r="P44" s="12" t="str">
        <f t="shared" si="0"/>
        <v/>
      </c>
      <c r="Q44" s="12" t="str">
        <f t="shared" si="0"/>
        <v/>
      </c>
      <c r="R44" s="12" t="str">
        <f t="shared" si="0"/>
        <v/>
      </c>
      <c r="S44" s="12" t="str">
        <f t="shared" si="0"/>
        <v>AAC</v>
      </c>
      <c r="T44" s="12" t="str">
        <f t="shared" si="0"/>
        <v/>
      </c>
      <c r="U44" s="12" t="str">
        <f t="shared" si="0"/>
        <v/>
      </c>
      <c r="V44" s="12" t="str">
        <f t="shared" si="0"/>
        <v/>
      </c>
      <c r="W44" s="12" t="str">
        <f t="shared" si="0"/>
        <v/>
      </c>
      <c r="X44" s="12" t="str">
        <f t="shared" si="0"/>
        <v>AAD</v>
      </c>
      <c r="Y44" s="12" t="str">
        <f t="shared" si="0"/>
        <v>AAE</v>
      </c>
      <c r="Z44" s="12" t="str">
        <f t="shared" si="0"/>
        <v/>
      </c>
      <c r="AA44" s="12" t="str">
        <f t="shared" si="0"/>
        <v/>
      </c>
      <c r="AB44" s="12" t="str">
        <f t="shared" si="0"/>
        <v/>
      </c>
      <c r="AC44" s="12" t="str">
        <f t="shared" si="0"/>
        <v/>
      </c>
      <c r="AD44" s="12" t="str">
        <f t="shared" si="0"/>
        <v/>
      </c>
      <c r="AE44" s="12" t="str">
        <f t="shared" si="0"/>
        <v>AAF</v>
      </c>
      <c r="AF44" s="12" t="str">
        <f t="shared" si="0"/>
        <v/>
      </c>
      <c r="AG44" s="12" t="str">
        <f t="shared" si="0"/>
        <v/>
      </c>
      <c r="AH44" s="12" t="str">
        <f t="shared" si="0"/>
        <v>AAG</v>
      </c>
      <c r="AI44" s="12" t="s">
        <v>1327</v>
      </c>
      <c r="AJ44" s="12" t="s">
        <v>1328</v>
      </c>
      <c r="AK44" s="12" t="s">
        <v>1329</v>
      </c>
    </row>
    <row r="45" spans="1:37" ht="12.75" customHeight="1">
      <c r="A45" s="2"/>
      <c r="B45" s="12" t="str">
        <f>Roster!$BU$2</f>
        <v>BadlandsBrawl</v>
      </c>
      <c r="C45" s="12">
        <f>VLOOKUP($B$45,$B$48:$AH$62,2,FALSE)</f>
        <v>1</v>
      </c>
      <c r="D45" s="12">
        <f>VLOOKUP($B$45,$B$48:$AH$62,3,FALSE)</f>
        <v>0</v>
      </c>
      <c r="E45" s="12">
        <f>VLOOKUP($B$45,$B$48:$AH$62,4,FALSE)</f>
        <v>0</v>
      </c>
      <c r="F45" s="12">
        <f>VLOOKUP($B$45,$B$48:$AH$62,5,FALSE)</f>
        <v>1</v>
      </c>
      <c r="G45" s="12">
        <f>VLOOKUP($B$45,$B$48:$AH$62,6,FALSE)</f>
        <v>0</v>
      </c>
      <c r="H45" s="12">
        <f>VLOOKUP($B$45,$B$48:$AH$62,7,FALSE)</f>
        <v>0</v>
      </c>
      <c r="I45" s="12">
        <f>VLOOKUP($B$45,$B$48:$AH$62,8,FALSE)</f>
        <v>0</v>
      </c>
      <c r="J45" s="12">
        <f>VLOOKUP($B$45,$B$48:$AH$62,9,FALSE)</f>
        <v>0</v>
      </c>
      <c r="K45" s="12">
        <f>VLOOKUP($B$45,$B$48:$AH$62,10,FALSE)</f>
        <v>0</v>
      </c>
      <c r="L45" s="12">
        <f>VLOOKUP($B$45,$B$48:$AH$62,11,FALSE)</f>
        <v>0</v>
      </c>
      <c r="M45" s="12">
        <f>VLOOKUP($B$45,$B$48:$AH$62,12,FALSE)</f>
        <v>0</v>
      </c>
      <c r="N45" s="12">
        <f>VLOOKUP($B$45,$B$48:$AH$62,13,FALSE)</f>
        <v>0</v>
      </c>
      <c r="O45" s="12">
        <f>VLOOKUP($B$45,$B$48:$AH$62,14,FALSE)</f>
        <v>0</v>
      </c>
      <c r="P45" s="12">
        <f>VLOOKUP($B$45,$B$48:$AH$62,15,FALSE)</f>
        <v>0</v>
      </c>
      <c r="Q45" s="12">
        <f>VLOOKUP($B$45,$B$48:$AH$62,16,FALSE)</f>
        <v>0</v>
      </c>
      <c r="R45" s="12">
        <f>VLOOKUP($B$45,$B$48:$AH$62,17,FALSE)</f>
        <v>0</v>
      </c>
      <c r="S45" s="12">
        <f>VLOOKUP($B$45,$B$48:$AH$62,18,FALSE)</f>
        <v>1</v>
      </c>
      <c r="T45" s="12">
        <f>VLOOKUP($B$45,$B$48:$AH$62,19,FALSE)</f>
        <v>0</v>
      </c>
      <c r="U45" s="12">
        <f>VLOOKUP($B$45,$B$48:$AH$62,20,FALSE)</f>
        <v>0</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0</v>
      </c>
      <c r="AC45" s="12">
        <f>VLOOKUP($B$45,$B$48:$AH$62,28,FALSE)</f>
        <v>0</v>
      </c>
      <c r="AD45" s="12">
        <f>VLOOKUP($B$45,$B$48:$AH$62,29,FALSE)</f>
        <v>0</v>
      </c>
      <c r="AE45" s="12">
        <f>VLOOKUP($B$45,$B$48:$AH$62,30,FALSE)</f>
        <v>1</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AAAAABAACAADAAEAAFAAGCCCDDDEEE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AAC</v>
      </c>
      <c r="C67" s="12" t="str">
        <f t="shared" si="1"/>
        <v>The Black Gobbo</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AAD</v>
      </c>
      <c r="C68" s="12" t="str">
        <f t="shared" si="1"/>
        <v>Grak</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AAE</v>
      </c>
      <c r="C69" s="12" t="str">
        <f t="shared" si="1"/>
        <v>Crumbleberry</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AAF</v>
      </c>
      <c r="C70" s="12" t="str">
        <f t="shared" si="1"/>
        <v>Varag Ghoul-Chewer</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AAG</v>
      </c>
      <c r="C71" s="12" t="str">
        <f t="shared" si="1"/>
        <v>Morg 'n' Thorg</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CCC</v>
      </c>
      <c r="C72" s="12" t="str">
        <f t="shared" si="1"/>
        <v>Mercenario 1</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DDD</v>
      </c>
      <c r="C73" s="12" t="str">
        <f t="shared" si="1"/>
        <v>Mercenario 2</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EEE</v>
      </c>
      <c r="C74" s="12" t="str">
        <f t="shared" si="1"/>
        <v>Mercenario 3</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
      </c>
      <c r="C75" s="12" t="str">
        <f t="shared" si="1"/>
        <v xml:space="preserve"> </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
      </c>
      <c r="C76" s="12" t="str">
        <f t="shared" si="1"/>
        <v xml:space="preserve"> </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Utente</cp:lastModifiedBy>
  <dcterms:modified xsi:type="dcterms:W3CDTF">2022-12-29T17:47:22Z</dcterms:modified>
</cp:coreProperties>
</file>