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V36"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V99" i="5" l="1"/>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J135" i="7" s="1"/>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J104" i="7" s="1"/>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J15" i="7" s="1"/>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Z2" i="3"/>
  <c r="Z3" i="3" s="1"/>
  <c r="Y2" i="3"/>
  <c r="Y3" i="3" s="1"/>
  <c r="X2" i="3"/>
  <c r="J26" i="2" s="1"/>
  <c r="W2" i="3"/>
  <c r="W3" i="3" s="1"/>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I2" i="3" l="1"/>
  <c r="I3" i="3" s="1"/>
  <c r="X3" i="3"/>
  <c r="K2" i="3"/>
  <c r="K3" i="3" s="1"/>
  <c r="J171" i="7"/>
  <c r="J75" i="7"/>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P53" i="2"/>
  <c r="CR52" i="2"/>
  <c r="CN52" i="2"/>
  <c r="CZ51" i="2"/>
  <c r="CQ51" i="2"/>
  <c r="CR50" i="2"/>
  <c r="CN50" i="2"/>
  <c r="BS49" i="2"/>
  <c r="CG49" i="2" s="1"/>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AI47" i="2" l="1"/>
  <c r="CV48" i="2"/>
  <c r="CV53" i="2"/>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BS46" i="2" s="1"/>
  <c r="BA60" i="2" s="1"/>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T17" i="2" s="1"/>
  <c r="AR15" i="2"/>
  <c r="AT15" i="2" s="1"/>
  <c r="BI14" i="2"/>
  <c r="BJ14" i="2" s="1"/>
  <c r="AR14" i="2"/>
  <c r="AT14" i="2" s="1"/>
  <c r="BI13" i="2"/>
  <c r="BJ13" i="2" s="1"/>
  <c r="AR13" i="2"/>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AX8" i="2" s="1"/>
  <c r="BG7" i="2"/>
  <c r="BG4" i="2"/>
  <c r="BG3" i="2"/>
  <c r="I2" i="2"/>
  <c r="AS2" i="2" s="1"/>
  <c r="AI49" i="2"/>
  <c r="AL14" i="2" s="1"/>
  <c r="AU14" i="2" s="1"/>
  <c r="AI45" i="2"/>
  <c r="AL10" i="2" s="1"/>
  <c r="AU10" i="2" s="1"/>
  <c r="AI40" i="2"/>
  <c r="AL5" i="2" s="1"/>
  <c r="AU5" i="2" s="1"/>
  <c r="AL12" i="2"/>
  <c r="AU12" i="2" s="1"/>
  <c r="AI39" i="2"/>
  <c r="AL4" i="2" s="1"/>
  <c r="AU4" i="2" s="1"/>
  <c r="AI50" i="2"/>
  <c r="AL15" i="2" s="1"/>
  <c r="AU15" i="2" s="1"/>
  <c r="AI44" i="2"/>
  <c r="AL9" i="2" s="1"/>
  <c r="AU9" i="2" s="1"/>
  <c r="AX60" i="2" l="1"/>
  <c r="AY60" i="2"/>
  <c r="CG46" i="2"/>
  <c r="BI46" i="2" s="1"/>
  <c r="AG43" i="2" s="1"/>
  <c r="AN8" i="2" s="1"/>
  <c r="AU47" i="6" s="1"/>
  <c r="CU46" i="2"/>
  <c r="AI43" i="2" s="1"/>
  <c r="AL8" i="2" s="1"/>
  <c r="AU8" i="2" s="1"/>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71" i="6"/>
  <c r="AU71" i="5"/>
  <c r="AF56" i="6"/>
  <c r="AF56" i="5"/>
  <c r="AF6" i="6"/>
  <c r="AF6" i="5"/>
  <c r="AF30" i="6"/>
  <c r="AF30" i="5"/>
  <c r="AU54" i="6"/>
  <c r="AU54" i="5"/>
  <c r="AU8" i="5"/>
  <c r="AU8" i="6"/>
  <c r="B58" i="6"/>
  <c r="B58" i="5"/>
  <c r="AU56" i="6"/>
  <c r="AU56" i="5"/>
  <c r="BF5" i="2"/>
  <c r="AI52" i="2"/>
  <c r="AL17" i="2" s="1"/>
  <c r="AU17" i="2" s="1"/>
  <c r="BA72" i="2"/>
  <c r="AT13" i="2" s="1"/>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AU47" i="5" l="1"/>
  <c r="J30" i="2"/>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<sst xmlns="http://schemas.openxmlformats.org/spreadsheetml/2006/main" count="4014" uniqueCount="1376">
  <si>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</si>
  <si>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</si>
  <si>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</si>
  <si>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</si>
  <si>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</si>
  <si>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</si>
  <si>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</si>
  <si>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</si>
  <si>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</si>
  <si>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</si>
  <si>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</si>
  <si>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</si>
  <si>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</si>
  <si>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</si>
  <si>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</si>
  <si>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</si>
  <si>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</si>
  <si>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</si>
  <si>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</si>
  <si>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</si>
  <si>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</si>
  <si>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</si>
  <si>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</si>
  <si>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</si>
  <si>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</si>
  <si>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</si>
  <si>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</si>
  <si>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</si>
  <si>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</si>
  <si>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</si>
  <si>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</si>
  <si>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</si>
  <si>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</si>
  <si>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</si>
  <si>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</si>
  <si>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</si>
  <si>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</si>
  <si>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</si>
  <si>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</si>
  <si>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</si>
  <si>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</si>
  <si>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</si>
  <si>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</si>
  <si>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</si>
  <si>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</si>
  <si>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</si>
  <si>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</si>
  <si>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</si>
  <si>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</si>
  <si>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</si>
  <si>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</si>
  <si>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</si>
  <si>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</si>
  <si>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</si>
  <si>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</si>
  <si>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</si>
  <si>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</si>
  <si>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</si>
  <si>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</si>
  <si>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</si>
  <si>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</si>
  <si>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</si>
  <si>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</si>
  <si>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</si>
  <si>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</si>
  <si>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</si>
  <si>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</si>
  <si>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</si>
  <si>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</si>
  <si>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</si>
  <si>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</si>
  <si>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</si>
  <si>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</si>
  <si>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</si>
  <si>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</si>
  <si>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</si>
  <si>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</si>
  <si>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</si>
  <si>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</si>
  <si>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</si>
  <si>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</si>
  <si>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</si>
  <si>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</si>
  <si>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</si>
  <si>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</si>
  <si>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</si>
  <si>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</si>
  <si>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</si>
  <si>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</si>
  <si>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</si>
  <si>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</si>
  <si>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</si>
  <si>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</si>
  <si>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</si>
  <si>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</si>
  <si>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</si>
  <si>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</si>
  <si>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</si>
  <si>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</si>
  <si>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</si>
  <si>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</si>
  <si>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</si>
  <si>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</si>
  <si>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</si>
  <si>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</si>
  <si>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</si>
  <si>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</si>
  <si>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</si>
  <si>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</si>
  <si>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</si>
  <si>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</si>
  <si>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</si>
  <si>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</si>
  <si>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</si>
  <si>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</si>
  <si>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</si>
  <si>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</si>
  <si>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</si>
  <si>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</si>
  <si>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</si>
  <si>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</si>
  <si>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</si>
  <si>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</si>
  <si>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</si>
  <si>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</si>
  <si>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</si>
  <si>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</si>
  <si>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</si>
  <si>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</si>
  <si>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</si>
  <si>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</si>
  <si>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</si>
  <si>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</si>
  <si>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</si>
  <si>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</si>
  <si>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</si>
  <si>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</si>
  <si>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</si>
  <si>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</si>
  <si>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</si>
  <si>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</si>
  <si>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</si>
  <si>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</si>
  <si>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</si>
  <si>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</si>
  <si>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</si>
  <si>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</si>
  <si>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</si>
  <si>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</si>
  <si>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</si>
  <si>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</si>
  <si>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</si>
  <si>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</si>
  <si>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</si>
  <si>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</si>
  <si>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</si>
  <si>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</si>
  <si>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</si>
  <si>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</si>
  <si>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</si>
  <si>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</si>
  <si>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</si>
  <si>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</si>
  <si>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</si>
  <si>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</si>
  <si>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</si>
  <si>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</si>
  <si>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</si>
  <si>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</si>
  <si>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</si>
  <si>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</si>
  <si>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</si>
  <si>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</si>
  <si>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</si>
  <si>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</si>
  <si>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</si>
  <si>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</si>
  <si>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</si>
  <si>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</si>
  <si>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</si>
  <si>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</si>
  <si>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</si>
  <si>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</si>
  <si>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</si>
  <si>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</si>
  <si>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</si>
  <si>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</si>
  <si>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</si>
  <si>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</si>
  <si>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</si>
  <si>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</si>
  <si>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</si>
  <si>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</si>
  <si>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</si>
  <si>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</si>
  <si>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</si>
  <si>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</si>
  <si>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</si>
  <si>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</si>
  <si>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</si>
  <si>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</si>
  <si>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</si>
  <si>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</si>
  <si>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</si>
  <si>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</si>
  <si>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</si>
  <si>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</si>
  <si>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</si>
  <si>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</si>
  <si>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</si>
  <si>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</si>
  <si>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</si>
  <si>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</si>
  <si>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</si>
  <si>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</si>
  <si>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</si>
  <si>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</si>
  <si>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</si>
  <si>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</si>
  <si>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</si>
  <si>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</si>
  <si>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</si>
  <si>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</si>
  <si>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</si>
  <si>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</si>
  <si>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</si>
  <si>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</si>
  <si>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</si>
  <si>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</si>
  <si>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</si>
  <si>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</si>
  <si>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</si>
  <si>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</si>
  <si>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</si>
  <si>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</si>
  <si>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</si>
  <si>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</si>
  <si>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</si>
  <si>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</si>
  <si>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</si>
  <si>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</si>
  <si>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</si>
  <si>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</si>
  <si>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</si>
  <si>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</si>
  <si>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</si>
  <si>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</si>
  <si>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</si>
  <si>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</si>
  <si>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</si>
  <si>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</si>
  <si>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</si>
  <si>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</si>
  <si>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</si>
  <si>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</si>
  <si>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</si>
  <si>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</si>
  <si>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</si>
  <si>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</si>
  <si>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</si>
  <si>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</si>
  <si>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</si>
  <si>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</si>
  <si>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</si>
  <si>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</si>
  <si>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</si>
  <si>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</si>
  <si>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</si>
  <si>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</si>
  <si>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</si>
  <si>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</si>
  <si>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</si>
  <si>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</si>
  <si>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</si>
  <si>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</si>
  <si>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</si>
  <si>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</si>
  <si>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</si>
  <si>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</si>
  <si>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</si>
  <si>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</si>
  <si>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</si>
  <si>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</si>
  <si>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</si>
  <si>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</si>
  <si>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</si>
  <si>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</si>
  <si>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</si>
  <si>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</si>
  <si>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</si>
  <si>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</si>
  <si>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</si>
  <si>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</si>
  <si>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</si>
  <si>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</si>
  <si>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</si>
  <si>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</si>
  <si>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</si>
  <si>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</si>
  <si>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</si>
  <si>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</si>
  <si>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</si>
  <si>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</si>
  <si>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</si>
  <si>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</si>
  <si>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</si>
  <si>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</si>
  <si>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</si>
  <si>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</si>
  <si>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</si>
  <si>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</si>
  <si>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</si>
  <si>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</si>
  <si>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</si>
  <si>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</si>
  <si>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</si>
  <si>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</si>
  <si>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</si>
  <si>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</si>
  <si>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</si>
  <si>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</si>
  <si>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</si>
  <si>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</si>
  <si>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</si>
  <si>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</si>
  <si>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</si>
  <si>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</si>
  <si>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</si>
  <si>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</si>
  <si>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</si>
  <si>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</si>
  <si>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</si>
  <si>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</si>
  <si>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</si>
  <si>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</si>
  <si>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</si>
  <si>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</si>
  <si>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</si>
  <si>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</si>
  <si>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</si>
  <si>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</si>
  <si>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</si>
  <si>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</si>
  <si>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</si>
  <si>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</si>
  <si>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</si>
  <si>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</si>
  <si>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</si>
  <si>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</si>
  <si>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</si>
  <si>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</si>
  <si>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</si>
  <si>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</si>
  <si>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</si>
  <si>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</si>
  <si>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</si>
  <si>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</si>
  <si>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</si>
  <si>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</si>
  <si>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</si>
  <si>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</si>
  <si>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</si>
  <si>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</si>
  <si>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</si>
  <si>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</si>
  <si>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</si>
  <si>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</si>
  <si>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</si>
  <si>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</si>
  <si>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</si>
  <si>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</si>
  <si>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</si>
  <si>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</si>
  <si>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</si>
  <si>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</si>
  <si>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</si>
  <si>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</si>
  <si>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</si>
  <si>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</si>
  <si>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</si>
  <si>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</si>
  <si>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</si>
  <si>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</si>
  <si>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</si>
  <si>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</si>
  <si>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</si>
  <si>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</si>
  <si>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</si>
  <si>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</si>
  <si>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</si>
  <si>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</si>
  <si>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</si>
  <si>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</si>
  <si>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</si>
  <si>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</si>
  <si>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</si>
  <si>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</si>
  <si>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</si>
  <si>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</si>
  <si>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</si>
  <si>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</si>
  <si>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</si>
  <si>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</si>
  <si>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</si>
  <si>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</si>
  <si>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</si>
  <si>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</si>
  <si>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</si>
  <si>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</si>
  <si>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</si>
  <si>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</si>
  <si>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</si>
  <si>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</si>
  <si>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</si>
  <si>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</si>
  <si>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</si>
  <si>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</si>
  <si>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</si>
  <si>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</si>
  <si>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</si>
  <si>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</si>
  <si>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</si>
  <si>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</si>
  <si>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</si>
  <si>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</si>
  <si>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</si>
  <si>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</si>
  <si>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</si>
  <si>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</si>
  <si>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</si>
  <si>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</si>
  <si>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</si>
  <si>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</si>
  <si>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</si>
  <si>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</si>
  <si>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</si>
  <si>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</si>
  <si>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</si>
  <si>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</si>
  <si>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</si>
  <si>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</si>
  <si>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</si>
  <si>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</si>
  <si>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</si>
  <si>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</si>
  <si>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</si>
  <si>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</si>
  <si>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</si>
  <si>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</si>
  <si>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</si>
  <si>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</si>
  <si>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</si>
  <si>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</si>
  <si>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</si>
  <si>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</si>
  <si>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</si>
  <si>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</si>
  <si>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</si>
  <si>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</si>
  <si>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</si>
  <si>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</si>
  <si>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</si>
  <si>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</si>
  <si>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</si>
  <si>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</si>
  <si>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</si>
  <si>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</si>
  <si>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</si>
  <si>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</si>
  <si>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</si>
  <si>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</si>
  <si>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</si>
  <si>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</si>
  <si>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</si>
  <si>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</si>
  <si>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</si>
  <si>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</si>
  <si>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</si>
  <si>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</si>
  <si>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</si>
  <si>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</si>
  <si>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</si>
  <si>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</si>
  <si>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</si>
  <si>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</si>
  <si>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</si>
  <si>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</si>
  <si>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</si>
  <si>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</si>
  <si>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</si>
  <si>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</si>
  <si>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</si>
  <si>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</si>
  <si>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</si>
  <si>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</si>
  <si>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</si>
  <si>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</si>
  <si>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</si>
  <si>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</si>
  <si>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</si>
  <si>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</si>
  <si>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</si>
  <si>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</si>
  <si>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</si>
  <si>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</si>
  <si>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</si>
  <si>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</si>
  <si>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</si>
  <si>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</si>
  <si>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</si>
  <si>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</si>
  <si>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</si>
  <si>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</si>
  <si>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</si>
  <si>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</si>
  <si>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</si>
  <si>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</si>
  <si>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</si>
  <si>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</si>
  <si>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</si>
  <si>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</si>
  <si>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</si>
  <si>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</si>
  <si>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</si>
  <si>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</si>
  <si>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</si>
  <si>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</si>
  <si>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</si>
  <si>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</si>
  <si>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</si>
  <si>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</si>
  <si>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</si>
  <si>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</si>
  <si>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</si>
  <si>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</si>
  <si>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</si>
  <si>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</si>
  <si>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</si>
  <si>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</si>
  <si>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</si>
  <si>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</si>
  <si>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</si>
  <si>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</si>
  <si>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</si>
  <si>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</si>
  <si>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</si>
  <si>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</si>
  <si>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</si>
  <si>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</si>
  <si>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</si>
  <si>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</si>
  <si>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</si>
  <si>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</si>
  <si>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</si>
  <si>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</si>
  <si>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</si>
  <si>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</si>
  <si>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</si>
  <si>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</si>
  <si>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</si>
  <si>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</si>
  <si>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</si>
  <si>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</si>
  <si>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</si>
  <si>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</si>
  <si>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</si>
  <si>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</si>
  <si>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</si>
  <si>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</si>
  <si>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</si>
  <si>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</si>
  <si>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</si>
  <si>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</si>
  <si>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</si>
  <si>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</si>
  <si>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</si>
  <si>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</si>
  <si>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</si>
  <si>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</si>
  <si>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</si>
  <si>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</si>
  <si>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</si>
  <si>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</si>
  <si>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</si>
  <si>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</si>
  <si>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</si>
  <si>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</si>
  <si>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</si>
  <si>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</si>
  <si>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</si>
  <si>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</si>
  <si>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</si>
  <si>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</si>
  <si>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</si>
  <si>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</si>
  <si>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</si>
  <si>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</si>
  <si>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</si>
  <si>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</si>
  <si>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</si>
  <si>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</si>
  <si>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</si>
  <si>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</si>
  <si>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</si>
  <si>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</si>
  <si>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</si>
  <si>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</si>
  <si>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</si>
  <si>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</si>
  <si>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</si>
  <si>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</si>
  <si>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</si>
  <si>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</si>
  <si>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</si>
  <si>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</si>
  <si>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</si>
  <si>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</si>
  <si>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</si>
  <si>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</si>
  <si>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</si>
  <si>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</si>
  <si>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</si>
  <si>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</si>
  <si>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</si>
  <si>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</si>
  <si>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</si>
  <si>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</si>
  <si>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</si>
  <si>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</si>
  <si>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</si>
  <si>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</si>
  <si>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</si>
  <si>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</si>
  <si>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</si>
  <si>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</si>
  <si>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</si>
  <si>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</si>
  <si>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</si>
  <si>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</si>
  <si>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</si>
  <si>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</si>
  <si>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</si>
  <si>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</si>
  <si>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</si>
  <si>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</si>
  <si>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</si>
  <si>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</si>
  <si>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</si>
  <si>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</si>
  <si>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</si>
  <si>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</si>
  <si>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</si>
  <si>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</si>
  <si>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</si>
  <si>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</si>
  <si>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</si>
  <si>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</si>
  <si>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</si>
  <si>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</si>
  <si>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</si>
  <si>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</si>
  <si>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</si>
  <si>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</si>
  <si>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</si>
  <si>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</si>
  <si>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</si>
  <si>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</si>
  <si>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</si>
  <si>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</si>
  <si>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</si>
  <si>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</si>
  <si>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</si>
  <si>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</si>
  <si>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</si>
  <si>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</si>
  <si>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</si>
  <si>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</si>
  <si>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</si>
  <si>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</si>
  <si>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</si>
  <si>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</si>
  <si>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</si>
  <si>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</si>
  <si>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</si>
  <si>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</si>
  <si>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</si>
  <si>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</si>
  <si>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</si>
  <si>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</si>
  <si>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</si>
  <si>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</si>
  <si>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</si>
  <si>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</si>
  <si>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</si>
  <si>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</si>
  <si>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</si>
  <si>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</si>
  <si>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</si>
  <si>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</si>
  <si>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</si>
  <si>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</si>
  <si>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</si>
  <si>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</si>
  <si>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</si>
  <si>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</si>
  <si>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</si>
  <si>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</si>
  <si>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</si>
  <si>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</si>
  <si>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</si>
  <si>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</si>
  <si>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</si>
  <si>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</si>
  <si>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</si>
  <si>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</si>
  <si>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</si>
  <si>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</si>
  <si>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</si>
  <si>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</si>
  <si>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</si>
  <si>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</si>
  <si>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</si>
  <si>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</si>
  <si>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</si>
  <si>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</si>
  <si>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</si>
  <si>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</si>
  <si>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</si>
  <si>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</si>
  <si>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</si>
  <si>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</si>
  <si>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</si>
  <si>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</si>
  <si>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</si>
  <si>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</si>
  <si>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</si>
  <si>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</si>
  <si>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</si>
  <si>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</si>
  <si>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</si>
  <si>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</si>
  <si>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</si>
  <si>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</si>
  <si>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</si>
  <si>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</si>
  <si>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</si>
  <si>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</si>
  <si>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</si>
  <si>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</si>
  <si>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</si>
  <si>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</si>
  <si>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</si>
  <si>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</si>
  <si>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</si>
  <si>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</si>
  <si>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</si>
  <si>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</si>
  <si>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</si>
  <si>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</si>
  <si>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</si>
  <si>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</si>
  <si>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</si>
  <si>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</si>
  <si>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</si>
  <si>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</si>
  <si>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</si>
  <si>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</si>
  <si>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</si>
  <si>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</si>
  <si>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</si>
  <si>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</si>
  <si>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</si>
  <si>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</si>
  <si>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</si>
  <si>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</si>
  <si>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</si>
  <si>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</si>
  <si>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</si>
  <si>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</si>
  <si>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</si>
  <si>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</si>
  <si>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</si>
  <si>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</si>
  <si>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</si>
  <si>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</si>
  <si>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</si>
  <si>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</si>
  <si>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</si>
  <si>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</si>
  <si>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</si>
  <si>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</si>
  <si>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</si>
  <si>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</si>
  <si>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</si>
  <si>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</si>
  <si>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</si>
  <si>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</si>
  <si>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</si>
  <si>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</si>
  <si>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</si>
  <si>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</si>
  <si>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</si>
  <si>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</si>
  <si>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</si>
  <si>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</si>
  <si>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</si>
  <si>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</si>
  <si>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</si>
  <si>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</si>
  <si>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</si>
  <si>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</si>
  <si>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</si>
  <si>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</si>
  <si>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</si>
  <si>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</si>
  <si>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</si>
  <si>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</si>
  <si>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</si>
  <si>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</si>
  <si>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</si>
  <si>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</si>
  <si>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</si>
  <si>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</si>
  <si>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</si>
  <si>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</si>
  <si>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</si>
  <si>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</si>
  <si>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</si>
  <si>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</si>
  <si>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</si>
  <si>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</si>
  <si>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</si>
  <si>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</si>
  <si>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</si>
  <si>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</si>
  <si>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</si>
  <si>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</si>
  <si>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</si>
  <si>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</si>
  <si>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</si>
  <si>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</si>
  <si>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</si>
  <si>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</si>
  <si>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</si>
  <si>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</si>
  <si>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</si>
  <si>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</si>
  <si>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</si>
  <si>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</si>
  <si>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</si>
  <si>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</si>
  <si>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</si>
  <si>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</si>
  <si>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</si>
  <si>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</si>
  <si>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</si>
  <si>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</si>
  <si>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</si>
  <si>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</si>
  <si>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</si>
  <si>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</si>
  <si>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</si>
  <si>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</si>
  <si>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</si>
  <si>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</si>
  <si>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</si>
  <si>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</si>
  <si>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</si>
  <si>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</si>
  <si>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</si>
  <si>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</si>
  <si>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</si>
  <si>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</si>
  <si>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</si>
  <si>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</si>
  <si>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</si>
  <si>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</si>
  <si>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</si>
  <si>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</si>
  <si>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</si>
  <si>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</si>
  <si>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</si>
  <si>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</si>
  <si>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</si>
  <si>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</si>
  <si>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</si>
  <si>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</si>
  <si>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</si>
  <si>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</si>
  <si>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</si>
  <si>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</si>
  <si>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</si>
  <si>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</si>
  <si>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</si>
  <si>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</si>
  <si>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</si>
  <si>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</si>
  <si>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</si>
  <si>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</si>
  <si>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</si>
  <si>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</si>
  <si>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</si>
  <si>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</si>
  <si>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</si>
  <si>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</si>
  <si>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</si>
  <si>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</si>
  <si>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</si>
  <si>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</si>
  <si>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</si>
  <si>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</si>
  <si>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</si>
  <si>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</si>
  <si>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</si>
  <si>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</si>
  <si>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</si>
  <si>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</si>
  <si>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</si>
  <si>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</si>
  <si>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</si>
  <si>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</si>
  <si>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</si>
  <si>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</si>
  <si>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</si>
  <si>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</si>
  <si>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</si>
  <si>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</si>
  <si>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</si>
  <si>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</si>
  <si>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</si>
  <si>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</si>
  <si>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</si>
  <si>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</si>
  <si>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</si>
  <si>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</si>
  <si>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</si>
  <si>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</si>
  <si>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</si>
  <si>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</si>
  <si>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</si>
  <si>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</si>
  <si>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</si>
  <si>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</si>
  <si>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</si>
  <si>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</si>
  <si>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</si>
  <si>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</si>
  <si>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</si>
  <si>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</si>
  <si>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</si>
  <si>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</si>
  <si>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</si>
  <si>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</si>
  <si>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</si>
  <si>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</si>
  <si>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</si>
  <si>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</si>
  <si>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</si>
  <si>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</si>
  <si>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</si>
  <si>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</si>
  <si>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</si>
  <si>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</si>
  <si>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</si>
  <si>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</si>
  <si>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</si>
  <si>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</si>
  <si>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</si>
  <si>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</si>
  <si>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</si>
  <si>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</si>
  <si>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</si>
  <si>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</si>
  <si>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</si>
  <si>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</si>
  <si>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</si>
  <si>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</si>
  <si>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</si>
  <si>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</si>
  <si>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</si>
  <si>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</si>
  <si>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</si>
  <si>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</si>
  <si>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</si>
  <si>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</si>
  <si>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</si>
  <si>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</si>
  <si>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</si>
  <si>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</si>
  <si>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</si>
  <si>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</si>
  <si>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</si>
  <si>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</si>
  <si>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</si>
  <si>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</si>
  <si>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</si>
  <si>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</si>
  <si>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</si>
  <si>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</si>
  <si>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</si>
  <si>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</si>
  <si>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</si>
  <si>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</si>
  <si>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</si>
  <si>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</si>
  <si>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</si>
  <si>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</si>
  <si>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</si>
  <si>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</si>
  <si>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</si>
  <si>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</si>
  <si>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</si>
  <si>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</si>
  <si>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</si>
  <si>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</si>
  <si>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</si>
  <si>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</si>
  <si>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</si>
  <si>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</si>
  <si>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</si>
  <si>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</si>
  <si>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</si>
  <si>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</si>
  <si>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</si>
  <si>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</si>
  <si>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</si>
  <si>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</si>
  <si>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</si>
  <si>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</si>
  <si>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</si>
  <si>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</si>
  <si>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</si>
  <si>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</si>
  <si>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</si>
  <si>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</si>
  <si>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</si>
  <si>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</si>
  <si>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</si>
  <si>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</si>
  <si>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</si>
  <si>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</si>
  <si>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</si>
  <si>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</si>
  <si>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</si>
  <si>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</si>
  <si>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</si>
  <si>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</si>
  <si>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</si>
  <si>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</si>
  <si>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</si>
  <si>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</si>
  <si>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</si>
  <si>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</si>
  <si>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</si>
  <si>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</si>
  <si>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</si>
  <si>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</si>
  <si>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</si>
  <si>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</si>
  <si>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</si>
  <si>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</si>
  <si>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</si>
  <si>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</si>
  <si>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</si>
  <si>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</si>
  <si>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</si>
  <si>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</si>
  <si>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</si>
  <si>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</si>
  <si>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</si>
  <si>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</si>
  <si>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</si>
  <si>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</si>
  <si>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</si>
  <si>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</si>
  <si>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</si>
  <si>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</si>
  <si>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</si>
  <si>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</si>
  <si>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</si>
  <si>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</si>
  <si>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</si>
  <si>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</si>
  <si>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</si>
  <si>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</si>
  <si>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</si>
  <si>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</si>
  <si>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</si>
  <si>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</si>
  <si>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</si>
  <si>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</si>
  <si>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</si>
  <si>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</si>
  <si>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</si>
  <si>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</si>
  <si>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</si>
  <si>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</si>
  <si>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</si>
  <si>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</si>
  <si>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</si>
  <si>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</si>
  <si>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</si>
  <si>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</si>
  <si>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</si>
  <si>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</si>
  <si>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</si>
  <si>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</si>
  <si>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</si>
  <si>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</si>
  <si>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</si>
  <si>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</si>
  <si>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</si>
  <si>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</si>
  <si>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</si>
  <si>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</si>
  <si>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</si>
  <si>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</si>
  <si>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</si>
  <si>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</si>
  <si>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</si>
  <si>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</si>
  <si>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</si>
  <si>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</si>
  <si>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</si>
  <si>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</si>
  <si>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</si>
  <si>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</si>
  <si>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</si>
  <si>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</si>
  <si>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</si>
  <si>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</si>
  <si>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</si>
  <si>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</si>
  <si>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</si>
  <si>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</si>
  <si>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</si>
  <si>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</si>
  <si>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</si>
  <si>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</si>
  <si>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</si>
  <si>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</si>
  <si>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</si>
  <si>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</si>
  <si>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</si>
  <si>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</si>
  <si>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</si>
  <si>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</si>
  <si>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</si>
  <si>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</si>
  <si>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</si>
  <si>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</si>
  <si>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</si>
  <si>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</si>
  <si>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</si>
  <si>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</si>
  <si>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</si>
  <si>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</si>
  <si>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</si>
  <si>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</si>
  <si>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</si>
  <si>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</si>
  <si>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</si>
  <si>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</si>
  <si>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</si>
  <si>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</si>
  <si>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</si>
  <si>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</si>
  <si>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</si>
  <si>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</si>
  <si>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</si>
  <si>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</si>
  <si>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</si>
  <si>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</si>
  <si>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</si>
  <si>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</si>
  <si>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</si>
  <si>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</si>
  <si>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</si>
  <si>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</si>
  <si>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</si>
  <si>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</si>
  <si>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</si>
  <si>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</si>
  <si>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</si>
  <si>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</si>
  <si>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</si>
  <si>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</si>
  <si>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</si>
  <si>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</si>
  <si>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</si>
  <si>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</si>
  <si>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</si>
  <si>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</si>
  <si>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</si>
  <si>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</si>
  <si>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</si>
  <si>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</si>
  <si>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</si>
  <si>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</si>
  <si>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</si>
  <si>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</si>
  <si>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</si>
  <si>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</si>
  <si>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</si>
  <si>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</si>
  <si>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</si>
  <si>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</si>
  <si>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</si>
  <si>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</si>
  <si>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</si>
  <si>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</si>
  <si>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</si>
  <si>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</si>
  <si>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</si>
  <si>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</si>
  <si>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</si>
  <si>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</si>
  <si>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</si>
  <si>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</si>
  <si>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</si>
  <si>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</si>
  <si>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</si>
  <si>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</si>
  <si>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</si>
  <si>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</si>
  <si>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</si>
  <si>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</si>
  <si>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</si>
  <si>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</si>
  <si>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</si>
  <si>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</si>
  <si>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</si>
  <si>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</si>
  <si>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</si>
  <si>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</si>
  <si>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</si>
  <si>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</si>
  <si>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</si>
  <si>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</si>
  <si>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</si>
  <si>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</si>
  <si>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</si>
  <si>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</si>
  <si>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</si>
  <si>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</si>
  <si>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</si>
  <si>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</si>
  <si>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</si>
  <si>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</si>
  <si>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</si>
  <si>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</si>
  <si>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</si>
  <si>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</si>
  <si>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</si>
  <si>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</si>
  <si>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</si>
  <si>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</si>
  <si>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</si>
  <si>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</si>
  <si>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</si>
  <si>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</si>
  <si>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</si>
  <si>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</si>
  <si>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</si>
  <si>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</si>
  <si>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</si>
  <si>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</si>
  <si>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</si>
  <si>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</si>
  <si>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</si>
  <si>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</si>
  <si>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</si>
  <si>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</si>
  <si>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</si>
  <si>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</si>
  <si>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</si>
  <si>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</si>
  <si>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</si>
  <si>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</si>
  <si>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</si>
  <si>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</si>
  <si>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</si>
  <si>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</si>
  <si>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</si>
  <si>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</si>
  <si>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</si>
  <si>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</si>
  <si>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</si>
  <si>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</si>
  <si>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</si>
  <si>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</si>
  <si>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</si>
  <si>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</si>
  <si>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</si>
  <si>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</si>
  <si>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</si>
  <si>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</si>
  <si>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</si>
  <si>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</si>
  <si>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</si>
  <si>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</si>
  <si>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</si>
  <si>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</si>
  <si>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</si>
  <si>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</si>
  <si>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</si>
  <si>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</si>
  <si>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</si>
  <si>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</si>
  <si>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</si>
  <si>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</si>
  <si>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</si>
  <si>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</si>
  <si>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</si>
  <si>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</si>
  <si>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</si>
  <si>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</si>
  <si>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</si>
  <si>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</si>
  <si>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</si>
  <si>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</si>
  <si>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</si>
  <si>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</si>
  <si>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</si>
  <si>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</si>
  <si>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</si>
  <si>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</si>
  <si>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</si>
  <si>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</si>
  <si>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</si>
  <si>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</si>
  <si>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</si>
  <si>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</si>
  <si>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</si>
  <si>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</si>
  <si>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LIHULK</t>
  </si>
  <si>
    <t>RobocORK</t>
  </si>
  <si>
    <t>SULIDAMOR</t>
  </si>
  <si>
    <t>HIPPIE</t>
  </si>
  <si>
    <t>FREUD</t>
  </si>
  <si>
    <t>KALTENLAND</t>
  </si>
  <si>
    <t>DRAGONSRAGE</t>
  </si>
  <si>
    <t>NIVO</t>
  </si>
  <si>
    <t>SPARTAKO</t>
  </si>
  <si>
    <t>CIANTRU</t>
  </si>
  <si>
    <t>GAUTE</t>
  </si>
  <si>
    <t>RONNIE</t>
  </si>
  <si>
    <t>SCAVO</t>
  </si>
  <si>
    <t>Divoratori di Stadi - Red</t>
  </si>
  <si>
    <t>Weather: pouring rain, Major Sponsorship (McMurty's Burger Emporium)</t>
  </si>
  <si>
    <t>Club di Dibattito delle Malelande - Marco C.</t>
  </si>
  <si>
    <t>Leader</t>
  </si>
  <si>
    <t>Scelto</t>
  </si>
  <si>
    <t>Mighty Blow (+1)</t>
  </si>
  <si>
    <t>SULIDAMOR II</t>
  </si>
  <si>
    <t>SGAUA</t>
  </si>
  <si>
    <t>The Big Bang Theory - Freud</t>
  </si>
  <si>
    <t>Spilungoni - Ciantru</t>
  </si>
  <si>
    <t>dead</t>
  </si>
  <si>
    <t>SULIDAMOR III</t>
  </si>
  <si>
    <t>Nazzivegan Fay - Pino</t>
  </si>
  <si>
    <t>Ottiene Ongoing Sponsorship</t>
  </si>
  <si>
    <t>ZPARTAKO</t>
  </si>
  <si>
    <t>Concessione. Tiri sponsor ok, +20k</t>
  </si>
  <si>
    <t>Comitato Dopolavoro Badanti Lustriane - Sgaua</t>
  </si>
  <si>
    <t>Quarti di Finale</t>
  </si>
  <si>
    <t>Tiri sponsor ok, +20k, Ottiene Ongoing Sponsorship (Orck Sushi Burgher), Crisis Averted</t>
  </si>
  <si>
    <t>MASTRO</t>
  </si>
  <si>
    <t>Tackle</t>
  </si>
  <si>
    <t>Guard</t>
  </si>
  <si>
    <t>Morti di Sonno - Sulidamor</t>
  </si>
  <si>
    <t xml:space="preserve">Semifinale </t>
  </si>
  <si>
    <t>Crisis Avereted, Sponsor ok</t>
  </si>
  <si>
    <t>Mighty blow (+1), dead</t>
  </si>
  <si>
    <t>Finale 3-4o Posto</t>
  </si>
  <si>
    <t>Crisis Averted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</si>
</sst>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7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49" fillId="2" borderId="87" xfId="0" applyFont="1" applyFill="1" applyBorder="1" applyAlignment="1" applyProtection="1">
      <alignment horizontal="center" vertical="center" wrapText="1"/>
      <protection locked="0"/>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3" fontId="50" fillId="2" borderId="2" xfId="0" applyNumberFormat="1" applyFont="1" applyFill="1" applyBorder="1" applyAlignment="1" applyProtection="1">
      <alignment horizontal="center" vertical="center"/>
    </xf>
    <xf numFmtId="0" fontId="51" fillId="0" borderId="4" xfId="0" applyFont="1" applyBorder="1" applyProtection="1"/>
    <xf numFmtId="0" fontId="11" fillId="0" borderId="2" xfId="0" applyFont="1" applyBorder="1" applyAlignment="1" applyProtection="1">
      <alignment horizontal="center" vertical="center"/>
      <protection locked="0"/>
    </xf>
    <xf numFmtId="0" fontId="1" fillId="0" borderId="3" xfId="0" applyFont="1" applyBorder="1" applyProtection="1">
      <protection locked="0"/>
    </xf>
    <xf numFmtId="0" fontId="1" fillId="0" borderId="4" xfId="0" applyFont="1" applyBorder="1" applyProtection="1">
      <protection locked="0"/>
    </xf>
    <xf numFmtId="0" fontId="15" fillId="3" borderId="2" xfId="0" applyFont="1" applyFill="1" applyBorder="1" applyAlignment="1" applyProtection="1">
      <alignment horizontal="center" vertical="center" shrinkToFit="1"/>
    </xf>
    <xf numFmtId="0" fontId="1" fillId="0" borderId="3" xfId="0" applyFont="1" applyBorder="1" applyProtection="1"/>
    <xf numFmtId="0" fontId="1" fillId="0" borderId="4" xfId="0" applyFont="1" applyBorder="1" applyProtection="1"/>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0" borderId="2" xfId="0" applyFont="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 fillId="0" borderId="42" xfId="0" applyFont="1" applyBorder="1" applyProtection="1"/>
    <xf numFmtId="0" fontId="1" fillId="0" borderId="43" xfId="0" applyFont="1" applyBorder="1" applyProtection="1"/>
    <xf numFmtId="0" fontId="18" fillId="2" borderId="36" xfId="0" applyFont="1" applyFill="1" applyBorder="1" applyAlignment="1" applyProtection="1">
      <alignment horizontal="center" vertical="center"/>
    </xf>
    <xf numFmtId="0" fontId="1" fillId="0" borderId="33" xfId="0" applyFont="1" applyBorder="1" applyProtection="1"/>
    <xf numFmtId="0" fontId="1" fillId="0" borderId="37" xfId="0" applyFont="1" applyBorder="1" applyProtection="1"/>
    <xf numFmtId="3" fontId="11" fillId="2" borderId="28" xfId="0" applyNumberFormat="1" applyFont="1" applyFill="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50" fillId="2" borderId="2" xfId="0" applyFont="1" applyFill="1" applyBorder="1" applyAlignment="1" applyProtection="1">
      <alignment horizontal="center" vertical="center" wrapText="1"/>
    </xf>
    <xf numFmtId="0" fontId="51" fillId="0" borderId="3" xfId="0" applyFont="1" applyBorder="1" applyProtection="1"/>
    <xf numFmtId="0" fontId="8" fillId="3" borderId="2" xfId="0" applyFont="1" applyFill="1" applyBorder="1" applyAlignment="1" applyProtection="1">
      <alignment horizontal="center" vertical="center" wrapText="1"/>
    </xf>
    <xf numFmtId="0" fontId="13" fillId="0" borderId="0" xfId="0" applyFont="1" applyAlignment="1" applyProtection="1">
      <alignment horizontal="center" vertical="center"/>
    </xf>
    <xf numFmtId="0" fontId="10" fillId="0" borderId="0" xfId="0" applyFont="1" applyAlignment="1" applyProtection="1">
      <alignment horizontal="center" vertical="center"/>
    </xf>
    <xf numFmtId="0" fontId="0" fillId="0" borderId="0" xfId="0" applyFont="1" applyAlignment="1" applyProtection="1"/>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0" fontId="1" fillId="0" borderId="46" xfId="0" applyFont="1" applyBorder="1" applyProtection="1"/>
    <xf numFmtId="0" fontId="14" fillId="0" borderId="2" xfId="0" applyFont="1" applyBorder="1" applyAlignment="1" applyProtection="1">
      <alignment horizontal="center" vertical="center" shrinkToFit="1"/>
      <protection locked="0"/>
    </xf>
    <xf numFmtId="0" fontId="15" fillId="3" borderId="28" xfId="0" applyFont="1" applyFill="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8" fillId="3" borderId="2" xfId="0" applyFont="1" applyFill="1" applyBorder="1" applyAlignment="1" applyProtection="1">
      <alignment horizontal="center" vertical="center"/>
    </xf>
    <xf numFmtId="0" fontId="9" fillId="0" borderId="0" xfId="0" applyFont="1" applyAlignment="1" applyProtection="1">
      <alignment horizontal="center" vertical="center"/>
    </xf>
    <xf numFmtId="0" fontId="1" fillId="0" borderId="23" xfId="0" applyFont="1" applyBorder="1" applyProtection="1"/>
    <xf numFmtId="0" fontId="1" fillId="0" borderId="47" xfId="0" applyFont="1" applyBorder="1" applyProtection="1"/>
    <xf numFmtId="0" fontId="0" fillId="0" borderId="2" xfId="0" applyFont="1" applyBorder="1" applyAlignment="1" applyProtection="1">
      <alignment horizontal="center" vertical="center"/>
      <protection locked="0"/>
    </xf>
    <xf numFmtId="0" fontId="60" fillId="0" borderId="0" xfId="0" applyFont="1" applyAlignment="1">
      <alignment horizontal="center" vertical="center"/>
    </xf>
    <xf numFmtId="0" fontId="0" fillId="0" borderId="0" xfId="0"/>
    <xf numFmtId="0" fontId="9" fillId="0" borderId="2"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9" fillId="3" borderId="2" xfId="0" applyFont="1" applyFill="1" applyBorder="1" applyAlignment="1" applyProtection="1">
      <alignment horizontal="center" vertical="center" wrapText="1"/>
    </xf>
    <xf numFmtId="3" fontId="11" fillId="5" borderId="2" xfId="0" applyNumberFormat="1" applyFont="1" applyFill="1" applyBorder="1" applyAlignment="1" applyProtection="1">
      <alignment horizontal="center" vertical="center" shrinkToFit="1"/>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3" fontId="11" fillId="2" borderId="2" xfId="0" applyNumberFormat="1" applyFont="1" applyFill="1" applyBorder="1" applyAlignment="1" applyProtection="1">
      <alignment horizontal="center" vertical="center" shrinkToFit="1"/>
      <protection locked="0"/>
    </xf>
    <xf numFmtId="0" fontId="0" fillId="2" borderId="2" xfId="0" applyFont="1" applyFill="1" applyBorder="1" applyAlignment="1" applyProtection="1">
      <alignment horizontal="center" vertical="center"/>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0" fillId="0" borderId="2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6" fillId="0" borderId="0" xfId="0" applyFont="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1" xfId="0" applyFont="1" applyBorder="1" applyProtection="1"/>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5"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95" xfId="0" applyFont="1" applyBorder="1" applyProtection="1"/>
    <xf numFmtId="0" fontId="23" fillId="15" borderId="102" xfId="0" applyFont="1" applyFill="1" applyBorder="1" applyAlignment="1" applyProtection="1">
      <alignment horizontal="center" vertical="center"/>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3" fontId="7" fillId="2" borderId="2" xfId="0" applyNumberFormat="1"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shrinkToFit="1"/>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18" fillId="2" borderId="123" xfId="0" applyFont="1" applyFill="1" applyBorder="1" applyAlignment="1" applyProtection="1">
      <alignment horizontal="center" vertical="center"/>
    </xf>
    <xf numFmtId="0" fontId="32" fillId="8" borderId="7"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10" borderId="102" xfId="0" applyFont="1" applyFill="1" applyBorder="1" applyAlignment="1" applyProtection="1">
      <alignment horizontal="center" vertical="center" wrapText="1"/>
    </xf>
    <xf numFmtId="0" fontId="37" fillId="2" borderId="7" xfId="0" applyFont="1" applyFill="1" applyBorder="1" applyAlignment="1" applyProtection="1">
      <alignment horizontal="left"/>
    </xf>
    <xf numFmtId="0" fontId="33" fillId="8" borderId="7" xfId="0" applyFont="1" applyFill="1" applyBorder="1" applyAlignment="1" applyProtection="1">
      <alignment horizontal="center" vertical="center" shrinkToFit="1"/>
    </xf>
    <xf numFmtId="0" fontId="32" fillId="9" borderId="1" xfId="0" applyFont="1" applyFill="1" applyBorder="1" applyAlignment="1" applyProtection="1">
      <alignment horizontal="center" vertical="center"/>
    </xf>
    <xf numFmtId="0" fontId="35" fillId="9" borderId="1" xfId="0" applyFont="1" applyFill="1" applyBorder="1" applyAlignment="1" applyProtection="1">
      <alignment horizontal="center" vertical="center"/>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0" fontId="0" fillId="9" borderId="1" xfId="0" applyFont="1" applyFill="1" applyBorder="1" applyAlignment="1" applyProtection="1">
      <alignment horizontal="center"/>
    </xf>
    <xf numFmtId="0" fontId="1" fillId="0" borderId="97" xfId="0" applyFont="1" applyBorder="1" applyAlignment="1" applyProtection="1">
      <alignment horizontal="center"/>
      <protection locked="0"/>
    </xf>
    <xf numFmtId="0" fontId="54" fillId="8"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shrinkToFit="1"/>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3" fontId="33" fillId="8" borderId="7" xfId="0" applyNumberFormat="1" applyFont="1" applyFill="1" applyBorder="1" applyAlignment="1" applyProtection="1">
      <alignment horizontal="center" vertical="center" shrinkToFit="1"/>
    </xf>
    <xf numFmtId="3" fontId="35" fillId="9" borderId="7" xfId="0" applyNumberFormat="1" applyFont="1" applyFill="1" applyBorder="1" applyAlignment="1" applyProtection="1">
      <alignment horizontal="center" vertical="center"/>
    </xf>
    <xf numFmtId="0" fontId="0" fillId="8" borderId="7" xfId="0" applyFont="1" applyFill="1" applyBorder="1" applyAlignment="1" applyProtection="1">
      <alignment horizontal="center"/>
    </xf>
    <xf numFmtId="1" fontId="35" fillId="9" borderId="7" xfId="0" applyNumberFormat="1" applyFont="1" applyFill="1" applyBorder="1" applyAlignment="1" applyProtection="1">
      <alignment horizontal="center" vertical="center"/>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0" fontId="41" fillId="4" borderId="7" xfId="0" applyFont="1" applyFill="1" applyBorder="1" applyAlignment="1" applyProtection="1">
      <alignment horizontal="center"/>
    </xf>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5" fillId="4" borderId="32" xfId="0" applyFont="1" applyFill="1" applyBorder="1" applyAlignment="1" applyProtection="1">
      <alignment horizontal="center"/>
    </xf>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0" fillId="4" borderId="32" xfId="0" applyFont="1" applyFill="1" applyBorder="1" applyProtection="1"/>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3" fillId="4" borderId="1" xfId="0" applyFont="1" applyFill="1" applyBorder="1" applyAlignment="1" applyProtection="1">
      <alignment horizontal="center" vertical="center"/>
    </xf>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6" fillId="4" borderId="28" xfId="0" applyFont="1" applyFill="1" applyBorder="1" applyAlignment="1" applyProtection="1">
      <alignment horizontal="left" vertical="top" wrapText="1"/>
    </xf>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3" fontId="42" fillId="4" borderId="7" xfId="0" applyNumberFormat="1" applyFont="1" applyFill="1" applyBorder="1" applyAlignment="1" applyProtection="1">
      <alignment horizontal="center" vertical="center" shrinkToFit="1"/>
    </xf>
    <xf numFmtId="3"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1" fontId="44" fillId="4" borderId="2" xfId="0" applyNumberFormat="1" applyFont="1" applyFill="1" applyBorder="1" applyAlignment="1" applyProtection="1">
      <alignment horizontal="center" vertical="center"/>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cellXfs>
  <cellStyles count="2">
    <cellStyle name="Collegamento ipertestuale" xfId="1" builtinId="8"/>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3"/>
      <c r="B1" s="316" t="str">
        <f>IF(Roster!$J$25="Italiano","Blood Bowl 2020 Roster Lega",(IF(Roster!$J$25="Español","Blood Bowl 2020 Roster League",(IF(Roster!$J$25="Deutsch","Blood Bowl 2020 Roster Liga",(IF(Roster!$J$25="Français","Blood Bowl 2020 Roster Ligue","Blood Bowl 2020 Roster League")))))))</f>
        <v>Blood Bowl 2020 Roster Lega</v>
      </c>
      <c r="C1" s="317"/>
      <c r="D1" s="318"/>
      <c r="E1" s="31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4"/>
      <c r="B2" s="319" t="str">
        <f>Roster!A33</f>
        <v>v4.3 - Creato da dreamscreator</v>
      </c>
      <c r="C2" s="320"/>
      <c r="D2" s="321"/>
      <c r="E2" s="31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4"/>
      <c r="B3" s="322" t="str">
        <f>Roster!A34</f>
        <v>Tradotto da Leonida https://bloodbowlhelp.wordpress.com</v>
      </c>
      <c r="C3" s="320"/>
      <c r="D3" s="321"/>
      <c r="E3" s="31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4"/>
      <c r="B4" s="323"/>
      <c r="C4" s="320"/>
      <c r="D4" s="321"/>
      <c r="E4" s="31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4"/>
      <c r="B5" s="323" t="str">
        <f>IF(Roster!$J$25="Italiano",M5,(IF(Roster!$J$25="Español",J5,(IF(Roster!$J$25="Deutsch",K5,(IF(Roster!$J$25="Français",L5,I5)))))))</f>
        <v>Compatibile con Excel, Google Sheets (basta caricare Excel su Google Drive) e Libre Office</v>
      </c>
      <c r="C5" s="320"/>
      <c r="D5" s="321"/>
      <c r="E5" s="314"/>
      <c r="F5" s="2"/>
      <c r="G5" s="2"/>
      <c r="H5" s="1"/>
      <c r="I5" s="247" t="s">
        <v>0</v>
      </c>
      <c r="J5" s="3" t="s">
        <v>1</v>
      </c>
      <c r="K5" s="1" t="s">
        <v>2</v>
      </c>
      <c r="L5" s="247" t="s">
        <v>3</v>
      </c>
      <c r="M5" s="247" t="s">
        <v>1241</v>
      </c>
      <c r="N5" s="1"/>
      <c r="O5" s="1"/>
      <c r="P5" s="1"/>
      <c r="Q5" s="1"/>
      <c r="R5" s="1"/>
      <c r="S5" s="1"/>
      <c r="T5" s="1"/>
      <c r="U5" s="1"/>
      <c r="V5" s="1"/>
      <c r="W5" s="1"/>
      <c r="X5" s="1"/>
      <c r="Y5" s="1"/>
      <c r="Z5" s="1"/>
      <c r="AA5" s="1"/>
      <c r="AB5" s="1"/>
      <c r="AC5" s="1"/>
      <c r="AD5" s="1"/>
      <c r="AE5" s="1"/>
    </row>
    <row r="6" spans="1:31" s="23" customFormat="1" ht="15" customHeight="1">
      <c r="A6" s="315"/>
      <c r="B6" s="333"/>
      <c r="C6" s="333"/>
      <c r="D6" s="333"/>
      <c r="E6" s="315"/>
      <c r="F6" s="2"/>
      <c r="G6" s="2"/>
      <c r="H6" s="248"/>
      <c r="I6" s="250"/>
      <c r="J6" s="252"/>
      <c r="K6" s="248"/>
      <c r="L6" s="250"/>
      <c r="M6" s="250"/>
      <c r="N6" s="248"/>
      <c r="O6" s="248"/>
      <c r="P6" s="248"/>
      <c r="Q6" s="248"/>
      <c r="R6" s="248"/>
      <c r="S6" s="248"/>
      <c r="T6" s="248"/>
      <c r="U6" s="248"/>
      <c r="V6" s="248"/>
      <c r="W6" s="248"/>
      <c r="X6" s="248"/>
      <c r="Y6" s="248"/>
      <c r="Z6" s="248"/>
      <c r="AA6" s="248"/>
      <c r="AB6" s="248"/>
      <c r="AC6" s="248"/>
      <c r="AD6" s="248"/>
      <c r="AE6" s="248"/>
    </row>
    <row r="7" spans="1:31" ht="15" customHeight="1">
      <c r="A7" s="314"/>
      <c r="B7" s="323" t="str">
        <f>IF(Roster!$J$25="Italiano",M7,(IF(Roster!$J$25="Español",J7,(IF(Roster!$J$25="Deutsch",K7,(IF(Roster!$J$25="Français",L7,I7)))))))</f>
        <v>Se volete aiutarmi a continuare con i roster in excel, potete donare al seguente link, grazie mille!</v>
      </c>
      <c r="C7" s="320"/>
      <c r="D7" s="321"/>
      <c r="E7" s="314"/>
      <c r="F7" s="1"/>
      <c r="G7" s="1"/>
      <c r="H7" s="1"/>
      <c r="I7" s="247" t="s">
        <v>1257</v>
      </c>
      <c r="J7" s="247" t="s">
        <v>1258</v>
      </c>
      <c r="K7" s="247" t="s">
        <v>1260</v>
      </c>
      <c r="L7" s="247" t="s">
        <v>1259</v>
      </c>
      <c r="M7" s="247" t="s">
        <v>1261</v>
      </c>
      <c r="N7" s="1"/>
      <c r="O7" s="1"/>
      <c r="P7" s="1"/>
      <c r="Q7" s="1"/>
      <c r="R7" s="1"/>
      <c r="S7" s="1"/>
      <c r="T7" s="1"/>
      <c r="U7" s="1"/>
      <c r="V7" s="1"/>
      <c r="W7" s="1"/>
      <c r="X7" s="1"/>
      <c r="Y7" s="1"/>
      <c r="Z7" s="1"/>
      <c r="AA7" s="1"/>
      <c r="AB7" s="1"/>
      <c r="AC7" s="1"/>
      <c r="AD7" s="1"/>
      <c r="AE7" s="1"/>
    </row>
    <row r="8" spans="1:31" s="23" customFormat="1" ht="15" customHeight="1">
      <c r="A8" s="315"/>
      <c r="B8" s="332" t="s">
        <v>1262</v>
      </c>
      <c r="C8" s="332"/>
      <c r="D8" s="332"/>
      <c r="E8" s="315"/>
      <c r="F8" s="248"/>
      <c r="G8" s="248"/>
      <c r="H8" s="248"/>
      <c r="I8" s="250"/>
      <c r="J8" s="250"/>
      <c r="K8" s="250"/>
      <c r="L8" s="250"/>
      <c r="M8" s="250"/>
      <c r="N8" s="248"/>
      <c r="O8" s="248"/>
      <c r="P8" s="248"/>
      <c r="Q8" s="248"/>
      <c r="R8" s="248"/>
      <c r="S8" s="248"/>
      <c r="T8" s="248"/>
      <c r="U8" s="248"/>
      <c r="V8" s="248"/>
      <c r="W8" s="248"/>
      <c r="X8" s="248"/>
      <c r="Y8" s="248"/>
      <c r="Z8" s="248"/>
      <c r="AA8" s="248"/>
      <c r="AB8" s="248"/>
      <c r="AC8" s="248"/>
      <c r="AD8" s="248"/>
      <c r="AE8" s="248"/>
    </row>
    <row r="9" spans="1:31" s="23" customFormat="1" ht="15" customHeight="1">
      <c r="A9" s="315"/>
      <c r="B9" s="330"/>
      <c r="C9" s="331"/>
      <c r="D9" s="331"/>
      <c r="E9" s="315"/>
      <c r="F9" s="248"/>
      <c r="G9" s="248"/>
      <c r="H9" s="248"/>
      <c r="I9" s="250"/>
      <c r="J9" s="250"/>
      <c r="K9" s="250"/>
      <c r="L9" s="250"/>
      <c r="M9" s="250"/>
      <c r="N9" s="248"/>
      <c r="O9" s="248"/>
      <c r="P9" s="248"/>
      <c r="Q9" s="248"/>
      <c r="R9" s="248"/>
      <c r="S9" s="248"/>
      <c r="T9" s="248"/>
      <c r="U9" s="248"/>
      <c r="V9" s="248"/>
      <c r="W9" s="248"/>
      <c r="X9" s="248"/>
      <c r="Y9" s="248"/>
      <c r="Z9" s="248"/>
      <c r="AA9" s="248"/>
      <c r="AB9" s="248"/>
      <c r="AC9" s="248"/>
      <c r="AD9" s="248"/>
      <c r="AE9" s="248"/>
    </row>
    <row r="10" spans="1:31" s="23" customFormat="1" ht="22.5" customHeight="1">
      <c r="A10" s="315"/>
      <c r="B10" s="324" t="str">
        <f>IF(Roster!$J$25="Italiano","Comment utiliser cet Excel",(IF(Roster!J25="Español","Cómo usar este Excel",(IF(Roster!J25="Deutsch","Wie Sie dieses Excel verwenden",(IF(Roster!J25="Français","Comment utiliser cet Excel","How to use this Excel")))))))</f>
        <v>Comment utiliser cet Excel</v>
      </c>
      <c r="C10" s="325"/>
      <c r="D10" s="326"/>
      <c r="E10" s="315"/>
      <c r="F10" s="248"/>
      <c r="G10" s="248"/>
      <c r="H10" s="248"/>
      <c r="I10" s="4" t="s">
        <v>4</v>
      </c>
      <c r="J10" s="5" t="s">
        <v>5</v>
      </c>
      <c r="K10" s="6" t="s">
        <v>6</v>
      </c>
      <c r="L10" s="6" t="s">
        <v>7</v>
      </c>
      <c r="M10" s="6" t="s">
        <v>8</v>
      </c>
      <c r="N10" s="248"/>
      <c r="O10" s="248"/>
      <c r="P10" s="248"/>
      <c r="Q10" s="248"/>
      <c r="R10" s="248"/>
      <c r="S10" s="248"/>
      <c r="T10" s="248"/>
      <c r="U10" s="248"/>
      <c r="V10" s="248"/>
      <c r="W10" s="248"/>
      <c r="X10" s="248"/>
      <c r="Y10" s="248"/>
      <c r="Z10" s="248"/>
      <c r="AA10" s="248"/>
      <c r="AB10" s="248"/>
      <c r="AC10" s="248"/>
      <c r="AD10" s="248"/>
      <c r="AE10" s="248"/>
    </row>
    <row r="11" spans="1:31" s="23" customFormat="1" ht="22.5" customHeight="1">
      <c r="A11" s="315"/>
      <c r="B11" s="327" t="str">
        <f>IF(Roster!$J$25="Italiano",M11,(IF(Roster!$J$25="Español",J11,(IF(Roster!$J$25="Deutsch",K11,(IF(Roster!$J$25="Français",L11,I11)))))))</f>
        <v>PER STAMPARE: Selezionare le celle che vuoi stampare e nelle opzioni di Stampa scegliere l’opzione “stampa le celle selezionate”.</v>
      </c>
      <c r="C11" s="328"/>
      <c r="D11" s="329"/>
      <c r="E11" s="315"/>
      <c r="F11" s="248"/>
      <c r="G11" s="248"/>
      <c r="H11" s="248"/>
      <c r="I11" s="247" t="s">
        <v>1242</v>
      </c>
      <c r="J11" s="247" t="s">
        <v>1243</v>
      </c>
      <c r="K11" s="249" t="s">
        <v>1244</v>
      </c>
      <c r="L11" s="249" t="s">
        <v>1245</v>
      </c>
      <c r="M11" s="250" t="s">
        <v>1253</v>
      </c>
      <c r="N11" s="248"/>
      <c r="O11" s="248"/>
      <c r="P11" s="248"/>
      <c r="Q11" s="248"/>
      <c r="R11" s="248"/>
      <c r="S11" s="248"/>
      <c r="T11" s="248"/>
      <c r="U11" s="248"/>
      <c r="V11" s="248"/>
      <c r="W11" s="248"/>
      <c r="X11" s="248"/>
      <c r="Y11" s="248"/>
      <c r="Z11" s="248"/>
      <c r="AA11" s="248"/>
      <c r="AB11" s="248"/>
      <c r="AC11" s="248"/>
      <c r="AD11" s="248"/>
      <c r="AE11" s="248"/>
    </row>
    <row r="12" spans="1:31" s="23" customFormat="1" ht="22.5" customHeight="1">
      <c r="A12" s="315"/>
      <c r="B12" s="327" t="str">
        <f>IF(Roster!$J$25="Italiano",M12,(IF(Roster!$J$25="Español",J12,(IF(Roster!$J$25="Deutsch",K12,(IF(Roster!$J$25="Français",L12,I12)))))))</f>
        <v>L’abilità Low Cost Lineman degli snotiling è attivata di default.</v>
      </c>
      <c r="C12" s="328"/>
      <c r="D12" s="329"/>
      <c r="E12" s="315"/>
      <c r="F12" s="248"/>
      <c r="G12" s="248"/>
      <c r="H12" s="248"/>
      <c r="I12" s="1" t="s">
        <v>9</v>
      </c>
      <c r="J12" s="1" t="s">
        <v>10</v>
      </c>
      <c r="K12" s="1" t="s">
        <v>11</v>
      </c>
      <c r="L12" s="1" t="s">
        <v>12</v>
      </c>
      <c r="M12" s="250" t="s">
        <v>1252</v>
      </c>
      <c r="N12" s="248"/>
      <c r="O12" s="248"/>
      <c r="P12" s="248"/>
      <c r="Q12" s="248"/>
      <c r="R12" s="248"/>
      <c r="S12" s="248"/>
      <c r="T12" s="248"/>
      <c r="U12" s="248"/>
      <c r="V12" s="248"/>
      <c r="W12" s="248"/>
      <c r="X12" s="248"/>
      <c r="Y12" s="248"/>
      <c r="Z12" s="248"/>
      <c r="AA12" s="248"/>
      <c r="AB12" s="248"/>
      <c r="AC12" s="248"/>
      <c r="AD12" s="248"/>
      <c r="AE12" s="248"/>
    </row>
    <row r="13" spans="1:31" s="23" customFormat="1" ht="68.25" customHeight="1">
      <c r="A13" s="315"/>
      <c r="B13" s="327"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28"/>
      <c r="D13" s="329"/>
      <c r="E13" s="315"/>
      <c r="F13" s="248"/>
      <c r="G13" s="248"/>
      <c r="H13" s="248"/>
      <c r="I13" s="1" t="s">
        <v>13</v>
      </c>
      <c r="J13" s="1" t="s">
        <v>14</v>
      </c>
      <c r="K13" s="1" t="s">
        <v>15</v>
      </c>
      <c r="L13" s="1" t="s">
        <v>16</v>
      </c>
      <c r="M13" s="250" t="s">
        <v>1251</v>
      </c>
      <c r="N13" s="248"/>
      <c r="O13" s="248"/>
      <c r="P13" s="248"/>
      <c r="Q13" s="248"/>
      <c r="R13" s="248"/>
      <c r="S13" s="248"/>
      <c r="T13" s="248"/>
      <c r="U13" s="248"/>
      <c r="V13" s="248"/>
      <c r="W13" s="248"/>
      <c r="X13" s="248"/>
      <c r="Y13" s="248"/>
      <c r="Z13" s="248"/>
      <c r="AA13" s="248"/>
      <c r="AB13" s="248"/>
      <c r="AC13" s="248"/>
      <c r="AD13" s="248"/>
      <c r="AE13" s="248"/>
    </row>
    <row r="14" spans="1:31" s="23" customFormat="1" ht="52.5" customHeight="1">
      <c r="A14" s="315"/>
      <c r="B14" s="327"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28"/>
      <c r="D14" s="329"/>
      <c r="E14" s="315"/>
      <c r="F14" s="248"/>
      <c r="G14" s="248"/>
      <c r="H14" s="248"/>
      <c r="I14" s="1" t="s">
        <v>17</v>
      </c>
      <c r="J14" s="1" t="s">
        <v>18</v>
      </c>
      <c r="K14" s="1" t="s">
        <v>19</v>
      </c>
      <c r="L14" s="1" t="s">
        <v>20</v>
      </c>
      <c r="M14" s="250" t="s">
        <v>1254</v>
      </c>
      <c r="N14" s="248"/>
      <c r="O14" s="248"/>
      <c r="P14" s="248"/>
      <c r="Q14" s="248"/>
      <c r="R14" s="248"/>
      <c r="S14" s="248"/>
      <c r="T14" s="248"/>
      <c r="U14" s="248"/>
      <c r="V14" s="248"/>
      <c r="W14" s="248"/>
      <c r="X14" s="248"/>
      <c r="Y14" s="248"/>
      <c r="Z14" s="248"/>
      <c r="AA14" s="248"/>
      <c r="AB14" s="248"/>
      <c r="AC14" s="248"/>
      <c r="AD14" s="248"/>
      <c r="AE14" s="248"/>
    </row>
    <row r="15" spans="1:31" s="23" customFormat="1" ht="33.75" customHeight="1">
      <c r="A15" s="315"/>
      <c r="B15" s="327"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328"/>
      <c r="D15" s="329"/>
      <c r="E15" s="315"/>
      <c r="F15" s="248"/>
      <c r="G15" s="248"/>
      <c r="H15" s="248"/>
      <c r="I15" s="7" t="s">
        <v>21</v>
      </c>
      <c r="J15" s="249" t="s">
        <v>22</v>
      </c>
      <c r="K15" s="7" t="s">
        <v>23</v>
      </c>
      <c r="L15" s="250" t="s">
        <v>24</v>
      </c>
      <c r="M15" s="250" t="s">
        <v>1255</v>
      </c>
      <c r="N15" s="248"/>
      <c r="O15" s="248"/>
      <c r="P15" s="248"/>
      <c r="Q15" s="248"/>
      <c r="R15" s="248"/>
      <c r="S15" s="248"/>
      <c r="T15" s="248"/>
      <c r="U15" s="248"/>
      <c r="V15" s="248"/>
      <c r="W15" s="248"/>
      <c r="X15" s="248"/>
      <c r="Y15" s="248"/>
      <c r="Z15" s="248"/>
      <c r="AA15" s="248"/>
      <c r="AB15" s="248"/>
      <c r="AC15" s="248"/>
      <c r="AD15" s="248"/>
      <c r="AE15" s="248"/>
    </row>
    <row r="16" spans="1:31" s="23" customFormat="1" ht="33.75" customHeight="1">
      <c r="A16" s="315"/>
      <c r="B16" s="327"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328"/>
      <c r="D16" s="329"/>
      <c r="E16" s="315"/>
      <c r="F16" s="248"/>
      <c r="G16" s="248"/>
      <c r="H16" s="248"/>
      <c r="I16" s="250" t="s">
        <v>1250</v>
      </c>
      <c r="J16" s="250" t="s">
        <v>1246</v>
      </c>
      <c r="K16" s="250" t="s">
        <v>1248</v>
      </c>
      <c r="L16" s="250" t="s">
        <v>1247</v>
      </c>
      <c r="M16" s="250" t="s">
        <v>1249</v>
      </c>
      <c r="N16" s="248"/>
      <c r="O16" s="248"/>
      <c r="P16" s="248"/>
      <c r="Q16" s="248"/>
      <c r="R16" s="248"/>
      <c r="S16" s="248"/>
      <c r="T16" s="248"/>
      <c r="U16" s="248"/>
      <c r="V16" s="248"/>
      <c r="W16" s="248"/>
      <c r="X16" s="248"/>
      <c r="Y16" s="248"/>
      <c r="Z16" s="248"/>
      <c r="AA16" s="248"/>
      <c r="AB16" s="248"/>
      <c r="AC16" s="248"/>
      <c r="AD16" s="248"/>
      <c r="AE16" s="248"/>
    </row>
    <row r="17" spans="1:31" s="23" customFormat="1" ht="33" customHeight="1">
      <c r="A17" s="315"/>
      <c r="B17" s="327"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328"/>
      <c r="D17" s="329"/>
      <c r="E17" s="315"/>
      <c r="F17" s="248"/>
      <c r="G17" s="248"/>
      <c r="H17" s="248"/>
      <c r="I17" s="1" t="s">
        <v>25</v>
      </c>
      <c r="J17" s="247" t="s">
        <v>26</v>
      </c>
      <c r="K17" s="1" t="s">
        <v>27</v>
      </c>
      <c r="L17" s="250" t="s">
        <v>28</v>
      </c>
      <c r="M17" s="250" t="s">
        <v>1256</v>
      </c>
      <c r="N17" s="248"/>
      <c r="O17" s="248"/>
      <c r="P17" s="248"/>
      <c r="Q17" s="248"/>
      <c r="R17" s="248"/>
      <c r="S17" s="248"/>
      <c r="T17" s="248"/>
      <c r="U17" s="248"/>
      <c r="V17" s="248"/>
      <c r="W17" s="248"/>
      <c r="X17" s="248"/>
      <c r="Y17" s="248"/>
      <c r="Z17" s="248"/>
      <c r="AA17" s="248"/>
      <c r="AB17" s="248"/>
      <c r="AC17" s="248"/>
      <c r="AD17" s="248"/>
      <c r="AE17" s="248"/>
    </row>
    <row r="18" spans="1:31" s="23" customFormat="1" ht="15" customHeight="1">
      <c r="A18" s="315"/>
      <c r="B18" s="248"/>
      <c r="C18" s="248"/>
      <c r="D18" s="248"/>
      <c r="E18" s="315"/>
      <c r="F18" s="248"/>
      <c r="G18" s="248"/>
      <c r="H18" s="248"/>
      <c r="I18" s="248"/>
      <c r="J18" s="248"/>
      <c r="K18" s="248"/>
      <c r="L18" s="248"/>
      <c r="M18" s="250"/>
      <c r="N18" s="248"/>
      <c r="O18" s="248"/>
      <c r="P18" s="248"/>
      <c r="Q18" s="248"/>
      <c r="R18" s="248"/>
      <c r="S18" s="248"/>
      <c r="T18" s="248"/>
      <c r="U18" s="248"/>
      <c r="V18" s="248"/>
      <c r="W18" s="248"/>
      <c r="X18" s="248"/>
      <c r="Y18" s="248"/>
      <c r="Z18" s="248"/>
      <c r="AA18" s="248"/>
      <c r="AB18" s="248"/>
      <c r="AC18" s="248"/>
      <c r="AD18" s="248"/>
      <c r="AE18" s="248"/>
    </row>
  </sheetData>
  <sheetProtection algorithmName="SHA-512" hashValue="ki48weN6zdI4I5AW6XhqsvjLoUiqoRdnbn7OJbm9TfrnKaTtU2Mv8d3vdCTUEob5DAAc3RnKqJIvOkrgxlIEeA==" saltValue="FH7rsfZnRHpyLvakxnlS0w==" spinCount="100000" sheet="1" objects="1" scenarios="1"/>
  <mergeCells count="19">
    <mergeCell ref="E1:E18"/>
    <mergeCell ref="B17:D17"/>
    <mergeCell ref="B16:D16"/>
    <mergeCell ref="B9:D9"/>
    <mergeCell ref="B8:D8"/>
    <mergeCell ref="B6:D6"/>
    <mergeCell ref="A1:A18"/>
    <mergeCell ref="B1:D1"/>
    <mergeCell ref="B2:D2"/>
    <mergeCell ref="B3:D3"/>
    <mergeCell ref="B4:D4"/>
    <mergeCell ref="B5:D5"/>
    <mergeCell ref="B10:D10"/>
    <mergeCell ref="B11:D11"/>
    <mergeCell ref="B12:D12"/>
    <mergeCell ref="B13:D13"/>
    <mergeCell ref="B14:D14"/>
    <mergeCell ref="B15:D15"/>
    <mergeCell ref="B7:D7"/>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topLeftCell="A13" zoomScale="80" zoomScaleNormal="80" workbookViewId="0">
      <selection activeCell="AF7" sqref="AF7"/>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NOME GIOCATORE</v>
      </c>
      <c r="C1" s="390" t="str">
        <f>IF($J$25="Italiano","TIPO",(IF($J$25="Español","TIPO",(IF($J$25="Deutsch","POSITION",(IF($J$25="Français","POSTE","TYPE")))))))</f>
        <v>TIPO</v>
      </c>
      <c r="D1" s="340"/>
      <c r="E1" s="340"/>
      <c r="F1" s="341"/>
      <c r="G1" s="365" t="str">
        <f>IF($J$25="Italiano","QTA",(IF($J$25="Español","CANT",(IF($J$25="Deutsch","An- zahl",(IF($J$25="Français","QTT","QTY")))))))</f>
        <v>QTA</v>
      </c>
      <c r="H1" s="340"/>
      <c r="I1" s="341"/>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90" t="str">
        <f>IF($J$25="Italiano","ABILITÀ",(IF($J$25="Español","HABILIDADES",(IF($J$25="Deutsch","FERTIGKEITEN",(IF($J$25="Français","COMPÉTENCES","SKILLS")))))))</f>
        <v>ABILITÀ</v>
      </c>
      <c r="P1" s="340"/>
      <c r="Q1" s="340"/>
      <c r="R1" s="340"/>
      <c r="S1" s="340"/>
      <c r="T1" s="340"/>
      <c r="U1" s="340"/>
      <c r="V1" s="340"/>
      <c r="W1" s="340"/>
      <c r="X1" s="340"/>
      <c r="Y1" s="341"/>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65" t="str">
        <f>IF($J$25="Italiano","SPP Totali",(IF($J$25="Español","SPP Totales",(IF($J$25="Deutsch","Gesamte SPP",(IF($J$25="Français","Total PSP","Total SPP")))))))</f>
        <v>SPP Totali</v>
      </c>
      <c r="AK1" s="341"/>
      <c r="AL1" s="365" t="str">
        <f>IF($J$25="Italiano","SPP Non Spesi",(IF($J$25="Español","SPP Sin gastar",(IF($J$25="Deutsch","Verfügb. SPP",(IF($J$25="Français","PSP restant","Unspent SPP")))))))</f>
        <v>SPP Non Spesi</v>
      </c>
      <c r="AM1" s="341"/>
      <c r="AN1" s="390" t="str">
        <f>IF($J$25="Italiano","COSTO",(IF($J$25="Español","PRECIO",(IF($J$25="Deutsch","WERT",(IF($J$25="Français","VALEUR","COST")))))))</f>
        <v>COSTO</v>
      </c>
      <c r="AO1" s="341"/>
      <c r="AP1" s="412"/>
      <c r="AQ1" s="27" t="s">
        <v>30</v>
      </c>
      <c r="AR1" s="28" t="s">
        <v>31</v>
      </c>
      <c r="AS1" s="28"/>
      <c r="AT1" s="28"/>
      <c r="AU1" s="28"/>
      <c r="AV1" s="28"/>
      <c r="AW1" s="28"/>
      <c r="AX1" s="409" t="s">
        <v>32</v>
      </c>
      <c r="AY1" s="392"/>
      <c r="AZ1" s="392"/>
      <c r="BA1" s="392"/>
      <c r="BB1" s="392"/>
      <c r="BC1" s="392"/>
      <c r="BD1" s="392"/>
      <c r="BE1" s="392"/>
      <c r="BF1" s="357"/>
      <c r="BG1" s="28"/>
      <c r="BH1" s="28"/>
      <c r="BI1" s="28"/>
      <c r="BJ1" s="28"/>
      <c r="BK1" s="28"/>
      <c r="BL1" s="28"/>
      <c r="BM1" s="28"/>
      <c r="BN1" s="28"/>
      <c r="BO1" s="28" t="str">
        <f>INDEX(BY3:BY31,(SUM(BY2:CB2)))</f>
        <v>Orc</v>
      </c>
      <c r="BP1" s="28"/>
      <c r="BQ1" s="28"/>
      <c r="BR1" s="28"/>
      <c r="BS1" s="28"/>
      <c r="BT1" s="28"/>
      <c r="BU1" s="29"/>
      <c r="BV1" s="29"/>
      <c r="BW1" s="28"/>
      <c r="BX1" s="28"/>
      <c r="BY1" s="28"/>
      <c r="BZ1" s="28"/>
      <c r="CA1" s="29"/>
      <c r="CB1" s="28"/>
      <c r="CC1" s="28"/>
      <c r="CD1" s="28"/>
      <c r="CE1" s="253"/>
      <c r="CF1" s="253"/>
      <c r="CG1" s="253"/>
      <c r="CH1" s="253"/>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c r="C2" s="355"/>
      <c r="D2" s="337"/>
      <c r="E2" s="337"/>
      <c r="F2" s="337"/>
      <c r="G2" s="32">
        <f>IF(C2="",0,(COUNTIF(C2:F17,C2)))</f>
        <v>0</v>
      </c>
      <c r="H2" s="33" t="s">
        <v>34</v>
      </c>
      <c r="I2" s="34">
        <f>IFERROR((VLOOKUP($BO$1&amp;C2,Teams!D:M,10,0)),0)</f>
        <v>0</v>
      </c>
      <c r="J2" s="35">
        <f t="shared" ref="J2:K2" si="0">IFERROR(K61,0)</f>
        <v>0</v>
      </c>
      <c r="K2" s="35">
        <f t="shared" si="0"/>
        <v>0</v>
      </c>
      <c r="L2" s="35" t="str">
        <f t="shared" ref="L2:N2" si="1">IFERROR(M61&amp;"+",0)</f>
        <v>0+</v>
      </c>
      <c r="M2" s="35" t="str">
        <f t="shared" si="1"/>
        <v>0+</v>
      </c>
      <c r="N2" s="35" t="str">
        <f t="shared" si="1"/>
        <v>0+</v>
      </c>
      <c r="O2" s="360" t="str">
        <f>IFERROR((IF(AV2="YES",(VLOOKUP($BO$1&amp;C2,Teams!D:M,7,0)&amp;BF2),AW2)),"")</f>
        <v>0</v>
      </c>
      <c r="P2" s="361"/>
      <c r="Q2" s="361"/>
      <c r="R2" s="361"/>
      <c r="S2" s="361"/>
      <c r="T2" s="361"/>
      <c r="U2" s="361"/>
      <c r="V2" s="361"/>
      <c r="W2" s="361"/>
      <c r="X2" s="361"/>
      <c r="Y2" s="362"/>
      <c r="Z2" s="87"/>
      <c r="AA2" s="87"/>
      <c r="AB2" s="88"/>
      <c r="AC2" s="88"/>
      <c r="AD2" s="88"/>
      <c r="AE2" s="89"/>
      <c r="AF2" s="89"/>
      <c r="AG2" s="89"/>
      <c r="AH2" s="89"/>
      <c r="AI2" s="90"/>
      <c r="AJ2" s="334">
        <f t="shared" ref="AJ2:AJ17" si="2">AA2+AB2+(AC2*3)+AD2+(AE2*2)+(AF2*2)+(AG2*2)+(AH2*2)+(AI2*4)</f>
        <v>0</v>
      </c>
      <c r="AK2" s="335"/>
      <c r="AL2" s="334">
        <f t="shared" ref="AL2:AL17" si="3">AJ2-AI37</f>
        <v>0</v>
      </c>
      <c r="AM2" s="335"/>
      <c r="AN2" s="334">
        <f>IFERROR((VLOOKUP($BO$1&amp;C2,Teams!D:M,8,0)+AG37),0)</f>
        <v>0</v>
      </c>
      <c r="AO2" s="335"/>
      <c r="AP2" s="412"/>
      <c r="AQ2" s="27">
        <f>IFERROR((IF(Z2&lt;&gt;"",0,((VLOOKUP($BO$1&amp;C2,Teams!D:M,9,0)+(AG37/1000))))),0)</f>
        <v>0</v>
      </c>
      <c r="AR2" s="28">
        <f>IFERROR((VLOOKUP($BO$1&amp;C2,Teams!D:N,11,0)),0)</f>
        <v>0</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c>
      <c r="BG2" s="30" t="str">
        <f>IFERROR((IF((VLOOKUP($BO$1&amp;C2,Teams!D:M,7,0))="","",", ")),"")</f>
        <v xml:space="preserve">, </v>
      </c>
      <c r="BH2" s="28"/>
      <c r="BI2" s="28" t="str">
        <f>$BO$1&amp;1</f>
        <v>Orc1</v>
      </c>
      <c r="BJ2" s="30" t="str">
        <f>IFERROR(IF((VLOOKUP(BI2,Teams!B:C,2,FALSE))=0,"",(VLOOKUP(BI2,Teams!B:C,2,FALSE))),"")</f>
        <v/>
      </c>
      <c r="BK2" s="28"/>
      <c r="BL2" s="30"/>
      <c r="BM2" s="38"/>
      <c r="BN2" s="38" t="s">
        <v>35</v>
      </c>
      <c r="BO2" s="28" t="str">
        <f t="array" ref="BO2">INDEX(BN3:BN31,(SUM(BY2:CB2)))</f>
        <v>Orc</v>
      </c>
      <c r="BP2" s="38" t="s">
        <v>36</v>
      </c>
      <c r="BQ2" s="38" t="s">
        <v>37</v>
      </c>
      <c r="BR2" s="38" t="s">
        <v>38</v>
      </c>
      <c r="BS2" s="39" t="s">
        <v>39</v>
      </c>
      <c r="BT2" s="39" t="s">
        <v>40</v>
      </c>
      <c r="BU2" s="29" t="str">
        <f>VLOOKUP(BO1,BL:BT,9,FALSE)</f>
        <v>BadlandsBrawl</v>
      </c>
      <c r="BV2" s="29">
        <f>VLOOKUP(BO1,BL1:BU38,10,FALSE)</f>
        <v>0</v>
      </c>
      <c r="BW2" s="29">
        <f>VLOOKUP(BO1,BL1:BV38,11,FALSE)</f>
        <v>0</v>
      </c>
      <c r="BX2" s="28"/>
      <c r="BY2" s="39">
        <f>IFERROR(MATCH($J$23,BY3:BY31,0),0)</f>
        <v>21</v>
      </c>
      <c r="BZ2" s="39">
        <f>IFERROR(MATCH($J$23,BZ3:BZ31,0),0)</f>
        <v>0</v>
      </c>
      <c r="CA2" s="39">
        <f>IFERROR(MATCH($J$23,CA3:CA31,0),0)</f>
        <v>0</v>
      </c>
      <c r="CB2" s="39">
        <f>IFERROR(MATCH($J$23,CB3:CB31,0),0)</f>
        <v>0</v>
      </c>
      <c r="CC2" s="39"/>
      <c r="CD2" s="38"/>
      <c r="CE2" s="254" t="s">
        <v>1264</v>
      </c>
      <c r="CF2" s="254" t="s">
        <v>1265</v>
      </c>
      <c r="CG2" s="254" t="s">
        <v>1266</v>
      </c>
      <c r="CH2" s="254"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86" t="s">
        <v>1362</v>
      </c>
      <c r="C3" s="355" t="s">
        <v>722</v>
      </c>
      <c r="D3" s="337"/>
      <c r="E3" s="337"/>
      <c r="F3" s="337"/>
      <c r="G3" s="32">
        <f>IF(C3="",0,(COUNTIF(C2:F17,C3)))</f>
        <v>4</v>
      </c>
      <c r="H3" s="33" t="s">
        <v>34</v>
      </c>
      <c r="I3" s="34">
        <f>IFERROR((VLOOKUP($BO$1&amp;C3,Teams!D:M,10,0)),0)</f>
        <v>4</v>
      </c>
      <c r="J3" s="35">
        <f t="shared" ref="J3:K3" si="18">IFERROR(K62,0)</f>
        <v>5</v>
      </c>
      <c r="K3" s="35">
        <f t="shared" si="18"/>
        <v>4</v>
      </c>
      <c r="L3" s="35" t="str">
        <f t="shared" ref="L3:N3" si="19">IFERROR(M62&amp;"+",0)</f>
        <v>4+</v>
      </c>
      <c r="M3" s="35" t="str">
        <f t="shared" si="19"/>
        <v>0+</v>
      </c>
      <c r="N3" s="35" t="str">
        <f t="shared" si="19"/>
        <v>10+</v>
      </c>
      <c r="O3" s="360" t="str">
        <f>IFERROR((IF(AV3="YES",(VLOOKUP($BO$1&amp;C3,Teams!D:M,7,0)&amp;BF3),AW3)),"")</f>
        <v>Animosity (Big Un Blockers)</v>
      </c>
      <c r="P3" s="361"/>
      <c r="Q3" s="361"/>
      <c r="R3" s="361"/>
      <c r="S3" s="361"/>
      <c r="T3" s="361"/>
      <c r="U3" s="361"/>
      <c r="V3" s="361"/>
      <c r="W3" s="361"/>
      <c r="X3" s="361"/>
      <c r="Y3" s="362"/>
      <c r="Z3" s="87"/>
      <c r="AA3" s="87"/>
      <c r="AB3" s="88"/>
      <c r="AC3" s="88"/>
      <c r="AD3" s="88"/>
      <c r="AE3" s="89"/>
      <c r="AF3" s="89"/>
      <c r="AG3" s="89"/>
      <c r="AH3" s="89"/>
      <c r="AI3" s="89"/>
      <c r="AJ3" s="334">
        <f t="shared" si="2"/>
        <v>0</v>
      </c>
      <c r="AK3" s="335"/>
      <c r="AL3" s="334">
        <f t="shared" si="3"/>
        <v>0</v>
      </c>
      <c r="AM3" s="335"/>
      <c r="AN3" s="334">
        <f>IFERROR((VLOOKUP($BO$1&amp;C3,Teams!D:M,8,0)+AG38),0)</f>
        <v>90000</v>
      </c>
      <c r="AO3" s="335"/>
      <c r="AP3" s="412"/>
      <c r="AQ3" s="27">
        <f>IFERROR((IF(Z3&lt;&gt;"",0,((VLOOKUP($BO$1&amp;C3,Teams!D:M,9,0)+(AG38/1000))))),0)</f>
        <v>90</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c>
      <c r="BF3" s="37" t="str">
        <f t="shared" si="17"/>
        <v/>
      </c>
      <c r="BG3" s="30" t="str">
        <f>IFERROR((IF((VLOOKUP($BO$1&amp;C3,Teams!D:M,7,0))="","",", ")),"")</f>
        <v xml:space="preserve">, </v>
      </c>
      <c r="BH3" s="30"/>
      <c r="BI3" s="28" t="str">
        <f>$BO$1&amp;2</f>
        <v>Orc2</v>
      </c>
      <c r="BJ3" s="30" t="str">
        <f>IFERROR(IF((VLOOKUP(BI3,Teams!B:C,2,FALSE))=0,"",(VLOOKUP(BI3,Teams!B:C,2,FALSE))),"")</f>
        <v>Lineman</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86" t="s">
        <v>1347</v>
      </c>
      <c r="C4" s="355" t="s">
        <v>722</v>
      </c>
      <c r="D4" s="337"/>
      <c r="E4" s="337"/>
      <c r="F4" s="337"/>
      <c r="G4" s="32">
        <f>IF(C4="",0,(COUNTIF(C2:F17,C4)))</f>
        <v>4</v>
      </c>
      <c r="H4" s="33" t="s">
        <v>34</v>
      </c>
      <c r="I4" s="34">
        <f>IFERROR((VLOOKUP($BO$1&amp;C4,Teams!D:M,10,0)),0)</f>
        <v>4</v>
      </c>
      <c r="J4" s="35">
        <f t="shared" ref="J4:K4" si="21">IFERROR(K63,0)</f>
        <v>5</v>
      </c>
      <c r="K4" s="35">
        <f t="shared" si="21"/>
        <v>4</v>
      </c>
      <c r="L4" s="35" t="str">
        <f t="shared" ref="L4:N4" si="22">IFERROR(M63&amp;"+",0)</f>
        <v>4+</v>
      </c>
      <c r="M4" s="35" t="str">
        <f t="shared" si="22"/>
        <v>0+</v>
      </c>
      <c r="N4" s="35" t="str">
        <f t="shared" si="22"/>
        <v>10+</v>
      </c>
      <c r="O4" s="360" t="str">
        <f>IFERROR((IF(AV4="YES",(VLOOKUP($BO$1&amp;C4,Teams!D:M,7,0)&amp;BF4),AW4)),"")</f>
        <v>Animosity (Big Un Blockers)</v>
      </c>
      <c r="P4" s="361"/>
      <c r="Q4" s="361"/>
      <c r="R4" s="361"/>
      <c r="S4" s="361"/>
      <c r="T4" s="361"/>
      <c r="U4" s="361"/>
      <c r="V4" s="361"/>
      <c r="W4" s="361"/>
      <c r="X4" s="361"/>
      <c r="Y4" s="362"/>
      <c r="Z4" s="87"/>
      <c r="AA4" s="87"/>
      <c r="AB4" s="88"/>
      <c r="AC4" s="88"/>
      <c r="AD4" s="88"/>
      <c r="AE4" s="89"/>
      <c r="AF4" s="89">
        <v>1</v>
      </c>
      <c r="AG4" s="89"/>
      <c r="AH4" s="89"/>
      <c r="AI4" s="90">
        <v>1</v>
      </c>
      <c r="AJ4" s="334">
        <f t="shared" si="2"/>
        <v>6</v>
      </c>
      <c r="AK4" s="335"/>
      <c r="AL4" s="334">
        <f t="shared" si="3"/>
        <v>6</v>
      </c>
      <c r="AM4" s="335"/>
      <c r="AN4" s="334">
        <f>IFERROR((VLOOKUP($BO$1&amp;C4,Teams!D:M,8,0)+AG39),0)</f>
        <v>90000</v>
      </c>
      <c r="AO4" s="335"/>
      <c r="AP4" s="412"/>
      <c r="AQ4" s="27">
        <f>IFERROR((IF(Z4&lt;&gt;"",0,((VLOOKUP($BO$1&amp;C4,Teams!D:M,9,0)+(AG39/1000))))),0)</f>
        <v>90</v>
      </c>
      <c r="AR4" s="28">
        <f>IFERROR((VLOOKUP($BO$1&amp;C4,Teams!D:N,11,0)),0)</f>
        <v>0</v>
      </c>
      <c r="AS4" s="28" t="str">
        <f t="shared" si="4"/>
        <v/>
      </c>
      <c r="AT4" s="28" t="str">
        <f t="shared" si="5"/>
        <v/>
      </c>
      <c r="AU4" s="28" t="str">
        <f t="shared" si="6"/>
        <v/>
      </c>
      <c r="AV4" s="28" t="str">
        <f t="shared" si="7"/>
        <v>YES</v>
      </c>
      <c r="AW4" s="28" t="str">
        <f t="shared" si="8"/>
        <v/>
      </c>
      <c r="AX4" s="36" t="str">
        <f t="shared" si="9"/>
        <v/>
      </c>
      <c r="AY4" s="36" t="str">
        <f t="shared" si="10"/>
        <v/>
      </c>
      <c r="AZ4" s="36" t="str">
        <f t="shared" si="11"/>
        <v/>
      </c>
      <c r="BA4" s="36" t="str">
        <f t="shared" si="12"/>
        <v/>
      </c>
      <c r="BB4" s="36" t="str">
        <f t="shared" si="13"/>
        <v/>
      </c>
      <c r="BC4" s="36" t="str">
        <f t="shared" si="14"/>
        <v/>
      </c>
      <c r="BD4" s="36" t="str">
        <f t="shared" si="15"/>
        <v/>
      </c>
      <c r="BE4" s="36" t="str">
        <f t="shared" si="16"/>
        <v/>
      </c>
      <c r="BF4" s="37" t="str">
        <f t="shared" si="17"/>
        <v/>
      </c>
      <c r="BG4" s="30" t="str">
        <f>IFERROR((IF((VLOOKUP($BO$1&amp;C4,Teams!D:M,7,0))="","",", ")),"")</f>
        <v xml:space="preserve">, </v>
      </c>
      <c r="BH4" s="30"/>
      <c r="BI4" s="28" t="str">
        <f>$BO$1&amp;3</f>
        <v>Orc3</v>
      </c>
      <c r="BJ4" s="30" t="str">
        <f>IFERROR(IF((VLOOKUP(BI4,Teams!B:C,2,FALSE))=0,"",(VLOOKUP(BI4,Teams!B:C,2,FALSE))),"")</f>
        <v xml:space="preserve">Goblin </v>
      </c>
      <c r="BK4" s="28"/>
      <c r="BL4" s="28" t="s">
        <v>46</v>
      </c>
      <c r="BM4" s="253"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4"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86" t="s">
        <v>1346</v>
      </c>
      <c r="C5" s="355" t="s">
        <v>722</v>
      </c>
      <c r="D5" s="337"/>
      <c r="E5" s="337"/>
      <c r="F5" s="337"/>
      <c r="G5" s="32">
        <f>IF(C5="",0,(COUNTIF(C2:F17,C5)))</f>
        <v>4</v>
      </c>
      <c r="H5" s="33" t="s">
        <v>34</v>
      </c>
      <c r="I5" s="34">
        <f>IFERROR((VLOOKUP($BO$1&amp;C5,Teams!D:M,10,0)),0)</f>
        <v>4</v>
      </c>
      <c r="J5" s="35">
        <f t="shared" ref="J5:K5" si="23">IFERROR(K64,0)</f>
        <v>5</v>
      </c>
      <c r="K5" s="35">
        <f t="shared" si="23"/>
        <v>4</v>
      </c>
      <c r="L5" s="35" t="str">
        <f t="shared" ref="L5:N5" si="24">IFERROR(M64&amp;"+",0)</f>
        <v>4+</v>
      </c>
      <c r="M5" s="35" t="str">
        <f t="shared" si="24"/>
        <v>0+</v>
      </c>
      <c r="N5" s="35" t="str">
        <f t="shared" si="24"/>
        <v>10+</v>
      </c>
      <c r="O5" s="360" t="str">
        <f>IFERROR((IF(AV5="YES",(VLOOKUP($BO$1&amp;C5,Teams!D:M,7,0)&amp;BF5),AW5)),"")</f>
        <v>Animosity (Big Un Blockers) - 1 NI</v>
      </c>
      <c r="P5" s="361"/>
      <c r="Q5" s="361"/>
      <c r="R5" s="361"/>
      <c r="S5" s="361"/>
      <c r="T5" s="361"/>
      <c r="U5" s="361"/>
      <c r="V5" s="361"/>
      <c r="W5" s="361"/>
      <c r="X5" s="361"/>
      <c r="Y5" s="362"/>
      <c r="Z5" s="87"/>
      <c r="AA5" s="87"/>
      <c r="AB5" s="88"/>
      <c r="AC5" s="88"/>
      <c r="AD5" s="88"/>
      <c r="AE5" s="89"/>
      <c r="AF5" s="89"/>
      <c r="AG5" s="89"/>
      <c r="AH5" s="89"/>
      <c r="AI5" s="89">
        <v>1</v>
      </c>
      <c r="AJ5" s="334">
        <f t="shared" si="2"/>
        <v>4</v>
      </c>
      <c r="AK5" s="335"/>
      <c r="AL5" s="334">
        <f t="shared" si="3"/>
        <v>4</v>
      </c>
      <c r="AM5" s="335"/>
      <c r="AN5" s="334">
        <f>IFERROR((VLOOKUP($BO$1&amp;C5,Teams!D:M,8,0)+AG40),0)</f>
        <v>90000</v>
      </c>
      <c r="AO5" s="335"/>
      <c r="AP5" s="412"/>
      <c r="AQ5" s="27">
        <f>IFERROR((IF(Z5&lt;&gt;"",0,((VLOOKUP($BO$1&amp;C5,Teams!D:M,9,0)+(AG40/1000))))),0)</f>
        <v>90</v>
      </c>
      <c r="AR5" s="28">
        <f>IFERROR((VLOOKUP($BO$1&amp;C5,Teams!D:N,11,0)),0)</f>
        <v>0</v>
      </c>
      <c r="AS5" s="28" t="str">
        <f t="shared" si="4"/>
        <v/>
      </c>
      <c r="AT5" s="28" t="str">
        <f t="shared" si="5"/>
        <v/>
      </c>
      <c r="AU5" s="28" t="str">
        <f t="shared" si="6"/>
        <v/>
      </c>
      <c r="AV5" s="28" t="str">
        <f t="shared" si="7"/>
        <v>YES</v>
      </c>
      <c r="AW5" s="28" t="str">
        <f t="shared" si="8"/>
        <v/>
      </c>
      <c r="AX5" s="36" t="str">
        <f t="shared" si="9"/>
        <v/>
      </c>
      <c r="AY5" s="36" t="str">
        <f t="shared" si="10"/>
        <v/>
      </c>
      <c r="AZ5" s="36" t="str">
        <f t="shared" si="11"/>
        <v/>
      </c>
      <c r="BA5" s="36" t="str">
        <f t="shared" si="12"/>
        <v/>
      </c>
      <c r="BB5" s="36" t="str">
        <f t="shared" si="13"/>
        <v/>
      </c>
      <c r="BC5" s="36" t="str">
        <f t="shared" si="14"/>
        <v/>
      </c>
      <c r="BD5" s="36" t="str">
        <f t="shared" si="15"/>
        <v/>
      </c>
      <c r="BE5" s="36" t="str">
        <f t="shared" si="16"/>
        <v xml:space="preserve"> - 1 NI</v>
      </c>
      <c r="BF5" s="37" t="str">
        <f t="shared" si="17"/>
        <v xml:space="preserve"> - 1 NI</v>
      </c>
      <c r="BG5" s="30" t="str">
        <f>IFERROR((IF((VLOOKUP($BO$1&amp;C5,Teams!D:M,7,0))="","",", ")),"")</f>
        <v xml:space="preserve">, </v>
      </c>
      <c r="BH5" s="30"/>
      <c r="BI5" s="28" t="str">
        <f>$BO$1&amp;4</f>
        <v>Orc4</v>
      </c>
      <c r="BJ5" s="30" t="str">
        <f>IFERROR(IF((VLOOKUP(BI5,Teams!B:C,2,FALSE))=0,"",(VLOOKUP(BI5,Teams!B:C,2,FALSE))),"")</f>
        <v>Thrower</v>
      </c>
      <c r="BK5" s="28"/>
      <c r="BL5" s="28" t="s">
        <v>53</v>
      </c>
      <c r="BM5" s="253"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86" t="s">
        <v>1341</v>
      </c>
      <c r="C6" s="355" t="s">
        <v>722</v>
      </c>
      <c r="D6" s="337"/>
      <c r="E6" s="337"/>
      <c r="F6" s="337"/>
      <c r="G6" s="32">
        <f>IF(C6="",0,(COUNTIF(C2:F17,C6)))</f>
        <v>4</v>
      </c>
      <c r="H6" s="33" t="s">
        <v>34</v>
      </c>
      <c r="I6" s="34">
        <f>IFERROR((VLOOKUP($BO$1&amp;C6,Teams!D:M,10,0)),0)</f>
        <v>4</v>
      </c>
      <c r="J6" s="35">
        <f t="shared" ref="J6:K6" si="25">IFERROR(K65,0)</f>
        <v>5</v>
      </c>
      <c r="K6" s="35">
        <f t="shared" si="25"/>
        <v>4</v>
      </c>
      <c r="L6" s="35" t="str">
        <f t="shared" ref="L6:N6" si="26">IFERROR(M65&amp;"+",0)</f>
        <v>4+</v>
      </c>
      <c r="M6" s="35" t="str">
        <f t="shared" si="26"/>
        <v>0+</v>
      </c>
      <c r="N6" s="35" t="str">
        <f t="shared" si="26"/>
        <v>10+</v>
      </c>
      <c r="O6" s="360" t="str">
        <f>IFERROR((IF(AV6="YES",(VLOOKUP($BO$1&amp;C6,Teams!D:M,7,0)&amp;BF6),AW6)),"")</f>
        <v>Animosity (Big Un Blockers), Block, Guard</v>
      </c>
      <c r="P6" s="361"/>
      <c r="Q6" s="361"/>
      <c r="R6" s="361"/>
      <c r="S6" s="361"/>
      <c r="T6" s="361"/>
      <c r="U6" s="361"/>
      <c r="V6" s="361"/>
      <c r="W6" s="361"/>
      <c r="X6" s="361"/>
      <c r="Y6" s="362"/>
      <c r="Z6" s="87"/>
      <c r="AA6" s="87"/>
      <c r="AB6" s="88"/>
      <c r="AC6" s="88"/>
      <c r="AD6" s="88"/>
      <c r="AE6" s="89"/>
      <c r="AF6" s="89">
        <v>1</v>
      </c>
      <c r="AG6" s="89">
        <v>2</v>
      </c>
      <c r="AH6" s="89"/>
      <c r="AI6" s="89">
        <v>2</v>
      </c>
      <c r="AJ6" s="334">
        <f t="shared" si="2"/>
        <v>14</v>
      </c>
      <c r="AK6" s="335"/>
      <c r="AL6" s="334">
        <f t="shared" si="3"/>
        <v>0</v>
      </c>
      <c r="AM6" s="335"/>
      <c r="AN6" s="334">
        <f>IFERROR((VLOOKUP($BO$1&amp;C6,Teams!D:M,8,0)+AG41),0)</f>
        <v>130000</v>
      </c>
      <c r="AO6" s="335"/>
      <c r="AP6" s="412"/>
      <c r="AQ6" s="27">
        <f>IFERROR((IF(Z6&lt;&gt;"",0,((VLOOKUP($BO$1&amp;C6,Teams!D:M,9,0)+(AG41/1000))))),0)</f>
        <v>130</v>
      </c>
      <c r="AR6" s="28">
        <f>IFERROR((VLOOKUP($BO$1&amp;C6,Teams!D:N,11,0)),0)</f>
        <v>0</v>
      </c>
      <c r="AS6" s="28" t="str">
        <f t="shared" si="4"/>
        <v/>
      </c>
      <c r="AT6" s="28" t="str">
        <f t="shared" si="5"/>
        <v/>
      </c>
      <c r="AU6" s="28" t="str">
        <f t="shared" si="6"/>
        <v/>
      </c>
      <c r="AV6" s="28" t="str">
        <f t="shared" si="7"/>
        <v>YES</v>
      </c>
      <c r="AW6" s="28" t="str">
        <f t="shared" si="8"/>
        <v/>
      </c>
      <c r="AX6" s="36" t="str">
        <f t="shared" si="9"/>
        <v>, Block</v>
      </c>
      <c r="AY6" s="36" t="str">
        <f t="shared" si="10"/>
        <v>, Guard</v>
      </c>
      <c r="AZ6" s="36" t="str">
        <f t="shared" si="11"/>
        <v/>
      </c>
      <c r="BA6" s="36" t="str">
        <f t="shared" si="12"/>
        <v/>
      </c>
      <c r="BB6" s="36" t="str">
        <f t="shared" si="13"/>
        <v/>
      </c>
      <c r="BC6" s="36" t="str">
        <f t="shared" si="14"/>
        <v/>
      </c>
      <c r="BD6" s="36" t="str">
        <f t="shared" si="15"/>
        <v/>
      </c>
      <c r="BE6" s="36" t="str">
        <f t="shared" si="16"/>
        <v/>
      </c>
      <c r="BF6" s="37" t="str">
        <f t="shared" si="17"/>
        <v>, Block, Guard</v>
      </c>
      <c r="BG6" s="30" t="str">
        <f>IFERROR((IF((VLOOKUP($BO$1&amp;C6,Teams!D:M,7,0))="","",", ")),"")</f>
        <v xml:space="preserve">, </v>
      </c>
      <c r="BH6" s="30"/>
      <c r="BI6" s="28" t="str">
        <f>$BO$1&amp;5</f>
        <v>Orc5</v>
      </c>
      <c r="BJ6" s="30" t="str">
        <f>IFERROR(IF((VLOOKUP(BI6,Teams!B:C,2,FALSE))=0,"",(VLOOKUP(BI6,Teams!B:C,2,FALSE))),"")</f>
        <v>Big Un</v>
      </c>
      <c r="BK6" s="28"/>
      <c r="BL6" s="28" t="s">
        <v>59</v>
      </c>
      <c r="BM6" s="253"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4"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86" t="s">
        <v>1340</v>
      </c>
      <c r="C7" s="355" t="s">
        <v>286</v>
      </c>
      <c r="D7" s="337"/>
      <c r="E7" s="337"/>
      <c r="F7" s="337"/>
      <c r="G7" s="32">
        <f>IF(C7="",0,(COUNTIF(C2:F17,C7)))</f>
        <v>3</v>
      </c>
      <c r="H7" s="33" t="s">
        <v>34</v>
      </c>
      <c r="I7" s="34">
        <f>IFERROR((VLOOKUP($BO$1&amp;C7,Teams!D:M,10,0)),0)</f>
        <v>4</v>
      </c>
      <c r="J7" s="35">
        <f t="shared" ref="J7:K7" si="27">IFERROR(K66,0)</f>
        <v>6</v>
      </c>
      <c r="K7" s="35">
        <f t="shared" si="27"/>
        <v>3</v>
      </c>
      <c r="L7" s="35" t="str">
        <f t="shared" ref="L7:N7" si="28">IFERROR(M66&amp;"+",0)</f>
        <v>3+</v>
      </c>
      <c r="M7" s="35" t="str">
        <f t="shared" si="28"/>
        <v>4+</v>
      </c>
      <c r="N7" s="35" t="str">
        <f t="shared" si="28"/>
        <v>10+</v>
      </c>
      <c r="O7" s="360" t="str">
        <f>IFERROR((IF(AV7="YES",(VLOOKUP($BO$1&amp;C7,Teams!D:M,7,0)&amp;BF7),AW7)),"")</f>
        <v>Animosity (alle Mitspieler), Block, Mighty Blow (+1)</v>
      </c>
      <c r="P7" s="361"/>
      <c r="Q7" s="361"/>
      <c r="R7" s="361"/>
      <c r="S7" s="361"/>
      <c r="T7" s="361"/>
      <c r="U7" s="361"/>
      <c r="V7" s="361"/>
      <c r="W7" s="361"/>
      <c r="X7" s="361"/>
      <c r="Y7" s="362"/>
      <c r="Z7" s="87"/>
      <c r="AA7" s="87"/>
      <c r="AB7" s="88"/>
      <c r="AC7" s="88">
        <v>1</v>
      </c>
      <c r="AD7" s="88"/>
      <c r="AE7" s="89"/>
      <c r="AF7" s="89">
        <v>1</v>
      </c>
      <c r="AG7" s="89"/>
      <c r="AH7" s="89"/>
      <c r="AI7" s="89">
        <v>2</v>
      </c>
      <c r="AJ7" s="334">
        <f t="shared" si="2"/>
        <v>13</v>
      </c>
      <c r="AK7" s="335"/>
      <c r="AL7" s="334">
        <f t="shared" si="3"/>
        <v>7</v>
      </c>
      <c r="AM7" s="335"/>
      <c r="AN7" s="334">
        <f>IFERROR((VLOOKUP($BO$1&amp;C7,Teams!D:M,8,0)+AG42),0)</f>
        <v>100000</v>
      </c>
      <c r="AO7" s="335"/>
      <c r="AP7" s="412"/>
      <c r="AQ7" s="27">
        <f>IFERROR((IF(Z7&lt;&gt;"",0,((VLOOKUP($BO$1&amp;C7,Teams!D:M,9,0)+(AG42/1000))))),0)</f>
        <v>100</v>
      </c>
      <c r="AR7" s="28">
        <f>IFERROR((VLOOKUP($BO$1&amp;C7,Teams!D:N,11,0)),0)</f>
        <v>0</v>
      </c>
      <c r="AS7" s="28" t="str">
        <f t="shared" si="4"/>
        <v/>
      </c>
      <c r="AT7" s="28" t="str">
        <f t="shared" si="5"/>
        <v/>
      </c>
      <c r="AU7" s="28" t="str">
        <f t="shared" si="6"/>
        <v/>
      </c>
      <c r="AV7" s="28" t="str">
        <f t="shared" si="7"/>
        <v>YES</v>
      </c>
      <c r="AW7" s="28" t="str">
        <f t="shared" si="8"/>
        <v/>
      </c>
      <c r="AX7" s="36" t="str">
        <f t="shared" si="9"/>
        <v>, Mighty Blow (+1)</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 Mighty Blow (+1)</v>
      </c>
      <c r="BG7" s="30" t="str">
        <f>IFERROR((IF((VLOOKUP($BO$1&amp;C7,Teams!D:M,7,0))="","",", ")),"")</f>
        <v xml:space="preserve">, </v>
      </c>
      <c r="BH7" s="30"/>
      <c r="BI7" s="28" t="str">
        <f>$BO$1&amp;6</f>
        <v>Orc6</v>
      </c>
      <c r="BJ7" s="30" t="str">
        <f>IFERROR(IF((VLOOKUP(BI7,Teams!B:C,2,FALSE))=0,"",(VLOOKUP(BI7,Teams!B:C,2,FALSE))),"")</f>
        <v>Blitzer</v>
      </c>
      <c r="BK7" s="28"/>
      <c r="BL7" s="28" t="s">
        <v>65</v>
      </c>
      <c r="BM7" s="253"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6"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86"/>
      <c r="C8" s="355" t="s">
        <v>185</v>
      </c>
      <c r="D8" s="337"/>
      <c r="E8" s="337"/>
      <c r="F8" s="337"/>
      <c r="G8" s="32">
        <f>IF(C8="",0,(COUNTIF(C2:F17,C8)))</f>
        <v>0</v>
      </c>
      <c r="H8" s="33" t="s">
        <v>34</v>
      </c>
      <c r="I8" s="34">
        <f>IFERROR((VLOOKUP($BO$1&amp;C8,Teams!D:M,10,0)),0)</f>
        <v>0</v>
      </c>
      <c r="J8" s="35">
        <f t="shared" ref="J8:K8" si="29">IFERROR(K67,0)</f>
        <v>0</v>
      </c>
      <c r="K8" s="35">
        <f t="shared" si="29"/>
        <v>0</v>
      </c>
      <c r="L8" s="35" t="str">
        <f t="shared" ref="L8:N8" si="30">IFERROR(M67&amp;"+",0)</f>
        <v>0+</v>
      </c>
      <c r="M8" s="35" t="str">
        <f t="shared" si="30"/>
        <v>0+</v>
      </c>
      <c r="N8" s="35" t="str">
        <f t="shared" si="30"/>
        <v>0+</v>
      </c>
      <c r="O8" s="360" t="str">
        <f>IFERROR((IF(AV8="YES",(VLOOKUP($BO$1&amp;C8,Teams!D:M,7,0)&amp;BF8),AW8)),"")</f>
        <v>0</v>
      </c>
      <c r="P8" s="361"/>
      <c r="Q8" s="361"/>
      <c r="R8" s="361"/>
      <c r="S8" s="361"/>
      <c r="T8" s="361"/>
      <c r="U8" s="361"/>
      <c r="V8" s="361"/>
      <c r="W8" s="361"/>
      <c r="X8" s="361"/>
      <c r="Y8" s="362"/>
      <c r="Z8" s="87"/>
      <c r="AA8" s="87"/>
      <c r="AB8" s="88"/>
      <c r="AC8" s="88"/>
      <c r="AD8" s="88"/>
      <c r="AE8" s="89"/>
      <c r="AF8" s="89"/>
      <c r="AG8" s="89"/>
      <c r="AH8" s="89"/>
      <c r="AI8" s="89"/>
      <c r="AJ8" s="334">
        <f t="shared" si="2"/>
        <v>0</v>
      </c>
      <c r="AK8" s="335"/>
      <c r="AL8" s="334">
        <f t="shared" si="3"/>
        <v>0</v>
      </c>
      <c r="AM8" s="335"/>
      <c r="AN8" s="334">
        <f>IFERROR((VLOOKUP($BO$1&amp;C8,Teams!D:M,8,0)+AG43),0)</f>
        <v>0</v>
      </c>
      <c r="AO8" s="335"/>
      <c r="AP8" s="412"/>
      <c r="AQ8" s="27">
        <f>IFERROR((IF(Z8&lt;&gt;"",0,((VLOOKUP($BO$1&amp;C8,Teams!D:M,9,0)+(AG43/1000))))),0)</f>
        <v>0</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c>
      <c r="BF8" s="37" t="str">
        <f t="shared" si="17"/>
        <v/>
      </c>
      <c r="BG8" s="30" t="str">
        <f>IFERROR((IF((VLOOKUP($BO$1&amp;C8,Teams!D:M,7,0))="","",", ")),"")</f>
        <v xml:space="preserve">, </v>
      </c>
      <c r="BH8" s="30"/>
      <c r="BI8" s="28" t="str">
        <f>$BO$1&amp;7</f>
        <v>Orc7</v>
      </c>
      <c r="BJ8" s="30" t="str">
        <f>IFERROR(IF((VLOOKUP(BI8,Teams!B:C,2,FALSE))=0,"",(VLOOKUP(BI8,Teams!B:C,2,FALSE))),"")</f>
        <v>Untrained Troll</v>
      </c>
      <c r="BK8" s="28"/>
      <c r="BL8" s="28" t="s">
        <v>70</v>
      </c>
      <c r="BM8" s="253"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86" t="s">
        <v>1338</v>
      </c>
      <c r="C9" s="346" t="s">
        <v>286</v>
      </c>
      <c r="D9" s="337"/>
      <c r="E9" s="337"/>
      <c r="F9" s="337"/>
      <c r="G9" s="32">
        <f>IF(C9="",0,(COUNTIF(C2:F17,C9)))</f>
        <v>3</v>
      </c>
      <c r="H9" s="33" t="s">
        <v>34</v>
      </c>
      <c r="I9" s="34">
        <f>IFERROR((VLOOKUP($BO$1&amp;C9,Teams!D:M,10,0)),0)</f>
        <v>4</v>
      </c>
      <c r="J9" s="35">
        <f t="shared" ref="J9:K9" si="31">IFERROR(K68,0)</f>
        <v>6</v>
      </c>
      <c r="K9" s="35">
        <f t="shared" si="31"/>
        <v>3</v>
      </c>
      <c r="L9" s="35" t="str">
        <f t="shared" ref="L9:N9" si="32">IFERROR(M68&amp;"+",0)</f>
        <v>3+</v>
      </c>
      <c r="M9" s="35" t="str">
        <f t="shared" si="32"/>
        <v>4+</v>
      </c>
      <c r="N9" s="35" t="str">
        <f t="shared" si="32"/>
        <v>10+</v>
      </c>
      <c r="O9" s="360" t="str">
        <f>IFERROR((IF(AV9="YES",(VLOOKUP($BO$1&amp;C9,Teams!D:M,7,0)&amp;BF9),AW9)),"")</f>
        <v>Animosity (alle Mitspieler), Block, Mighty Blow (+1), Tackle</v>
      </c>
      <c r="P9" s="361"/>
      <c r="Q9" s="361"/>
      <c r="R9" s="361"/>
      <c r="S9" s="361"/>
      <c r="T9" s="361"/>
      <c r="U9" s="361"/>
      <c r="V9" s="361"/>
      <c r="W9" s="361"/>
      <c r="X9" s="361"/>
      <c r="Y9" s="362"/>
      <c r="Z9" s="87"/>
      <c r="AA9" s="87"/>
      <c r="AB9" s="88"/>
      <c r="AC9" s="88">
        <v>2</v>
      </c>
      <c r="AD9" s="88"/>
      <c r="AE9" s="89"/>
      <c r="AF9" s="89">
        <v>3</v>
      </c>
      <c r="AG9" s="89">
        <v>1</v>
      </c>
      <c r="AH9" s="89"/>
      <c r="AI9" s="89">
        <v>2</v>
      </c>
      <c r="AJ9" s="334">
        <f t="shared" si="2"/>
        <v>22</v>
      </c>
      <c r="AK9" s="335"/>
      <c r="AL9" s="334">
        <f t="shared" si="3"/>
        <v>8</v>
      </c>
      <c r="AM9" s="335"/>
      <c r="AN9" s="334">
        <f>IFERROR((VLOOKUP($BO$1&amp;C9,Teams!D:M,8,0)+AG44),0)</f>
        <v>120000</v>
      </c>
      <c r="AO9" s="335"/>
      <c r="AP9" s="412"/>
      <c r="AQ9" s="27">
        <f>IFERROR((IF(Z9&lt;&gt;"",0,((VLOOKUP($BO$1&amp;C9,Teams!D:M,9,0)+(AG44/1000))))),0)</f>
        <v>120</v>
      </c>
      <c r="AR9" s="28">
        <f>IFERROR((VLOOKUP($BO$1&amp;C9,Teams!D:N,11,0)),0)</f>
        <v>0</v>
      </c>
      <c r="AS9" s="28" t="str">
        <f t="shared" si="4"/>
        <v/>
      </c>
      <c r="AT9" s="28" t="str">
        <f t="shared" si="5"/>
        <v/>
      </c>
      <c r="AU9" s="28" t="str">
        <f t="shared" si="6"/>
        <v/>
      </c>
      <c r="AV9" s="28" t="str">
        <f t="shared" si="7"/>
        <v>YES</v>
      </c>
      <c r="AW9" s="28" t="str">
        <f t="shared" si="8"/>
        <v/>
      </c>
      <c r="AX9" s="36" t="str">
        <f t="shared" si="9"/>
        <v>, Mighty Blow (+1)</v>
      </c>
      <c r="AY9" s="36" t="str">
        <f t="shared" si="10"/>
        <v>, Tackle</v>
      </c>
      <c r="AZ9" s="36" t="str">
        <f t="shared" si="11"/>
        <v/>
      </c>
      <c r="BA9" s="36" t="str">
        <f t="shared" si="12"/>
        <v/>
      </c>
      <c r="BB9" s="36" t="str">
        <f t="shared" si="13"/>
        <v/>
      </c>
      <c r="BC9" s="36" t="str">
        <f t="shared" si="14"/>
        <v/>
      </c>
      <c r="BD9" s="36" t="str">
        <f t="shared" si="15"/>
        <v/>
      </c>
      <c r="BE9" s="36" t="str">
        <f t="shared" si="16"/>
        <v/>
      </c>
      <c r="BF9" s="37" t="str">
        <f t="shared" si="17"/>
        <v>, Mighty Blow (+1), Tackle</v>
      </c>
      <c r="BG9" s="30" t="str">
        <f>IFERROR((IF((VLOOKUP($BO$1&amp;C9,Teams!D:M,7,0))="","",", ")),"")</f>
        <v xml:space="preserve">, </v>
      </c>
      <c r="BH9" s="30"/>
      <c r="BI9" s="28" t="str">
        <f>$BO$1&amp;8</f>
        <v>Orc8</v>
      </c>
      <c r="BJ9" s="30" t="str">
        <f>IFERROR(IF((VLOOKUP(BI9,Teams!B:C,2,FALSE))=0,"",(VLOOKUP(BI9,Teams!B:C,2,FALSE))),"")</f>
        <v>Journey Orc</v>
      </c>
      <c r="BK9" s="28"/>
      <c r="BL9" s="28" t="s">
        <v>76</v>
      </c>
      <c r="BM9" s="253"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4"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86" t="s">
        <v>1359</v>
      </c>
      <c r="C10" s="355" t="s">
        <v>286</v>
      </c>
      <c r="D10" s="337"/>
      <c r="E10" s="337"/>
      <c r="F10" s="337"/>
      <c r="G10" s="32">
        <f>IF(C10="",0,(COUNTIF(C2:F17,C10)))</f>
        <v>3</v>
      </c>
      <c r="H10" s="33" t="s">
        <v>34</v>
      </c>
      <c r="I10" s="34">
        <f>IFERROR((VLOOKUP($BO$1&amp;C10,Teams!D:M,10,0)),0)</f>
        <v>4</v>
      </c>
      <c r="J10" s="35">
        <f t="shared" ref="J10:K10" si="33">IFERROR(K69,0)</f>
        <v>6</v>
      </c>
      <c r="K10" s="35">
        <f t="shared" si="33"/>
        <v>3</v>
      </c>
      <c r="L10" s="35" t="str">
        <f t="shared" ref="L10:N10" si="34">IFERROR(M69&amp;"+",0)</f>
        <v>3+</v>
      </c>
      <c r="M10" s="35" t="str">
        <f t="shared" si="34"/>
        <v>4+</v>
      </c>
      <c r="N10" s="35" t="str">
        <f t="shared" si="34"/>
        <v>10+</v>
      </c>
      <c r="O10" s="360" t="str">
        <f>IFERROR((IF(AV10="YES",(VLOOKUP($BO$1&amp;C10,Teams!D:M,7,0)&amp;BF10),AW10)),"")</f>
        <v>Animosity (alle Mitspieler), Block</v>
      </c>
      <c r="P10" s="361"/>
      <c r="Q10" s="361"/>
      <c r="R10" s="361"/>
      <c r="S10" s="361"/>
      <c r="T10" s="361"/>
      <c r="U10" s="361"/>
      <c r="V10" s="361"/>
      <c r="W10" s="361"/>
      <c r="X10" s="361"/>
      <c r="Y10" s="362"/>
      <c r="Z10" s="87"/>
      <c r="AA10" s="87"/>
      <c r="AB10" s="88"/>
      <c r="AC10" s="88">
        <v>1</v>
      </c>
      <c r="AD10" s="88"/>
      <c r="AE10" s="89"/>
      <c r="AF10" s="89"/>
      <c r="AG10" s="89">
        <v>1</v>
      </c>
      <c r="AH10" s="89"/>
      <c r="AI10" s="89"/>
      <c r="AJ10" s="334">
        <f t="shared" si="2"/>
        <v>5</v>
      </c>
      <c r="AK10" s="335"/>
      <c r="AL10" s="334">
        <f t="shared" si="3"/>
        <v>5</v>
      </c>
      <c r="AM10" s="335"/>
      <c r="AN10" s="334">
        <f>IFERROR((VLOOKUP($BO$1&amp;C10,Teams!D:M,8,0)+AG45),0)</f>
        <v>80000</v>
      </c>
      <c r="AO10" s="335"/>
      <c r="AP10" s="412"/>
      <c r="AQ10" s="27">
        <f>IFERROR((IF(Z10&lt;&gt;"",0,((VLOOKUP($BO$1&amp;C10,Teams!D:M,9,0)+(AG45/1000))))),0)</f>
        <v>80</v>
      </c>
      <c r="AR10" s="28">
        <f>IFERROR((VLOOKUP($BO$1&amp;C10,Teams!D:N,11,0)),0)</f>
        <v>0</v>
      </c>
      <c r="AS10" s="28" t="str">
        <f t="shared" si="4"/>
        <v/>
      </c>
      <c r="AT10" s="28" t="str">
        <f t="shared" si="5"/>
        <v/>
      </c>
      <c r="AU10" s="28" t="str">
        <f t="shared" si="6"/>
        <v/>
      </c>
      <c r="AV10" s="28" t="str">
        <f t="shared" si="7"/>
        <v>YES</v>
      </c>
      <c r="AW10" s="28" t="str">
        <f t="shared" si="8"/>
        <v/>
      </c>
      <c r="AX10" s="36" t="str">
        <f t="shared" si="9"/>
        <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
      </c>
      <c r="BG10" s="30" t="str">
        <f>IFERROR((IF((VLOOKUP($BO$1&amp;C10,Teams!D:M,7,0))="","",", ")),"")</f>
        <v xml:space="preserve">, </v>
      </c>
      <c r="BH10" s="30"/>
      <c r="BI10" s="28" t="str">
        <f>$BO$1&amp;9</f>
        <v>Orc9</v>
      </c>
      <c r="BJ10" s="30" t="str">
        <f>IFERROR(IF((VLOOKUP(BI10,Teams!B:C,2,FALSE))=0,"",(VLOOKUP(BI10,Teams!B:C,2,FALSE))),"")</f>
        <v/>
      </c>
      <c r="BK10" s="28"/>
      <c r="BL10" s="28" t="s">
        <v>81</v>
      </c>
      <c r="BM10" s="253"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4"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86" t="s">
        <v>1343</v>
      </c>
      <c r="C11" s="346" t="s">
        <v>276</v>
      </c>
      <c r="D11" s="337"/>
      <c r="E11" s="337"/>
      <c r="F11" s="337"/>
      <c r="G11" s="32">
        <f>IF(C11="",0,(COUNTIF(C2:F17,C11)))</f>
        <v>1</v>
      </c>
      <c r="H11" s="33" t="s">
        <v>34</v>
      </c>
      <c r="I11" s="34">
        <f>IFERROR((VLOOKUP($BO$1&amp;C11,Teams!D:M,10,0)),0)</f>
        <v>2</v>
      </c>
      <c r="J11" s="35">
        <f t="shared" ref="J11:K11" si="35">IFERROR(K70,0)</f>
        <v>5</v>
      </c>
      <c r="K11" s="35">
        <f t="shared" si="35"/>
        <v>3</v>
      </c>
      <c r="L11" s="35" t="str">
        <f t="shared" ref="L11:N11" si="36">IFERROR(M70&amp;"+",0)</f>
        <v>3+</v>
      </c>
      <c r="M11" s="35" t="str">
        <f t="shared" si="36"/>
        <v>3+</v>
      </c>
      <c r="N11" s="35" t="str">
        <f t="shared" si="36"/>
        <v>9+</v>
      </c>
      <c r="O11" s="360" t="str">
        <f>IFERROR((IF(AV11="YES",(VLOOKUP($BO$1&amp;C11,Teams!D:M,7,0)&amp;BF11),AW11)),"")</f>
        <v>Animosity (alle Mitspieler), Pass, Sure Hands, Leader, Block - 1 NI</v>
      </c>
      <c r="P11" s="361"/>
      <c r="Q11" s="361"/>
      <c r="R11" s="361"/>
      <c r="S11" s="361"/>
      <c r="T11" s="361"/>
      <c r="U11" s="361"/>
      <c r="V11" s="361"/>
      <c r="W11" s="361"/>
      <c r="X11" s="361"/>
      <c r="Y11" s="362"/>
      <c r="Z11" s="87"/>
      <c r="AA11" s="87"/>
      <c r="AB11" s="88">
        <v>3</v>
      </c>
      <c r="AC11" s="88">
        <v>6</v>
      </c>
      <c r="AD11" s="88"/>
      <c r="AE11" s="89"/>
      <c r="AF11" s="89">
        <v>1</v>
      </c>
      <c r="AG11" s="89"/>
      <c r="AH11" s="89"/>
      <c r="AI11" s="89"/>
      <c r="AJ11" s="334">
        <f t="shared" si="2"/>
        <v>23</v>
      </c>
      <c r="AK11" s="335"/>
      <c r="AL11" s="334">
        <f t="shared" si="3"/>
        <v>9</v>
      </c>
      <c r="AM11" s="335"/>
      <c r="AN11" s="334">
        <f>IFERROR((VLOOKUP($BO$1&amp;C11,Teams!D:M,8,0)+AG46),0)</f>
        <v>105000</v>
      </c>
      <c r="AO11" s="335"/>
      <c r="AP11" s="412"/>
      <c r="AQ11" s="27">
        <f>IFERROR((IF(Z11&lt;&gt;"",0,((VLOOKUP($BO$1&amp;C11,Teams!D:M,9,0)+(AG46/1000))))),0)</f>
        <v>105</v>
      </c>
      <c r="AR11" s="28">
        <f>IFERROR((VLOOKUP($BO$1&amp;C11,Teams!D:N,11,0)),0)</f>
        <v>0</v>
      </c>
      <c r="AS11" s="28" t="str">
        <f t="shared" si="4"/>
        <v/>
      </c>
      <c r="AT11" s="28" t="str">
        <f t="shared" si="5"/>
        <v/>
      </c>
      <c r="AU11" s="28" t="str">
        <f t="shared" si="6"/>
        <v/>
      </c>
      <c r="AV11" s="28" t="str">
        <f t="shared" si="7"/>
        <v>YES</v>
      </c>
      <c r="AW11" s="28" t="str">
        <f t="shared" si="8"/>
        <v/>
      </c>
      <c r="AX11" s="36" t="str">
        <f t="shared" si="9"/>
        <v>, Leader</v>
      </c>
      <c r="AY11" s="36" t="str">
        <f t="shared" si="10"/>
        <v>, Block</v>
      </c>
      <c r="AZ11" s="36" t="str">
        <f t="shared" si="11"/>
        <v/>
      </c>
      <c r="BA11" s="36" t="str">
        <f t="shared" si="12"/>
        <v/>
      </c>
      <c r="BB11" s="36" t="str">
        <f t="shared" si="13"/>
        <v/>
      </c>
      <c r="BC11" s="36" t="str">
        <f t="shared" si="14"/>
        <v/>
      </c>
      <c r="BD11" s="36" t="str">
        <f t="shared" si="15"/>
        <v/>
      </c>
      <c r="BE11" s="36" t="str">
        <f t="shared" si="16"/>
        <v xml:space="preserve"> - 1 NI</v>
      </c>
      <c r="BF11" s="37" t="str">
        <f t="shared" si="17"/>
        <v>, Leader, Block - 1 NI</v>
      </c>
      <c r="BG11" s="30" t="str">
        <f>IFERROR((IF((VLOOKUP($BO$1&amp;C11,Teams!D:M,7,0))="","",", ")),"")</f>
        <v xml:space="preserve">, </v>
      </c>
      <c r="BH11" s="30"/>
      <c r="BI11" s="28" t="str">
        <f>$BO$1&amp;10</f>
        <v>Orc10</v>
      </c>
      <c r="BJ11" s="30" t="str">
        <f>IFERROR(IF((VLOOKUP(BI11,Teams!B:C,2,FALSE))=0,"",(VLOOKUP(BI11,Teams!B:C,2,FALSE))),"")</f>
        <v/>
      </c>
      <c r="BK11" s="28"/>
      <c r="BL11" s="28" t="s">
        <v>86</v>
      </c>
      <c r="BM11" s="253"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4"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86"/>
      <c r="C12" s="346" t="s">
        <v>185</v>
      </c>
      <c r="D12" s="337"/>
      <c r="E12" s="337"/>
      <c r="F12" s="337"/>
      <c r="G12" s="32">
        <f>IF(C12="",0,(COUNTIF(C2:F17,C12)))</f>
        <v>0</v>
      </c>
      <c r="H12" s="33" t="s">
        <v>34</v>
      </c>
      <c r="I12" s="34">
        <f>IFERROR((VLOOKUP($BO$1&amp;C12,Teams!D:M,10,0)),0)</f>
        <v>0</v>
      </c>
      <c r="J12" s="35">
        <f t="shared" ref="J12:K12" si="37">IFERROR(K71,0)</f>
        <v>0</v>
      </c>
      <c r="K12" s="35">
        <f t="shared" si="37"/>
        <v>0</v>
      </c>
      <c r="L12" s="35" t="str">
        <f t="shared" ref="L12:N12" si="38">IFERROR(M71&amp;"+",0)</f>
        <v>0+</v>
      </c>
      <c r="M12" s="35" t="str">
        <f t="shared" si="38"/>
        <v>0+</v>
      </c>
      <c r="N12" s="35" t="str">
        <f t="shared" si="38"/>
        <v>0+</v>
      </c>
      <c r="O12" s="360" t="str">
        <f>IFERROR((IF(AV12="YES",(VLOOKUP($BO$1&amp;C12,Teams!D:M,7,0)&amp;BF12),AW12)),"")</f>
        <v>0 - 1 NI</v>
      </c>
      <c r="P12" s="361"/>
      <c r="Q12" s="361"/>
      <c r="R12" s="361"/>
      <c r="S12" s="361"/>
      <c r="T12" s="361"/>
      <c r="U12" s="361"/>
      <c r="V12" s="361"/>
      <c r="W12" s="361"/>
      <c r="X12" s="361"/>
      <c r="Y12" s="362"/>
      <c r="Z12" s="87"/>
      <c r="AA12" s="87"/>
      <c r="AB12" s="88"/>
      <c r="AC12" s="88"/>
      <c r="AD12" s="88"/>
      <c r="AE12" s="89"/>
      <c r="AF12" s="89"/>
      <c r="AG12" s="89"/>
      <c r="AH12" s="89"/>
      <c r="AI12" s="89"/>
      <c r="AJ12" s="334">
        <f t="shared" si="2"/>
        <v>0</v>
      </c>
      <c r="AK12" s="335"/>
      <c r="AL12" s="334">
        <f t="shared" si="3"/>
        <v>0</v>
      </c>
      <c r="AM12" s="335"/>
      <c r="AN12" s="334">
        <f>IFERROR((VLOOKUP($BO$1&amp;C12,Teams!D:M,8,0)+AG47),0)</f>
        <v>0</v>
      </c>
      <c r="AO12" s="335"/>
      <c r="AP12" s="412"/>
      <c r="AQ12" s="27">
        <f>IFERROR((IF(Z12&lt;&gt;"",0,((VLOOKUP($BO$1&amp;C12,Teams!D:M,9,0)+(AG47/1000))))),0)</f>
        <v>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xml:space="preserve"> - 1 NI</v>
      </c>
      <c r="BF12" s="37" t="str">
        <f t="shared" si="17"/>
        <v xml:space="preserve"> - 1 NI</v>
      </c>
      <c r="BG12" s="30" t="str">
        <f>IFERROR((IF((VLOOKUP($BO$1&amp;C12,Teams!D:M,7,0))="","",", ")),"")</f>
        <v xml:space="preserve">, </v>
      </c>
      <c r="BH12" s="30"/>
      <c r="BI12" s="28" t="str">
        <f>$BO$1&amp;11</f>
        <v>Orc11</v>
      </c>
      <c r="BJ12" s="30" t="str">
        <f>IFERROR(IF((VLOOKUP(BI12,Teams!B:C,2,FALSE))=0,"",(VLOOKUP(BI12,Teams!B:C,2,FALSE))),"")</f>
        <v/>
      </c>
      <c r="BK12" s="28"/>
      <c r="BL12" s="28" t="s">
        <v>91</v>
      </c>
      <c r="BM12" s="253"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4"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t="s">
        <v>1339</v>
      </c>
      <c r="C13" s="346" t="s">
        <v>731</v>
      </c>
      <c r="D13" s="337"/>
      <c r="E13" s="337"/>
      <c r="F13" s="337"/>
      <c r="G13" s="32">
        <f>IF(C13="",0,(COUNTIF(C2:F17,C13)))</f>
        <v>1</v>
      </c>
      <c r="H13" s="33" t="s">
        <v>34</v>
      </c>
      <c r="I13" s="34">
        <f>IFERROR((VLOOKUP($BO$1&amp;C13,Teams!D:M,10,0)),0)</f>
        <v>1</v>
      </c>
      <c r="J13" s="35">
        <f t="shared" ref="J13:K13" si="39">IFERROR(K72,0)</f>
        <v>4</v>
      </c>
      <c r="K13" s="35">
        <f t="shared" si="39"/>
        <v>5</v>
      </c>
      <c r="L13" s="35" t="str">
        <f t="shared" ref="L13:N13" si="40">IFERROR(M72&amp;"+",0)</f>
        <v>5+</v>
      </c>
      <c r="M13" s="35" t="str">
        <f t="shared" si="40"/>
        <v>5+</v>
      </c>
      <c r="N13" s="35" t="str">
        <f t="shared" si="40"/>
        <v>10+</v>
      </c>
      <c r="O13" s="360" t="str">
        <f>IFERROR((IF(AV13="YES",(VLOOKUP($BO$1&amp;C13,Teams!D:M,7,0)&amp;BF13),AW13)),"")</f>
        <v>Always Hungry, Loner (4+), Mighty Blow (+1), Projectile Vomit, Really Stupid, Regeneration, Throw Team-mate, Guard</v>
      </c>
      <c r="P13" s="361"/>
      <c r="Q13" s="361"/>
      <c r="R13" s="361"/>
      <c r="S13" s="361"/>
      <c r="T13" s="361"/>
      <c r="U13" s="361"/>
      <c r="V13" s="361"/>
      <c r="W13" s="361"/>
      <c r="X13" s="361"/>
      <c r="Y13" s="362"/>
      <c r="Z13" s="87"/>
      <c r="AA13" s="87">
        <v>1</v>
      </c>
      <c r="AB13" s="88"/>
      <c r="AC13" s="88"/>
      <c r="AD13" s="88"/>
      <c r="AE13" s="89"/>
      <c r="AF13" s="89">
        <v>2</v>
      </c>
      <c r="AG13" s="89">
        <v>2</v>
      </c>
      <c r="AH13" s="89">
        <v>1</v>
      </c>
      <c r="AI13" s="89"/>
      <c r="AJ13" s="334">
        <f t="shared" si="2"/>
        <v>11</v>
      </c>
      <c r="AK13" s="335"/>
      <c r="AL13" s="334">
        <f t="shared" si="3"/>
        <v>5</v>
      </c>
      <c r="AM13" s="335"/>
      <c r="AN13" s="334">
        <f>IFERROR((VLOOKUP($BO$1&amp;C13,Teams!D:M,8,0)+AG48),0)</f>
        <v>135000</v>
      </c>
      <c r="AO13" s="335"/>
      <c r="AP13" s="412"/>
      <c r="AQ13" s="27">
        <f>IFERROR((IF(Z13&lt;&gt;"",0,((VLOOKUP($BO$1&amp;C13,Teams!D:M,9,0)+(AG48/1000))))),0)</f>
        <v>135</v>
      </c>
      <c r="AR13" s="28">
        <f>IFERROR((VLOOKUP($BO$1&amp;C13,Teams!D:N,11,0)),0)</f>
        <v>1</v>
      </c>
      <c r="AS13" s="28" t="str">
        <f t="shared" si="4"/>
        <v/>
      </c>
      <c r="AT13" s="28" t="str">
        <f t="shared" si="5"/>
        <v/>
      </c>
      <c r="AU13" s="28" t="str">
        <f t="shared" si="6"/>
        <v/>
      </c>
      <c r="AV13" s="28" t="str">
        <f t="shared" si="7"/>
        <v>YES</v>
      </c>
      <c r="AW13" s="28" t="str">
        <f t="shared" si="8"/>
        <v/>
      </c>
      <c r="AX13" s="36" t="str">
        <f t="shared" si="9"/>
        <v>, Guard</v>
      </c>
      <c r="AY13" s="36" t="str">
        <f t="shared" si="10"/>
        <v/>
      </c>
      <c r="AZ13" s="36" t="str">
        <f t="shared" si="11"/>
        <v/>
      </c>
      <c r="BA13" s="36" t="str">
        <f t="shared" si="12"/>
        <v/>
      </c>
      <c r="BB13" s="36" t="str">
        <f t="shared" si="13"/>
        <v/>
      </c>
      <c r="BC13" s="36" t="str">
        <f t="shared" si="14"/>
        <v/>
      </c>
      <c r="BD13" s="36" t="str">
        <f t="shared" si="15"/>
        <v/>
      </c>
      <c r="BE13" s="36" t="str">
        <f t="shared" si="16"/>
        <v/>
      </c>
      <c r="BF13" s="37" t="str">
        <f t="shared" si="17"/>
        <v>, Guard</v>
      </c>
      <c r="BG13" s="30" t="str">
        <f>IFERROR((IF((VLOOKUP($BO$1&amp;C13,Teams!D:M,7,0))="","",", ")),"")</f>
        <v xml:space="preserve">, </v>
      </c>
      <c r="BH13" s="30"/>
      <c r="BI13" s="28" t="str">
        <f>$BO$1&amp;12</f>
        <v>Orc12</v>
      </c>
      <c r="BJ13" s="30" t="str">
        <f>IFERROR(IF((VLOOKUP(BI13,Teams!B:C,2,FALSE))=0,"",(VLOOKUP(BI13,Teams!B:C,2,FALSE))),"")</f>
        <v/>
      </c>
      <c r="BK13" s="28"/>
      <c r="BL13" s="28" t="s">
        <v>96</v>
      </c>
      <c r="BM13" s="253"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t="s">
        <v>1345</v>
      </c>
      <c r="C14" s="346" t="s">
        <v>717</v>
      </c>
      <c r="D14" s="337"/>
      <c r="E14" s="337"/>
      <c r="F14" s="337"/>
      <c r="G14" s="32">
        <f>IF(C14="",0,(COUNTIF(C2:F17,C14)))</f>
        <v>1</v>
      </c>
      <c r="H14" s="33" t="s">
        <v>34</v>
      </c>
      <c r="I14" s="34">
        <f>IFERROR((VLOOKUP($BO$1&amp;C14,Teams!D:M,10,0)),0)</f>
        <v>4</v>
      </c>
      <c r="J14" s="35">
        <f t="shared" ref="J14:K14" si="41">IFERROR(K73,0)</f>
        <v>6</v>
      </c>
      <c r="K14" s="35">
        <f t="shared" si="41"/>
        <v>2</v>
      </c>
      <c r="L14" s="35" t="str">
        <f t="shared" ref="L14:N14" si="42">IFERROR(M73&amp;"+",0)</f>
        <v>3+</v>
      </c>
      <c r="M14" s="35" t="str">
        <f t="shared" si="42"/>
        <v>4+</v>
      </c>
      <c r="N14" s="35" t="str">
        <f t="shared" si="42"/>
        <v>8+</v>
      </c>
      <c r="O14" s="360" t="str">
        <f>IFERROR((IF(AV14="YES",(VLOOKUP($BO$1&amp;C14,Teams!D:M,7,0)&amp;BF14),AW14)),"")</f>
        <v>Dodge, Right Stuff, Stunty</v>
      </c>
      <c r="P14" s="361"/>
      <c r="Q14" s="361"/>
      <c r="R14" s="361"/>
      <c r="S14" s="361"/>
      <c r="T14" s="361"/>
      <c r="U14" s="361"/>
      <c r="V14" s="361"/>
      <c r="W14" s="361"/>
      <c r="X14" s="361"/>
      <c r="Y14" s="362"/>
      <c r="Z14" s="87"/>
      <c r="AA14" s="87"/>
      <c r="AB14" s="88"/>
      <c r="AC14" s="88">
        <v>2</v>
      </c>
      <c r="AD14" s="88"/>
      <c r="AE14" s="89"/>
      <c r="AF14" s="89"/>
      <c r="AG14" s="89"/>
      <c r="AH14" s="89"/>
      <c r="AI14" s="89">
        <v>1</v>
      </c>
      <c r="AJ14" s="334">
        <f t="shared" si="2"/>
        <v>10</v>
      </c>
      <c r="AK14" s="335"/>
      <c r="AL14" s="334">
        <f t="shared" si="3"/>
        <v>10</v>
      </c>
      <c r="AM14" s="335"/>
      <c r="AN14" s="334">
        <f>IFERROR((VLOOKUP($BO$1&amp;C14,Teams!D:M,8,0)+AG49),0)</f>
        <v>40000</v>
      </c>
      <c r="AO14" s="335"/>
      <c r="AP14" s="412"/>
      <c r="AQ14" s="27">
        <f>IFERROR((IF(Z14&lt;&gt;"",0,((VLOOKUP($BO$1&amp;C14,Teams!D:M,9,0)+(AG49/1000))))),0)</f>
        <v>40</v>
      </c>
      <c r="AR14" s="28">
        <f>IFERROR((VLOOKUP($BO$1&amp;C14,Teams!D:N,11,0)),0)</f>
        <v>0</v>
      </c>
      <c r="AS14" s="28" t="str">
        <f t="shared" si="4"/>
        <v/>
      </c>
      <c r="AT14" s="28" t="str">
        <f t="shared" si="5"/>
        <v/>
      </c>
      <c r="AU14" s="28" t="str">
        <f t="shared" si="6"/>
        <v/>
      </c>
      <c r="AV14" s="28" t="str">
        <f t="shared" si="7"/>
        <v>YES</v>
      </c>
      <c r="AW14" s="28" t="str">
        <f t="shared" si="8"/>
        <v/>
      </c>
      <c r="AX14" s="36" t="str">
        <f t="shared" si="9"/>
        <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c>
      <c r="BG14" s="30" t="str">
        <f>IFERROR((IF((VLOOKUP($BO$1&amp;C14,Teams!D:M,7,0))="","",", ")),"")</f>
        <v xml:space="preserve">, </v>
      </c>
      <c r="BH14" s="30"/>
      <c r="BI14" s="28" t="str">
        <f>$BO$1&amp;13</f>
        <v>Orc13</v>
      </c>
      <c r="BJ14" s="30" t="str">
        <f>IFERROR(IF((VLOOKUP(BI14,Teams!B:C,2,FALSE))=0,"",(VLOOKUP(BI14,Teams!B:C,2,FALSE))),"")</f>
        <v/>
      </c>
      <c r="BK14" s="28"/>
      <c r="BL14" s="28" t="s">
        <v>101</v>
      </c>
      <c r="BM14" s="253"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t="s">
        <v>1367</v>
      </c>
      <c r="C15" s="346" t="s">
        <v>396</v>
      </c>
      <c r="D15" s="337"/>
      <c r="E15" s="337"/>
      <c r="F15" s="337"/>
      <c r="G15" s="32">
        <f>IF(C15="",0,(COUNTIF(C2:F17,C15)))</f>
        <v>2</v>
      </c>
      <c r="H15" s="33" t="s">
        <v>34</v>
      </c>
      <c r="I15" s="34">
        <f>IFERROR((VLOOKUP($BO$1&amp;C15,Teams!D:M,10,0)),0)</f>
        <v>16</v>
      </c>
      <c r="J15" s="35">
        <f t="shared" ref="J15:K15" si="43">IFERROR(K74,0)</f>
        <v>5</v>
      </c>
      <c r="K15" s="35">
        <f t="shared" si="43"/>
        <v>3</v>
      </c>
      <c r="L15" s="35" t="str">
        <f t="shared" ref="L15:N15" si="44">IFERROR(M74&amp;"+",0)</f>
        <v>3+</v>
      </c>
      <c r="M15" s="35" t="str">
        <f t="shared" si="44"/>
        <v>4+</v>
      </c>
      <c r="N15" s="35" t="str">
        <f t="shared" si="44"/>
        <v>10+</v>
      </c>
      <c r="O15" s="360" t="str">
        <f>IFERROR((IF(AV15="YES",(VLOOKUP($BO$1&amp;C15,Teams!D:M,7,0)&amp;BF15),AW15)),"")</f>
        <v>Animosity (Orc Linemen)</v>
      </c>
      <c r="P15" s="361"/>
      <c r="Q15" s="361"/>
      <c r="R15" s="361"/>
      <c r="S15" s="361"/>
      <c r="T15" s="361"/>
      <c r="U15" s="361"/>
      <c r="V15" s="361"/>
      <c r="W15" s="361"/>
      <c r="X15" s="361"/>
      <c r="Y15" s="362"/>
      <c r="Z15" s="87"/>
      <c r="AA15" s="87"/>
      <c r="AB15" s="88"/>
      <c r="AC15" s="88"/>
      <c r="AD15" s="88"/>
      <c r="AE15" s="89"/>
      <c r="AF15" s="89"/>
      <c r="AG15" s="89"/>
      <c r="AH15" s="89"/>
      <c r="AI15" s="89"/>
      <c r="AJ15" s="334">
        <f t="shared" si="2"/>
        <v>0</v>
      </c>
      <c r="AK15" s="335"/>
      <c r="AL15" s="334">
        <f t="shared" si="3"/>
        <v>0</v>
      </c>
      <c r="AM15" s="335"/>
      <c r="AN15" s="334">
        <f>IFERROR((VLOOKUP($BO$1&amp;C15,Teams!D:M,8,0)+AG50),0)</f>
        <v>50000</v>
      </c>
      <c r="AO15" s="335"/>
      <c r="AP15" s="412"/>
      <c r="AQ15" s="27">
        <f>IFERROR((IF(Z15&lt;&gt;"",0,((VLOOKUP($BO$1&amp;C15,Teams!D:M,9,0)+(AG50/1000))))),0)</f>
        <v>50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3"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t="s">
        <v>1355</v>
      </c>
      <c r="C16" s="346" t="s">
        <v>396</v>
      </c>
      <c r="D16" s="337"/>
      <c r="E16" s="337"/>
      <c r="F16" s="337"/>
      <c r="G16" s="32">
        <f t="shared" ref="G16:G17" si="45">IF(C16="",0,(COUNTIF(C2:F17,C16)))</f>
        <v>2</v>
      </c>
      <c r="H16" s="33" t="s">
        <v>34</v>
      </c>
      <c r="I16" s="34">
        <f>IFERROR((VLOOKUP($BO$1&amp;C16,Teams!D:M,10,0)),0)</f>
        <v>16</v>
      </c>
      <c r="J16" s="35">
        <f t="shared" ref="J16:K16" si="46">IFERROR(K75,0)</f>
        <v>5</v>
      </c>
      <c r="K16" s="35">
        <f t="shared" si="46"/>
        <v>3</v>
      </c>
      <c r="L16" s="35" t="str">
        <f t="shared" ref="L16:N16" si="47">IFERROR(M75&amp;"+",0)</f>
        <v>3+</v>
      </c>
      <c r="M16" s="35" t="str">
        <f t="shared" si="47"/>
        <v>4+</v>
      </c>
      <c r="N16" s="35" t="str">
        <f t="shared" si="47"/>
        <v>10+</v>
      </c>
      <c r="O16" s="360" t="str">
        <f>IFERROR((IF(AV16="YES",(VLOOKUP($BO$1&amp;C16,Teams!D:M,7,0)&amp;BF16),AW16)),"")</f>
        <v>Animosity (Orc Linemen)</v>
      </c>
      <c r="P16" s="361"/>
      <c r="Q16" s="361"/>
      <c r="R16" s="361"/>
      <c r="S16" s="361"/>
      <c r="T16" s="361"/>
      <c r="U16" s="361"/>
      <c r="V16" s="361"/>
      <c r="W16" s="361"/>
      <c r="X16" s="361"/>
      <c r="Y16" s="362"/>
      <c r="Z16" s="87"/>
      <c r="AA16" s="87"/>
      <c r="AB16" s="88"/>
      <c r="AC16" s="88"/>
      <c r="AD16" s="88"/>
      <c r="AE16" s="89"/>
      <c r="AF16" s="89"/>
      <c r="AG16" s="89">
        <v>1</v>
      </c>
      <c r="AH16" s="89"/>
      <c r="AI16" s="89"/>
      <c r="AJ16" s="334">
        <f t="shared" si="2"/>
        <v>2</v>
      </c>
      <c r="AK16" s="335"/>
      <c r="AL16" s="334">
        <f t="shared" si="3"/>
        <v>2</v>
      </c>
      <c r="AM16" s="335"/>
      <c r="AN16" s="334">
        <f>IFERROR((VLOOKUP($BO$1&amp;C16,Teams!D:M,8,0)+AG51),0)</f>
        <v>50000</v>
      </c>
      <c r="AO16" s="335"/>
      <c r="AP16" s="412"/>
      <c r="AQ16" s="27">
        <f>IFERROR((IF(Z16&lt;&gt;"",0,((VLOOKUP($BO$1&amp;C16,Teams!D:M,9,0)+(AG51/1000))))),0)</f>
        <v>50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3"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c r="C17" s="385" t="s">
        <v>185</v>
      </c>
      <c r="D17" s="337"/>
      <c r="E17" s="337"/>
      <c r="F17" s="337"/>
      <c r="G17" s="32">
        <f t="shared" si="45"/>
        <v>0</v>
      </c>
      <c r="H17" s="33" t="s">
        <v>34</v>
      </c>
      <c r="I17" s="34">
        <f>IFERROR((VLOOKUP($BO$1&amp;C17,Teams!D:M,10,0)),0)</f>
        <v>0</v>
      </c>
      <c r="J17" s="35">
        <f t="shared" ref="J17:K17" si="48">IFERROR(K76,0)</f>
        <v>0</v>
      </c>
      <c r="K17" s="35">
        <f t="shared" si="48"/>
        <v>0</v>
      </c>
      <c r="L17" s="35" t="str">
        <f t="shared" ref="L17:N17" si="49">IFERROR(M76&amp;"+",0)</f>
        <v>0+</v>
      </c>
      <c r="M17" s="35" t="str">
        <f t="shared" si="49"/>
        <v>0+</v>
      </c>
      <c r="N17" s="35" t="str">
        <f t="shared" si="49"/>
        <v>0+</v>
      </c>
      <c r="O17" s="360" t="str">
        <f>IFERROR((IF(AV17="YES",(VLOOKUP($BO$1&amp;C17,Teams!D:M,7,0)&amp;BF17),AW17)),"")</f>
        <v>0</v>
      </c>
      <c r="P17" s="361"/>
      <c r="Q17" s="361"/>
      <c r="R17" s="361"/>
      <c r="S17" s="361"/>
      <c r="T17" s="361"/>
      <c r="U17" s="361"/>
      <c r="V17" s="361"/>
      <c r="W17" s="361"/>
      <c r="X17" s="361"/>
      <c r="Y17" s="362"/>
      <c r="Z17" s="87"/>
      <c r="AA17" s="87"/>
      <c r="AB17" s="88"/>
      <c r="AC17" s="88"/>
      <c r="AD17" s="88"/>
      <c r="AE17" s="89"/>
      <c r="AF17" s="89"/>
      <c r="AG17" s="89"/>
      <c r="AH17" s="89"/>
      <c r="AI17" s="89"/>
      <c r="AJ17" s="334">
        <f t="shared" si="2"/>
        <v>0</v>
      </c>
      <c r="AK17" s="335"/>
      <c r="AL17" s="334">
        <f t="shared" si="3"/>
        <v>0</v>
      </c>
      <c r="AM17" s="335"/>
      <c r="AN17" s="334">
        <f>IFERROR((VLOOKUP($BO$1&amp;C17,Teams!D:M,8,0)+AG52),0)</f>
        <v>0</v>
      </c>
      <c r="AO17" s="335"/>
      <c r="AP17" s="412"/>
      <c r="AQ17" s="27">
        <f>IFERROR((IF(Z17&lt;&gt;"",0,((VLOOKUP($BO$1&amp;C17,Teams!D:M,9,0)+(AG52/1000))))),0)</f>
        <v>0</v>
      </c>
      <c r="AR17" s="28">
        <f>IFERROR((VLOOKUP($BO$1&amp;C17,Teams!D:N,11,0)),0)</f>
        <v>0</v>
      </c>
      <c r="AS17" s="28" t="str">
        <f t="shared" si="4"/>
        <v/>
      </c>
      <c r="AT17" s="28" t="str">
        <f t="shared" si="5"/>
        <v/>
      </c>
      <c r="AU17" s="28" t="str">
        <f t="shared" si="6"/>
        <v/>
      </c>
      <c r="AV17" s="28" t="str">
        <f t="shared" si="7"/>
        <v>YES</v>
      </c>
      <c r="AW17" s="28" t="str">
        <f t="shared" si="8"/>
        <v/>
      </c>
      <c r="AX17" s="36" t="str">
        <f t="shared" si="9"/>
        <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c>
      <c r="BG17" s="30" t="str">
        <f>IFERROR((IF((VLOOKUP($BO$1&amp;C17,Teams!D:M,7,0))="","",", ")),"")</f>
        <v xml:space="preserve">, </v>
      </c>
      <c r="BH17" s="30"/>
      <c r="BI17" s="30"/>
      <c r="BJ17" s="30"/>
      <c r="BK17" s="28"/>
      <c r="BL17" s="28" t="s">
        <v>116</v>
      </c>
      <c r="BM17" s="253"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Mercenario</v>
      </c>
      <c r="C18" s="387"/>
      <c r="D18" s="388"/>
      <c r="E18" s="388"/>
      <c r="F18" s="389"/>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63">
        <f>IFERROR((IF(G18&gt;I18,AS18,VLOOKUP(C18,StarPlayers!B:K,7,0))),0)</f>
        <v>0</v>
      </c>
      <c r="P18" s="364"/>
      <c r="Q18" s="364"/>
      <c r="R18" s="364"/>
      <c r="S18" s="364"/>
      <c r="T18" s="364"/>
      <c r="U18" s="364"/>
      <c r="V18" s="364"/>
      <c r="W18" s="364"/>
      <c r="X18" s="364"/>
      <c r="Y18" s="335"/>
      <c r="Z18" s="363">
        <f>IFERROR((IF(G18&gt;I18,AS18,VLOOKUP(C18,StarPlayers!B:K,8,0))),0)</f>
        <v>0</v>
      </c>
      <c r="AA18" s="364"/>
      <c r="AB18" s="364"/>
      <c r="AC18" s="364"/>
      <c r="AD18" s="364"/>
      <c r="AE18" s="364"/>
      <c r="AF18" s="364"/>
      <c r="AG18" s="364"/>
      <c r="AH18" s="364"/>
      <c r="AI18" s="364"/>
      <c r="AJ18" s="364"/>
      <c r="AK18" s="364"/>
      <c r="AL18" s="364"/>
      <c r="AM18" s="335"/>
      <c r="AN18" s="334">
        <f>IFERROR((VLOOKUP(C18,StarPlayers!B:K,9,0)),0)</f>
        <v>0</v>
      </c>
      <c r="AO18" s="335"/>
      <c r="AP18" s="412"/>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3"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Mercenario</v>
      </c>
      <c r="C19" s="387"/>
      <c r="D19" s="388"/>
      <c r="E19" s="388"/>
      <c r="F19" s="389"/>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63">
        <f>IFERROR((IF(G19&gt;I19,AS19,VLOOKUP(C19,StarPlayers!B:K,7,0))),0)</f>
        <v>0</v>
      </c>
      <c r="P19" s="364"/>
      <c r="Q19" s="364"/>
      <c r="R19" s="364"/>
      <c r="S19" s="364"/>
      <c r="T19" s="364"/>
      <c r="U19" s="364"/>
      <c r="V19" s="364"/>
      <c r="W19" s="364"/>
      <c r="X19" s="364"/>
      <c r="Y19" s="335"/>
      <c r="Z19" s="363">
        <f>IFERROR((IF(G19&gt;I19,AS19,VLOOKUP(C19,StarPlayers!B:K,8,0))),0)</f>
        <v>0</v>
      </c>
      <c r="AA19" s="364"/>
      <c r="AB19" s="364"/>
      <c r="AC19" s="364"/>
      <c r="AD19" s="364"/>
      <c r="AE19" s="364"/>
      <c r="AF19" s="364"/>
      <c r="AG19" s="364"/>
      <c r="AH19" s="364"/>
      <c r="AI19" s="364"/>
      <c r="AJ19" s="364"/>
      <c r="AK19" s="364"/>
      <c r="AL19" s="364"/>
      <c r="AM19" s="335"/>
      <c r="AN19" s="334">
        <f>IFERROR((VLOOKUP(C19,StarPlayers!B:K,9,0)),0)</f>
        <v>0</v>
      </c>
      <c r="AO19" s="335"/>
      <c r="AP19" s="412"/>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3"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4"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59" customFormat="1" ht="45" customHeight="1">
      <c r="A20" s="42" t="s">
        <v>115</v>
      </c>
      <c r="B20" s="41" t="str">
        <f>IF($J$25="Italiano","Mercenario",(IF($J$25="Español","Mercenario",(IF($J$25="Français","Mercenaire","Mercenary")))))</f>
        <v>Mercenario</v>
      </c>
      <c r="C20" s="387"/>
      <c r="D20" s="388"/>
      <c r="E20" s="388"/>
      <c r="F20" s="389"/>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63">
        <f>IFERROR((IF(G20&gt;I20,AS20,VLOOKUP(C20,StarPlayers!B:K,7,0))),0)</f>
        <v>0</v>
      </c>
      <c r="P20" s="364"/>
      <c r="Q20" s="364"/>
      <c r="R20" s="364"/>
      <c r="S20" s="364"/>
      <c r="T20" s="364"/>
      <c r="U20" s="364"/>
      <c r="V20" s="364"/>
      <c r="W20" s="364"/>
      <c r="X20" s="364"/>
      <c r="Y20" s="335"/>
      <c r="Z20" s="363">
        <f>IFERROR((IF(G20&gt;I20,AS20,VLOOKUP(C20,StarPlayers!B:K,8,0))),0)</f>
        <v>0</v>
      </c>
      <c r="AA20" s="364"/>
      <c r="AB20" s="364"/>
      <c r="AC20" s="364"/>
      <c r="AD20" s="364"/>
      <c r="AE20" s="364"/>
      <c r="AF20" s="364"/>
      <c r="AG20" s="364"/>
      <c r="AH20" s="364"/>
      <c r="AI20" s="364"/>
      <c r="AJ20" s="364"/>
      <c r="AK20" s="364"/>
      <c r="AL20" s="364"/>
      <c r="AM20" s="335"/>
      <c r="AN20" s="334">
        <f>IFERROR((VLOOKUP(C20,StarPlayers!B:K,9,0)),0)</f>
        <v>0</v>
      </c>
      <c r="AO20" s="335"/>
      <c r="AP20" s="412"/>
      <c r="AQ20" s="27">
        <f t="shared" si="50"/>
        <v>0</v>
      </c>
      <c r="AR20" s="27"/>
      <c r="AS20" s="258"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8"/>
      <c r="AY20" s="258"/>
      <c r="AZ20" s="258"/>
      <c r="BA20" s="258"/>
      <c r="BB20" s="258"/>
      <c r="BC20" s="258"/>
      <c r="BD20" s="258"/>
      <c r="BE20" s="258"/>
      <c r="BF20" s="30"/>
      <c r="BG20" s="30"/>
      <c r="BH20" s="30"/>
      <c r="BI20" s="30"/>
      <c r="BJ20" s="30"/>
      <c r="BK20" s="258"/>
      <c r="BL20" s="28" t="s">
        <v>133</v>
      </c>
      <c r="BM20" s="253"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373"/>
      <c r="B21" s="374"/>
      <c r="C21" s="386" t="str">
        <f>IF($J$25="Español","ESPÓNSOR","SPONSORS")</f>
        <v>SPONSORS</v>
      </c>
      <c r="D21" s="340"/>
      <c r="E21" s="340"/>
      <c r="F21" s="340"/>
      <c r="G21" s="340"/>
      <c r="H21" s="340"/>
      <c r="I21" s="341"/>
      <c r="J21" s="336" t="s">
        <v>1237</v>
      </c>
      <c r="K21" s="337"/>
      <c r="L21" s="337"/>
      <c r="M21" s="337"/>
      <c r="N21" s="337"/>
      <c r="O21" s="337"/>
      <c r="P21" s="337"/>
      <c r="Q21" s="338"/>
      <c r="R21" s="339" t="str">
        <f>IF($J$25="Italiano","TIFOSI SFEGATAZI INIZIALI",(IF($J$25="Español","FANS DEVOTOS INICIALES",(IF($J$25="Deutsch","INITIAL TREUE FANS",(IF($J$25="Français","FANS DÉVOUÉS INITIAUX","INITIAL DEDICATED FANS")))))))</f>
        <v>TIFOSI SFEGATAZI INIZIALI</v>
      </c>
      <c r="S21" s="340"/>
      <c r="T21" s="340"/>
      <c r="U21" s="340"/>
      <c r="V21" s="341"/>
      <c r="W21" s="91">
        <v>1</v>
      </c>
      <c r="X21" s="47" t="s">
        <v>127</v>
      </c>
      <c r="Y21" s="342">
        <v>10000</v>
      </c>
      <c r="Z21" s="343"/>
      <c r="AA21" s="48" t="str">
        <f t="shared" ref="AA21:AA31" si="51">IF($J$25="Español","mo",(IF($J$25="Deutsch","gm",(IF($J$25="Français","po","gp")))))</f>
        <v>gp</v>
      </c>
      <c r="AB21" s="344">
        <f>IFERROR(((IF(W21=0,0,(IF(W21=1,0,W21-1))))*Y21),0)</f>
        <v>0</v>
      </c>
      <c r="AC21" s="341"/>
      <c r="AD21" s="339" t="str">
        <f>IF($J$25="Italiano","REROLLS TOTALI",(IF($J$25="Español","SEGUNDAS OPORTUNIDADES TOTALES",(IF($J$25="Deutsch","TOTAL WIEDERHOLUNGSWÜRFE",(IF($J$25="Français","RELANCES TOTALES","TOTAL REROLLS")))))))</f>
        <v>REROLLS TOTALI</v>
      </c>
      <c r="AE21" s="340"/>
      <c r="AF21" s="340"/>
      <c r="AG21" s="340"/>
      <c r="AH21" s="341"/>
      <c r="AI21" s="345">
        <f>AI22+AI23</f>
        <v>2</v>
      </c>
      <c r="AJ21" s="340"/>
      <c r="AK21" s="340"/>
      <c r="AL21" s="340"/>
      <c r="AM21" s="340"/>
      <c r="AN21" s="340"/>
      <c r="AO21" s="341"/>
      <c r="AP21" s="412"/>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3"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4"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375"/>
      <c r="B22" s="376"/>
      <c r="C22" s="339" t="str">
        <f>IF($J$25="Italiano","ALLENATORE CAPO",(IF($J$25="Español","ENTRENADOR",(IF($J$25="Deutsch","CHEFTRAINER",(IF($J$25="Français","COACH","HEAD COACH")))))))</f>
        <v>ALLENATORE CAPO</v>
      </c>
      <c r="D22" s="340"/>
      <c r="E22" s="340"/>
      <c r="F22" s="340"/>
      <c r="G22" s="340"/>
      <c r="H22" s="340"/>
      <c r="I22" s="341"/>
      <c r="J22" s="336" t="s">
        <v>1335</v>
      </c>
      <c r="K22" s="337"/>
      <c r="L22" s="337"/>
      <c r="M22" s="337"/>
      <c r="N22" s="337"/>
      <c r="O22" s="337"/>
      <c r="P22" s="337"/>
      <c r="Q22" s="338"/>
      <c r="R22" s="339"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340"/>
      <c r="T22" s="340"/>
      <c r="U22" s="340"/>
      <c r="V22" s="341"/>
      <c r="W22" s="91">
        <v>0</v>
      </c>
      <c r="X22" s="47" t="s">
        <v>127</v>
      </c>
      <c r="Y22" s="342">
        <f>IFERROR(IF(OR(BO1="Necromantic",BO1="Shambling Undead",BO1="Nurgle"),100000,(VLOOKUP(BO1,BL:BQ,6,0))),0)</f>
        <v>50000</v>
      </c>
      <c r="Z22" s="343"/>
      <c r="AA22" s="48" t="str">
        <f t="shared" si="51"/>
        <v>gp</v>
      </c>
      <c r="AB22" s="344">
        <f t="shared" ref="AB22:AB31" si="52">IFERROR(W22*Y22,0)</f>
        <v>0</v>
      </c>
      <c r="AC22" s="341"/>
      <c r="AD22" s="339" t="str">
        <f>IF($J$25="Italiano","REROLLS INIZIALI",(IF($J$25="Español","SEGUNDAS OPORTUNIDADES INICIALES",(IF($J$25="Deutsch","INITIAL WIEDERHOLUNGSWÜRFE",(IF($J$25="Français","RELANCES INITIALES","INITIAL REROLLS")))))))</f>
        <v>REROLLS INIZIALI</v>
      </c>
      <c r="AE22" s="340"/>
      <c r="AF22" s="340"/>
      <c r="AG22" s="340"/>
      <c r="AH22" s="341"/>
      <c r="AI22" s="91">
        <v>2</v>
      </c>
      <c r="AJ22" s="47" t="s">
        <v>127</v>
      </c>
      <c r="AK22" s="342">
        <f>IFERROR(VLOOKUP(BO1,BL:BP,5,0),0)</f>
        <v>60000</v>
      </c>
      <c r="AL22" s="343"/>
      <c r="AM22" s="49" t="str">
        <f t="shared" ref="AM22:AM31" si="53">IF($J$25="Español","mo",(IF($J$25="Deutsch","gm",(IF($J$25="Français","po","gp")))))</f>
        <v>gp</v>
      </c>
      <c r="AN22" s="344">
        <f t="shared" ref="AN22:AN31" si="54">IFERROR(AI22*AK22,0)</f>
        <v>120000</v>
      </c>
      <c r="AO22" s="341"/>
      <c r="AP22" s="412"/>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3"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375"/>
      <c r="B23" s="376"/>
      <c r="C23" s="386" t="str">
        <f>IF($J$25="Italiano","RAZZA",(IF($J$25="Español","RAZA",(IF($J$25="Deutsch","RASSE",(IF($J$25="Français","TYPE D’ÉQUIPE","RACE")))))))</f>
        <v>RAZZA</v>
      </c>
      <c r="D23" s="340"/>
      <c r="E23" s="340"/>
      <c r="F23" s="340"/>
      <c r="G23" s="340"/>
      <c r="H23" s="340"/>
      <c r="I23" s="341"/>
      <c r="J23" s="394" t="s">
        <v>150</v>
      </c>
      <c r="K23" s="337"/>
      <c r="L23" s="337"/>
      <c r="M23" s="337"/>
      <c r="N23" s="337"/>
      <c r="O23" s="337"/>
      <c r="P23" s="337"/>
      <c r="Q23" s="338"/>
      <c r="R23" s="339" t="str">
        <f>IF($J$25="Español","ANIMADORAS",(IF($J$25="Deutsch","CHEERLEADER","CHEERLEADERS")))</f>
        <v>CHEERLEADERS</v>
      </c>
      <c r="S23" s="340"/>
      <c r="T23" s="340"/>
      <c r="U23" s="340"/>
      <c r="V23" s="341"/>
      <c r="W23" s="91">
        <v>0</v>
      </c>
      <c r="X23" s="47" t="s">
        <v>127</v>
      </c>
      <c r="Y23" s="342">
        <v>10000</v>
      </c>
      <c r="Z23" s="343"/>
      <c r="AA23" s="48" t="str">
        <f t="shared" si="51"/>
        <v>gp</v>
      </c>
      <c r="AB23" s="344">
        <f t="shared" si="52"/>
        <v>0</v>
      </c>
      <c r="AC23" s="341"/>
      <c r="AD23" s="339" t="str">
        <f>IF($J$25="Italiano","REROLLS ACQUISITI",(IF($J$25="Español","SEGUNDAS OPORTUNIDADES ADQUIRIDAS",(IF($J$25="Deutsch","GEKAUFTE WIEDERHOLUNGSWÜRFE",(IF($J$25="Français","RELANCES ACHETÉES","ACQUIRED REROLLS")))))))</f>
        <v>REROLLS ACQUISITI</v>
      </c>
      <c r="AE23" s="340"/>
      <c r="AF23" s="340"/>
      <c r="AG23" s="340"/>
      <c r="AH23" s="341"/>
      <c r="AI23" s="91">
        <v>0</v>
      </c>
      <c r="AJ23" s="47" t="s">
        <v>127</v>
      </c>
      <c r="AK23" s="342">
        <f>IFERROR((VLOOKUP(BO1,BL:BP,5,0))*2,0)</f>
        <v>120000</v>
      </c>
      <c r="AL23" s="343"/>
      <c r="AM23" s="49" t="str">
        <f t="shared" si="53"/>
        <v>gp</v>
      </c>
      <c r="AN23" s="344">
        <f t="shared" si="54"/>
        <v>0</v>
      </c>
      <c r="AO23" s="341"/>
      <c r="AP23" s="412"/>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3"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375"/>
      <c r="B24" s="376"/>
      <c r="C24" s="386" t="str">
        <f>IF($J$25="Italiano","NOME SQUADRA",(IF($J$25="Español","NOMBRE DEL EQUIPO",(IF($J$25="Français","NOM D’ÉQUIPE","TEAM NAME")))))</f>
        <v>NOME SQUADRA</v>
      </c>
      <c r="D24" s="340"/>
      <c r="E24" s="340"/>
      <c r="F24" s="340"/>
      <c r="G24" s="340"/>
      <c r="H24" s="340"/>
      <c r="I24" s="341"/>
      <c r="J24" s="336" t="s">
        <v>1336</v>
      </c>
      <c r="K24" s="337"/>
      <c r="L24" s="337"/>
      <c r="M24" s="337"/>
      <c r="N24" s="337"/>
      <c r="O24" s="337"/>
      <c r="P24" s="337"/>
      <c r="Q24" s="338"/>
      <c r="R24" s="339" t="str">
        <f>IF($J$25="Italiano","ASSISTENTI ALLENATORI",(IF($J$25="Español","AYUDANTES ENTRENADOR",(IF($J$25="Deutsch","TRAINERASSISTENTEN",(IF($J$25="Français","COACHS ASSIST","ASSISTANT COACHES")))))))</f>
        <v>ASSISTENTI ALLENATORI</v>
      </c>
      <c r="S24" s="340"/>
      <c r="T24" s="340"/>
      <c r="U24" s="340"/>
      <c r="V24" s="341"/>
      <c r="W24" s="91">
        <v>0</v>
      </c>
      <c r="X24" s="47" t="s">
        <v>127</v>
      </c>
      <c r="Y24" s="342">
        <v>10000</v>
      </c>
      <c r="Z24" s="343"/>
      <c r="AA24" s="48" t="str">
        <f t="shared" si="51"/>
        <v>gp</v>
      </c>
      <c r="AB24" s="344">
        <f t="shared" si="52"/>
        <v>0</v>
      </c>
      <c r="AC24" s="341"/>
      <c r="AD24" s="386" t="str">
        <f>IF($J$25="Italiano","MAGO DEL CLIMA",(IF($J$25="Español","MAGO DEL TIEMPO",(IF($J$25="Deutsch","WETTERMAGIER",(IF($J$25="Français","MAGE MÉTÉO","WEATHER MAGE")))))))</f>
        <v>MAGO DEL CLIMA</v>
      </c>
      <c r="AE24" s="340"/>
      <c r="AF24" s="340"/>
      <c r="AG24" s="340"/>
      <c r="AH24" s="341"/>
      <c r="AI24" s="91">
        <v>0</v>
      </c>
      <c r="AJ24" s="47" t="s">
        <v>127</v>
      </c>
      <c r="AK24" s="342">
        <v>30000</v>
      </c>
      <c r="AL24" s="343"/>
      <c r="AM24" s="48" t="str">
        <f t="shared" si="53"/>
        <v>gp</v>
      </c>
      <c r="AN24" s="344">
        <f t="shared" si="54"/>
        <v>0</v>
      </c>
      <c r="AO24" s="341"/>
      <c r="AP24" s="412"/>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3"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375"/>
      <c r="B25" s="376"/>
      <c r="C25" s="386" t="str">
        <f>IF($J$25="Italiano","LINGUA",(IF($J$25="Español","IDIOMA",(IF($J$25="Deutsch","SPRACHE",(IF($J$25="Français","LANGUE","LANGUAGE")))))))</f>
        <v>LINGUA</v>
      </c>
      <c r="D25" s="340"/>
      <c r="E25" s="340"/>
      <c r="F25" s="340"/>
      <c r="G25" s="340"/>
      <c r="H25" s="340"/>
      <c r="I25" s="341"/>
      <c r="J25" s="405" t="s">
        <v>1202</v>
      </c>
      <c r="K25" s="337"/>
      <c r="L25" s="337"/>
      <c r="M25" s="337"/>
      <c r="N25" s="337"/>
      <c r="O25" s="337"/>
      <c r="P25" s="337"/>
      <c r="Q25" s="338"/>
      <c r="R25" s="386" t="str">
        <f>IF($J$25="Italiano","FUSTI DI BLOODWEISER",(IF($J$25="Español","BARRILES BLOODWEISER",(IF($J$25="Français","FÛTS DE BLOODWEISER","BLOODWEISER KEGS")))))</f>
        <v>FUSTI DI BLOODWEISER</v>
      </c>
      <c r="S25" s="340"/>
      <c r="T25" s="340"/>
      <c r="U25" s="340"/>
      <c r="V25" s="341"/>
      <c r="W25" s="91">
        <v>0</v>
      </c>
      <c r="X25" s="47" t="s">
        <v>127</v>
      </c>
      <c r="Y25" s="342">
        <v>50000</v>
      </c>
      <c r="Z25" s="343"/>
      <c r="AA25" s="48" t="str">
        <f t="shared" si="51"/>
        <v>gp</v>
      </c>
      <c r="AB25" s="344">
        <f t="shared" si="52"/>
        <v>0</v>
      </c>
      <c r="AC25" s="341"/>
      <c r="AD25" s="354" t="s">
        <v>149</v>
      </c>
      <c r="AE25" s="337"/>
      <c r="AF25" s="337"/>
      <c r="AG25" s="337"/>
      <c r="AH25" s="338"/>
      <c r="AI25" s="91">
        <v>0</v>
      </c>
      <c r="AJ25" s="47" t="s">
        <v>127</v>
      </c>
      <c r="AK25" s="342">
        <f>IFERROR((VLOOKUP(AD25,BH59:BI85,2,FALSE)),0)</f>
        <v>0</v>
      </c>
      <c r="AL25" s="343"/>
      <c r="AM25" s="48" t="str">
        <f t="shared" si="53"/>
        <v>gp</v>
      </c>
      <c r="AN25" s="344">
        <f t="shared" si="54"/>
        <v>0</v>
      </c>
      <c r="AO25" s="341"/>
      <c r="AP25" s="412"/>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3"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4"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375"/>
      <c r="B26" s="376"/>
      <c r="C26" s="386" t="str">
        <f>IF($J$25="Italiano","TIFOSI SFEGATATI",(IF($J$25="Español","FANS DEDICADOS",(IF($J$25="Deutsch","TREUE FANS",(IF($J$25="Français","FANS DÉVOUÉS","DEDICATED FANS")))))))</f>
        <v>TIFOSI SFEGATATI</v>
      </c>
      <c r="D26" s="340"/>
      <c r="E26" s="340"/>
      <c r="F26" s="340"/>
      <c r="G26" s="340"/>
      <c r="H26" s="340"/>
      <c r="I26" s="341"/>
      <c r="J26" s="347">
        <f>(W21+Games!AB2+Games!X2)</f>
        <v>4</v>
      </c>
      <c r="K26" s="340"/>
      <c r="L26" s="340"/>
      <c r="M26" s="340"/>
      <c r="N26" s="340"/>
      <c r="O26" s="340"/>
      <c r="P26" s="340"/>
      <c r="Q26" s="341"/>
      <c r="R26" s="339" t="str">
        <f>IF($J$25="Italiano","CARTE SPECIALI",(IF($J$25="Español","CARTA ESPECIAL",(IF($J$25="Deutsch","SONDERKARTEN",(IF($J$25="Français","CARTE SPECIALE","SPECIAL CARD")))))))</f>
        <v>CARTE SPECIALI</v>
      </c>
      <c r="S26" s="340"/>
      <c r="T26" s="340"/>
      <c r="U26" s="340"/>
      <c r="V26" s="341"/>
      <c r="W26" s="91">
        <v>0</v>
      </c>
      <c r="X26" s="47" t="s">
        <v>127</v>
      </c>
      <c r="Y26" s="342">
        <v>100000</v>
      </c>
      <c r="Z26" s="343"/>
      <c r="AA26" s="48" t="str">
        <f t="shared" si="51"/>
        <v>gp</v>
      </c>
      <c r="AB26" s="344">
        <f t="shared" si="52"/>
        <v>0</v>
      </c>
      <c r="AC26" s="341"/>
      <c r="AD26" s="354" t="s">
        <v>154</v>
      </c>
      <c r="AE26" s="337"/>
      <c r="AF26" s="337"/>
      <c r="AG26" s="337"/>
      <c r="AH26" s="338"/>
      <c r="AI26" s="91">
        <v>0</v>
      </c>
      <c r="AJ26" s="47" t="s">
        <v>127</v>
      </c>
      <c r="AK26" s="342">
        <f>IFERROR(VLOOKUP(AD26,BD59:BE85,2,FALSE),0)</f>
        <v>0</v>
      </c>
      <c r="AL26" s="343"/>
      <c r="AM26" s="48" t="str">
        <f t="shared" si="53"/>
        <v>gp</v>
      </c>
      <c r="AN26" s="344">
        <f t="shared" si="54"/>
        <v>0</v>
      </c>
      <c r="AO26" s="341"/>
      <c r="AP26" s="412"/>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3"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4"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375"/>
      <c r="B27" s="376"/>
      <c r="C27" s="386" t="str">
        <f>IF($J$25="Italiano","COSTI INCENTIVI &amp; EXTRA",(IF($J$25="Español","COSTE INCENTIVOS Y EXTRAS",(IF($J$25="Deutsch","GESAMTER TEAMWERT &amp; EXTRAS",(IF($J$25="Français","COUPS DE POUCES &amp; STAFF","COST INDUCEMENTS &amp; EXTRAS")))))))</f>
        <v>COSTI INCENTIVI &amp; EXTRA</v>
      </c>
      <c r="D27" s="340"/>
      <c r="E27" s="340"/>
      <c r="F27" s="340"/>
      <c r="G27" s="340"/>
      <c r="H27" s="340"/>
      <c r="I27" s="341"/>
      <c r="J27" s="369">
        <f>(SUM(AB21:AC31,AN22:AO31,AN18:AO20))/1000</f>
        <v>120</v>
      </c>
      <c r="K27" s="340"/>
      <c r="L27" s="340"/>
      <c r="M27" s="343"/>
      <c r="N27" s="370" t="str">
        <f>IF($J$25="Español","k mo",(IF($J$25="Deutsch","k gm",(IF($J$25="Français","k po","k gp")))))</f>
        <v>k gp</v>
      </c>
      <c r="O27" s="340"/>
      <c r="P27" s="340"/>
      <c r="Q27" s="341"/>
      <c r="R27" s="406" t="str">
        <f>IF($J$25="Italiano","CHEERLEADERS AG. INT.",(IF($J$25="Español","ANIMADORAS TEMP.",(IF($J$25="Deutsch","ZEITARBEITS-CHEERLEADER",(IF($J$25="Français","CHEERLEADERS INTERIM.","TEMP. CHEERLEADERS")))))))</f>
        <v>CHEERLEADERS AG. INT.</v>
      </c>
      <c r="S27" s="352"/>
      <c r="T27" s="352"/>
      <c r="U27" s="352"/>
      <c r="V27" s="407"/>
      <c r="W27" s="92">
        <v>0</v>
      </c>
      <c r="X27" s="51" t="s">
        <v>127</v>
      </c>
      <c r="Y27" s="408">
        <v>20000</v>
      </c>
      <c r="Z27" s="353"/>
      <c r="AA27" s="52" t="str">
        <f t="shared" si="51"/>
        <v>gp</v>
      </c>
      <c r="AB27" s="344">
        <f t="shared" si="52"/>
        <v>0</v>
      </c>
      <c r="AC27" s="341"/>
      <c r="AD27" s="404" t="str">
        <f>BD59</f>
        <v>(IN)FAMOUS COACHES</v>
      </c>
      <c r="AE27" s="337"/>
      <c r="AF27" s="337"/>
      <c r="AG27" s="337"/>
      <c r="AH27" s="338"/>
      <c r="AI27" s="91">
        <v>0</v>
      </c>
      <c r="AJ27" s="47" t="s">
        <v>127</v>
      </c>
      <c r="AK27" s="342">
        <f>IFERROR(VLOOKUP(AD27,BD59:BE85,2,FALSE),0)</f>
        <v>0</v>
      </c>
      <c r="AL27" s="343"/>
      <c r="AM27" s="48" t="str">
        <f t="shared" si="53"/>
        <v>gp</v>
      </c>
      <c r="AN27" s="344">
        <f t="shared" si="54"/>
        <v>0</v>
      </c>
      <c r="AO27" s="341"/>
      <c r="AP27" s="412"/>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3"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5"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375"/>
      <c r="B28" s="376"/>
      <c r="C28" s="339" t="str">
        <f>IF($J$25="Italiano","COSTO GIOCATORI",(IF($J$25="Español","PRECIO JUGADORES",(IF($J$25="Deutsch","WERT SPIELER",(IF($J$25="Français","VALEUR DES JOUEURS","COST PLAYERS")))))))</f>
        <v>COSTO GIOCATORI</v>
      </c>
      <c r="D28" s="340"/>
      <c r="E28" s="340"/>
      <c r="F28" s="340"/>
      <c r="G28" s="340"/>
      <c r="H28" s="340"/>
      <c r="I28" s="341"/>
      <c r="J28" s="369">
        <f>(SUM(AN2:AO17))/1000</f>
        <v>1080</v>
      </c>
      <c r="K28" s="340"/>
      <c r="L28" s="340"/>
      <c r="M28" s="343"/>
      <c r="N28" s="53" t="str">
        <f>IF($J$25="Español","k mo",(IF($J$25="Deutsch","k gm",(IF($J$25="Français","k po","k gp")))))</f>
        <v>k gp</v>
      </c>
      <c r="O28" s="53"/>
      <c r="P28" s="53"/>
      <c r="Q28" s="54"/>
      <c r="R28" s="339" t="str">
        <f>IF($J$25="Italiano","ASSISTENTI ALLENATORI P.T.",(IF($J$25="Español","AYUDANTES ENTRENADOR T.P.",(IF($J$25="Deutsch","TEILZEIT-TRAINERASSISTENTEN",(IF($J$25="Français","COACHS ASSIST INTERIM.","P.T. ASSISTANT COACHES")))))))</f>
        <v>ASSISTENTI ALLENATORI P.T.</v>
      </c>
      <c r="S28" s="340"/>
      <c r="T28" s="340"/>
      <c r="U28" s="340"/>
      <c r="V28" s="341"/>
      <c r="W28" s="91">
        <v>0</v>
      </c>
      <c r="X28" s="47" t="s">
        <v>127</v>
      </c>
      <c r="Y28" s="342">
        <v>20000</v>
      </c>
      <c r="Z28" s="343"/>
      <c r="AA28" s="48" t="str">
        <f t="shared" si="51"/>
        <v>gp</v>
      </c>
      <c r="AB28" s="344">
        <f t="shared" si="52"/>
        <v>0</v>
      </c>
      <c r="AC28" s="341"/>
      <c r="AD28" s="404" t="s">
        <v>164</v>
      </c>
      <c r="AE28" s="337"/>
      <c r="AF28" s="337"/>
      <c r="AG28" s="337"/>
      <c r="AH28" s="338"/>
      <c r="AI28" s="91">
        <v>0</v>
      </c>
      <c r="AJ28" s="47" t="s">
        <v>127</v>
      </c>
      <c r="AK28" s="342">
        <f>IFERROR(VLOOKUP(AD28,BL59:BM85,2,FALSE),0)</f>
        <v>0</v>
      </c>
      <c r="AL28" s="343"/>
      <c r="AM28" s="48" t="str">
        <f t="shared" si="53"/>
        <v>gp</v>
      </c>
      <c r="AN28" s="344">
        <f t="shared" si="54"/>
        <v>0</v>
      </c>
      <c r="AO28" s="341"/>
      <c r="AP28" s="412"/>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3"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6"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375"/>
      <c r="B29" s="376"/>
      <c r="C29" s="386" t="str">
        <f>IF($J$25="Italiano","COSTO TOTALE SQUADRA",(IF($J$25="Español","PRECIO TOTAL EQUIPO",(IF($J$25="Deutsch","GESAMTER TEAMWERT",(IF($J$25="Français","VALEUR D’ÉQUIPE","TOTAL TEAM COST")))))))</f>
        <v>COSTO TOTALE SQUADRA</v>
      </c>
      <c r="D29" s="340"/>
      <c r="E29" s="340"/>
      <c r="F29" s="340"/>
      <c r="G29" s="340"/>
      <c r="H29" s="340"/>
      <c r="I29" s="341"/>
      <c r="J29" s="369">
        <f>J27+J28</f>
        <v>1200</v>
      </c>
      <c r="K29" s="340"/>
      <c r="L29" s="340"/>
      <c r="M29" s="343"/>
      <c r="N29" s="370" t="str">
        <f>IF($J$25="Español","k mo",(IF($J$25="Deutsch","k gm",(IF($J$25="Français","k po","k gp")))))</f>
        <v>k gp</v>
      </c>
      <c r="O29" s="340"/>
      <c r="P29" s="340"/>
      <c r="Q29" s="341"/>
      <c r="R29" s="339" t="str">
        <f>IF($J$25="Italiano","MAZZETTE",(IF($J$25="Español","SOBORNOS",(IF($J$25="Deutsch","BESTECHUNGEN",(IF($J$25="Français","POTS-DE-VIN","BRIBES")))))))</f>
        <v>MAZZETTE</v>
      </c>
      <c r="S29" s="340"/>
      <c r="T29" s="340"/>
      <c r="U29" s="340"/>
      <c r="V29" s="341"/>
      <c r="W29" s="91">
        <v>0</v>
      </c>
      <c r="X29" s="47" t="s">
        <v>127</v>
      </c>
      <c r="Y29" s="342">
        <f>IFERROR(IF(BV2="Bribery and Corruption",50000,100000),100000)</f>
        <v>100000</v>
      </c>
      <c r="Z29" s="343"/>
      <c r="AA29" s="48" t="str">
        <f t="shared" si="51"/>
        <v>gp</v>
      </c>
      <c r="AB29" s="344">
        <f t="shared" si="52"/>
        <v>0</v>
      </c>
      <c r="AC29" s="341"/>
      <c r="AD29" s="404" t="s">
        <v>170</v>
      </c>
      <c r="AE29" s="337"/>
      <c r="AF29" s="337"/>
      <c r="AG29" s="337"/>
      <c r="AH29" s="338"/>
      <c r="AI29" s="91">
        <v>0</v>
      </c>
      <c r="AJ29" s="47" t="s">
        <v>127</v>
      </c>
      <c r="AK29" s="342">
        <f>IFERROR(VLOOKUP(AD29,BO60:BP86,2,FALSE),0)</f>
        <v>0</v>
      </c>
      <c r="AL29" s="343"/>
      <c r="AM29" s="48" t="str">
        <f t="shared" si="53"/>
        <v>gp</v>
      </c>
      <c r="AN29" s="344">
        <f t="shared" si="54"/>
        <v>0</v>
      </c>
      <c r="AO29" s="341"/>
      <c r="AP29" s="412"/>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3"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375"/>
      <c r="B30" s="376"/>
      <c r="C30" s="386" t="str">
        <f>IF($J$25="Italiano","COSTO AVANZAMENTI",(IF($J$25="Español","PRECIO SUBIDAS",(IF($J$25="Deutsch","WERT DER VERBESSERUNG",(IF($J$25="Français","VALEUR AMÉLIORATION","COST UPGRADES")))))))</f>
        <v>COSTO AVANZAMENTI</v>
      </c>
      <c r="D30" s="340"/>
      <c r="E30" s="340"/>
      <c r="F30" s="340"/>
      <c r="G30" s="340"/>
      <c r="H30" s="340"/>
      <c r="I30" s="341"/>
      <c r="J30" s="369">
        <f>(SUM(AG37:AH52))/1000</f>
        <v>160</v>
      </c>
      <c r="K30" s="340"/>
      <c r="L30" s="340"/>
      <c r="M30" s="343"/>
      <c r="N30" s="370" t="str">
        <f>IF($J$25="Español","k mo",(IF($J$25="Deutsch","k gm",(IF($J$25="Français","k po","k gp")))))</f>
        <v>k gp</v>
      </c>
      <c r="O30" s="340"/>
      <c r="P30" s="340"/>
      <c r="Q30" s="341"/>
      <c r="R30" s="339" t="str">
        <f>IF($J$25="Italiano","CAPOCUOCO",(IF($J$25="Español","MASTER CHEF",(IF($J$25="Deutsch","HALBLING-MEISTERKOCH",(IF($J$25="Français","CHEF CUISTOT","MASTER CHEF")))))))</f>
        <v>CAPOCUOCO</v>
      </c>
      <c r="S30" s="340"/>
      <c r="T30" s="340"/>
      <c r="U30" s="340"/>
      <c r="V30" s="341"/>
      <c r="W30" s="91">
        <v>0</v>
      </c>
      <c r="X30" s="47" t="s">
        <v>127</v>
      </c>
      <c r="Y30" s="342">
        <f>IFERROR(IF(OR(BO1="Halfling",BO1="Halflings",BO1="Halflinge"),100000,300000),300000)</f>
        <v>300000</v>
      </c>
      <c r="Z30" s="343"/>
      <c r="AA30" s="49" t="str">
        <f t="shared" si="51"/>
        <v>gp</v>
      </c>
      <c r="AB30" s="344">
        <f t="shared" si="52"/>
        <v>0</v>
      </c>
      <c r="AC30" s="341"/>
      <c r="AD30" s="339" t="str">
        <f>IF($J$25="Italiano","ALLENAMIENTO INTENSIVO",(IF($J$25="Español","ENTRENAMIENTO EXTRA",(IF($J$25="Deutsch","ZUSÄTZLICHES TRAINING",(IF($J$25="Français","ENTRAÎNEMENT SUPP.","EXTRA TEAM TRAINING")))))))</f>
        <v>ALLENAMIENTO INTENSIVO</v>
      </c>
      <c r="AE30" s="340"/>
      <c r="AF30" s="340"/>
      <c r="AG30" s="340"/>
      <c r="AH30" s="341"/>
      <c r="AI30" s="91">
        <v>0</v>
      </c>
      <c r="AJ30" s="47" t="s">
        <v>127</v>
      </c>
      <c r="AK30" s="342">
        <v>100000</v>
      </c>
      <c r="AL30" s="343"/>
      <c r="AM30" s="49" t="str">
        <f t="shared" si="53"/>
        <v>gp</v>
      </c>
      <c r="AN30" s="344">
        <f t="shared" si="54"/>
        <v>0</v>
      </c>
      <c r="AO30" s="341"/>
      <c r="AP30" s="412"/>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3"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375"/>
      <c r="B31" s="376"/>
      <c r="C31" s="386" t="str">
        <f>IF($J$25="Italiano","TESORERIA",(IF($J$25="Español","TESORERÍA",(IF($J$25="Deutsch","TEAMKASSE",(IF($J$25="Français","TRÉSORERIE","TREASURY")))))))</f>
        <v>TESORERIA</v>
      </c>
      <c r="D31" s="340"/>
      <c r="E31" s="340"/>
      <c r="F31" s="340"/>
      <c r="G31" s="340"/>
      <c r="H31" s="340"/>
      <c r="I31" s="341"/>
      <c r="J31" s="369">
        <f>(((Games!AB3+Games!Y2)-(SUM('Dead &amp; Retired Players'!AJ3:AK32)))/1000)-J29+J30</f>
        <v>200</v>
      </c>
      <c r="K31" s="340"/>
      <c r="L31" s="340"/>
      <c r="M31" s="343"/>
      <c r="N31" s="370" t="str">
        <f>IF($J$25="Español","k mo",(IF($J$25="Deutsch","k gm",(IF($J$25="Français","k po","k gp")))))</f>
        <v>k gp</v>
      </c>
      <c r="O31" s="340"/>
      <c r="P31" s="340"/>
      <c r="Q31" s="341"/>
      <c r="R31" s="371" t="str">
        <f>IF($J$25="Italiano","ESORDIENTI RIBELLI",(IF($J$25="Español","NOVATOS ALBOROTADORES",(IF($J$25="Deutsch","RANDALIERENDE NEULINGE",(IF($J$25="Français","DÉBUTANTS DÉCHAINÉS","RIOTOUS ROOKIES")))))))</f>
        <v>ESORDIENTI RIBELLI</v>
      </c>
      <c r="S31" s="340"/>
      <c r="T31" s="340"/>
      <c r="U31" s="340"/>
      <c r="V31" s="341"/>
      <c r="W31" s="91">
        <v>0</v>
      </c>
      <c r="X31" s="47" t="s">
        <v>127</v>
      </c>
      <c r="Y31" s="342">
        <f>IFERROR(IF(BW2="LowCost",100000,0),0)</f>
        <v>0</v>
      </c>
      <c r="Z31" s="343"/>
      <c r="AA31" s="49" t="str">
        <f t="shared" si="51"/>
        <v>gp</v>
      </c>
      <c r="AB31" s="344">
        <f t="shared" si="52"/>
        <v>0</v>
      </c>
      <c r="AC31" s="341"/>
      <c r="AD31" s="339" t="str">
        <f>IF($J$25="Italiano","MEDICI VAGABONDI",(IF($J$25="Español","MÉDICO ERRANTE",(IF($J$25="Deutsch","WANDERNDER SANITÄTER",(IF($J$25="Français","APO ITINÉRANT","WANDERING APO")))))))</f>
        <v>MEDICI VAGABONDI</v>
      </c>
      <c r="AE31" s="340"/>
      <c r="AF31" s="340"/>
      <c r="AG31" s="340"/>
      <c r="AH31" s="341"/>
      <c r="AI31" s="91">
        <v>0</v>
      </c>
      <c r="AJ31" s="47" t="s">
        <v>127</v>
      </c>
      <c r="AK31" s="342">
        <f>IFERROR(IF(Y22=0,0,100000),0)</f>
        <v>100000</v>
      </c>
      <c r="AL31" s="343"/>
      <c r="AM31" s="49" t="str">
        <f t="shared" si="53"/>
        <v>gp</v>
      </c>
      <c r="AN31" s="344">
        <f t="shared" si="54"/>
        <v>0</v>
      </c>
      <c r="AO31" s="341"/>
      <c r="AP31" s="412"/>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3"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377"/>
      <c r="B32" s="378"/>
      <c r="C32" s="386" t="str">
        <f>IF($J$25="Italiano","VALORE SQUADRA",(IF($J$25="Español","VALOR DEL EQUIPO",(IF($J$25="Deutsch","TEAMWERT",(IF($J$25="Français","VALEUR D’ÉQUIPE ACTUELLE","TEAM VALUE")))))))</f>
        <v>VALORE SQUADRA</v>
      </c>
      <c r="D32" s="340"/>
      <c r="E32" s="340"/>
      <c r="F32" s="340"/>
      <c r="G32" s="340"/>
      <c r="H32" s="340"/>
      <c r="I32" s="341"/>
      <c r="J32" s="372">
        <f>(J27-(AB21/1000)+(SUM(AQ2:AQ17))-(AN23/2000))</f>
        <v>1200</v>
      </c>
      <c r="K32" s="340"/>
      <c r="L32" s="340"/>
      <c r="M32" s="340"/>
      <c r="N32" s="340"/>
      <c r="O32" s="340"/>
      <c r="P32" s="340"/>
      <c r="Q32" s="341"/>
      <c r="R32" s="371" t="str">
        <f>IF($J$25="Italiano","REGOLE SPECIALI",(IF($J$25="Español","REGLA ESPECIAL",(IF($J$25="Deutsch","SONDERREGELN",(IF($J$25="Français","RÈGLES SPÉCIALES","SPECIAL RULES")))))))</f>
        <v>REGOLE SPECIALI</v>
      </c>
      <c r="S32" s="340"/>
      <c r="T32" s="340"/>
      <c r="U32" s="340"/>
      <c r="V32" s="341"/>
      <c r="W32" s="402" t="str">
        <f>IFERROR(VLOOKUP(BO1,BL:BU,8,0),"")</f>
        <v>Badlands Brawl</v>
      </c>
      <c r="X32" s="340"/>
      <c r="Y32" s="340"/>
      <c r="Z32" s="340"/>
      <c r="AA32" s="340"/>
      <c r="AB32" s="340"/>
      <c r="AC32" s="340"/>
      <c r="AD32" s="340"/>
      <c r="AE32" s="340"/>
      <c r="AF32" s="340"/>
      <c r="AG32" s="340"/>
      <c r="AH32" s="340"/>
      <c r="AI32" s="343"/>
      <c r="AJ32" s="403" t="s">
        <v>185</v>
      </c>
      <c r="AK32" s="340"/>
      <c r="AL32" s="343"/>
      <c r="AM32" s="410"/>
      <c r="AN32" s="340"/>
      <c r="AO32" s="341"/>
      <c r="AP32" s="412"/>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379" t="str">
        <f>IF(J25="Italiano","v4.3 - Creato da dreamscreator",(IF(J25="Español","v4.3 - Creado por dreamscreator",(IF(J25="Deutsch","v4.3 - Erstellt von dreamscreator",(IF(J25="Français","v4.3 Créé par dreamscreator","v4.3 - Created by dreamscreator")))))))</f>
        <v>v4.3 - Creato da dreamscreator</v>
      </c>
      <c r="B33" s="349"/>
      <c r="C33" s="349"/>
      <c r="D33" s="349"/>
      <c r="E33" s="350"/>
      <c r="F33" s="348" t="str">
        <f>B60&amp;B61&amp;B62&amp;B63&amp;B64&amp;B65&amp;B66</f>
        <v/>
      </c>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50"/>
      <c r="AP33" s="412"/>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380"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352"/>
      <c r="C34" s="352"/>
      <c r="D34" s="352"/>
      <c r="E34" s="353"/>
      <c r="F34" s="351" t="str">
        <f>IF(J25="Italiano","AVANZAMIENTO GIOCATORI",(IF(J25="Español","MEJORAS DE LOS JUGADORES",(IF(J25="Deutsch","SPIELERVERBESSERUNGEN",(IF(J25="Français","AMÉLIORATIONS DE JOUEURS","PLAYERS UPGRADES")))))))</f>
        <v>AVANZAMIENTO GIOCATORI</v>
      </c>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3"/>
      <c r="AK34" s="56"/>
      <c r="AL34" s="56"/>
      <c r="AM34" s="56"/>
      <c r="AN34" s="56"/>
      <c r="AO34" s="56"/>
      <c r="AP34" s="412"/>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381" t="s">
        <v>29</v>
      </c>
      <c r="B35" s="383" t="str">
        <f>IF($J$25="Italiano","TIPO",(IF($J$25="Español","TIPO",(IF($J$25="Deutsch","POSITION",(IF($J$25="Français","POSTE","TYPE")))))))</f>
        <v>TIPO</v>
      </c>
      <c r="C35" s="356" t="str">
        <f>IF($J$25="Italiano","Avanzamento 1",(IF($J$25="Español","Mejora 1",(IF($J$25="Deutsch","Verbes- serung 1",(IF($J$25="Français","Amélioration 1","Upgrade 1")))))))</f>
        <v>Avanzamento 1</v>
      </c>
      <c r="D35" s="357"/>
      <c r="E35" s="356" t="str">
        <f>IF($J$25="Italiano","Scelto o Casuale",(IF($J$25="Español","Elegida o Aleatoria",(IF($J$25="Deutsch","Ausge- wählt oder zufällig",(IF($J$25="Français","Choisie ou Aléatoire ","Chosen or Random")))))))</f>
        <v>Scelto o Casuale</v>
      </c>
      <c r="F35" s="357"/>
      <c r="G35" s="356" t="str">
        <f>IF($J$25="Italiano","Avanzamento 2",(IF($J$25="Español","Mejora 2",(IF($J$25="Deutsch","Verbes- serung 2",(IF($J$25="Français","Amélioration 2","Upgrade 2")))))))</f>
        <v>Avanzamento 2</v>
      </c>
      <c r="H35" s="392"/>
      <c r="I35" s="392"/>
      <c r="J35" s="357"/>
      <c r="K35" s="356" t="str">
        <f>IF($J$25="Italiano","Scelto o Casuale",(IF($J$25="Español","Elegida o Aleatoria",(IF($J$25="Deutsch","Ausge- wählt oder zufällig",(IF($J$25="Français","Choisie ou Aléatoire ","Chosen or Random")))))))</f>
        <v>Scelto o Casuale</v>
      </c>
      <c r="L35" s="357"/>
      <c r="M35" s="356" t="str">
        <f>IF($J$25="Italiano","Avanzamento 3",(IF($J$25="Español","Mejora 3",(IF($J$25="Deutsch","Verbes- serung 3",(IF($J$25="Français","Amélioration 3","Upgrade 3")))))))</f>
        <v>Avanzamento 3</v>
      </c>
      <c r="N35" s="357"/>
      <c r="O35" s="356" t="str">
        <f>IF($J$25="Italiano","Scelto o Casuale",(IF($J$25="Español","Elegida o Aleatoria",(IF($J$25="Deutsch","Ausge- wählt oder zufällig",(IF($J$25="Français","Choisie ou Aléatoire ","Chosen or Random")))))))</f>
        <v>Scelto o Casuale</v>
      </c>
      <c r="P35" s="357"/>
      <c r="Q35" s="356" t="str">
        <f>IF($J$25="Italiano","Avanzamento 4",(IF($J$25="Español","Mejora 4",(IF($J$25="Deutsch","Verbes- serung 4",(IF($J$25="Français","Amélioration 4","Upgrade 4")))))))</f>
        <v>Avanzamento 4</v>
      </c>
      <c r="R35" s="357"/>
      <c r="S35" s="356" t="str">
        <f>IF($J$25="Italiano","Scelto o Casuale",(IF($J$25="Español","Elegida o Aleatoria",(IF($J$25="Deutsch","Ausge- wählt oder zufällig",(IF($J$25="Français","Choisie ou Aléatoire ","Chosen or Random")))))))</f>
        <v>Scelto o Casuale</v>
      </c>
      <c r="T35" s="357"/>
      <c r="U35" s="356" t="str">
        <f>IF($J$25="Italiano","Avanzamento 5",(IF($J$25="Español","Mejora 5",(IF($J$25="Deutsch","Verbes- serung 5",(IF($J$25="Français","Amélioration 5","Upgrade 5")))))))</f>
        <v>Avanzamento 5</v>
      </c>
      <c r="V35" s="357"/>
      <c r="W35" s="356" t="str">
        <f>IF($J$25="Italiano","Scelto o Casuale",(IF($J$25="Español","Elegida o Aleatoria",(IF($J$25="Deutsch","Ausge- wählt oder zufällig",(IF($J$25="Français","Choisie ou Aléatoire ","Chosen or Random")))))))</f>
        <v>Scelto o Casuale</v>
      </c>
      <c r="X35" s="357"/>
      <c r="Y35" s="356" t="str">
        <f>IF($J$25="Italiano","Avanzamento 6",(IF($J$25="Español","Mejora 6",(IF($J$25="Deutsch","Verbes- serung 6",(IF($J$25="Français","Amélioration 6","Upgrade 6")))))))</f>
        <v>Avanzamento 6</v>
      </c>
      <c r="Z35" s="357"/>
      <c r="AA35" s="356" t="str">
        <f>IF($J$25="Italiano","Scelto o Casuale",(IF($J$25="Español","Elegida o Aleatoria",(IF($J$25="Deutsch","Ausge- wählt oder zufällig",(IF($J$25="Français","Choisie ou Aléatoire ","Chosen or Random")))))))</f>
        <v>Scelto o Casuale</v>
      </c>
      <c r="AB35" s="357"/>
      <c r="AC35" s="356" t="str">
        <f>IF($J$25="Italiano","Modifica Manuale Valore",(IF($J$25="Español","Modificar valor manual",(IF($J$25="Deutsch","Manuelle Wertän- derung",(IF($J$25="Français","Modif. manuelle de Valeur","Manual Modify Value")))))))</f>
        <v>Modifica Manuale Valore</v>
      </c>
      <c r="AD35" s="357"/>
      <c r="AE35" s="356" t="str">
        <f>IF($J$25="Italiano","Modifica Manuale SPP",(IF($J$25="Español","Modificar SPP manual",(IF($J$25="Deutsch","Manuelle SPP derung",(IF($J$25="Français","Modif. manuelle de SPP","Manual Modify SPP")))))))</f>
        <v>Modifica Manuale SPP</v>
      </c>
      <c r="AF35" s="357"/>
      <c r="AG35" s="356" t="str">
        <f>IF($J$25="Italiano","Valore Extra",(IF($J$25="Español","Valor extra",(IF($J$25="Deutsch","Extra Wert",(IF($J$25="Français","Hausse de Valeur","Value Extra")))))))</f>
        <v>Valore Extra</v>
      </c>
      <c r="AH35" s="357"/>
      <c r="AI35" s="399" t="str">
        <f>IF($J$25="Italiano","Costo SPP",(IF($J$25="Español","Coste",(IF($J$25="Deutsch","Σ SPP",(IF($J$25="Français","Coût en PSP","SPP Cost")))))))</f>
        <v>Costo SPP</v>
      </c>
      <c r="AJ35" s="400" t="str">
        <f>IF($J$25="Italiano","Infortuni",(IF($J$25="Español","Lesiones",(IF($J$25="Deutsch","Verletzungen",(IF($J$25="Français","Blessures","Injuries")))))))</f>
        <v>Infortuni</v>
      </c>
      <c r="AK35" s="340"/>
      <c r="AL35" s="340"/>
      <c r="AM35" s="340"/>
      <c r="AN35" s="340"/>
      <c r="AO35" s="341"/>
      <c r="AP35" s="412"/>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5"/>
      <c r="CF35" s="255"/>
      <c r="CG35" s="255"/>
      <c r="CH35" s="255"/>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382"/>
      <c r="B36" s="384"/>
      <c r="C36" s="358"/>
      <c r="D36" s="359"/>
      <c r="E36" s="358"/>
      <c r="F36" s="359"/>
      <c r="G36" s="358"/>
      <c r="H36" s="393"/>
      <c r="I36" s="393"/>
      <c r="J36" s="359"/>
      <c r="K36" s="358"/>
      <c r="L36" s="359"/>
      <c r="M36" s="358"/>
      <c r="N36" s="359"/>
      <c r="O36" s="358"/>
      <c r="P36" s="359"/>
      <c r="Q36" s="358"/>
      <c r="R36" s="359"/>
      <c r="S36" s="358"/>
      <c r="T36" s="359"/>
      <c r="U36" s="358"/>
      <c r="V36" s="359"/>
      <c r="W36" s="358"/>
      <c r="X36" s="359"/>
      <c r="Y36" s="358"/>
      <c r="Z36" s="359"/>
      <c r="AA36" s="358"/>
      <c r="AB36" s="359"/>
      <c r="AC36" s="358"/>
      <c r="AD36" s="359"/>
      <c r="AE36" s="358"/>
      <c r="AF36" s="359"/>
      <c r="AG36" s="358"/>
      <c r="AH36" s="359"/>
      <c r="AI36" s="384"/>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412"/>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5"/>
      <c r="CF36" s="255"/>
      <c r="CG36" s="255"/>
      <c r="CH36" s="255"/>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f t="shared" ref="B37:B52" si="55">C2</f>
        <v>0</v>
      </c>
      <c r="C37" s="355" t="s">
        <v>185</v>
      </c>
      <c r="D37" s="338"/>
      <c r="E37" s="355"/>
      <c r="F37" s="338"/>
      <c r="G37" s="355"/>
      <c r="H37" s="337"/>
      <c r="I37" s="337"/>
      <c r="J37" s="338"/>
      <c r="K37" s="346"/>
      <c r="L37" s="338"/>
      <c r="M37" s="355"/>
      <c r="N37" s="338"/>
      <c r="O37" s="346"/>
      <c r="P37" s="338"/>
      <c r="Q37" s="355"/>
      <c r="R37" s="338"/>
      <c r="S37" s="346"/>
      <c r="T37" s="338"/>
      <c r="U37" s="355"/>
      <c r="V37" s="338"/>
      <c r="W37" s="346"/>
      <c r="X37" s="338"/>
      <c r="Y37" s="355"/>
      <c r="Z37" s="338"/>
      <c r="AA37" s="346"/>
      <c r="AB37" s="338"/>
      <c r="AC37" s="397"/>
      <c r="AD37" s="338"/>
      <c r="AE37" s="398"/>
      <c r="AF37" s="338"/>
      <c r="AG37" s="401">
        <f t="shared" ref="AG37:AG52" si="56">IFERROR(BI40+AC37,0)</f>
        <v>0</v>
      </c>
      <c r="AH37" s="341"/>
      <c r="AI37" s="59">
        <f t="shared" ref="AI37:AI52" si="57">IFERROR(SUM(CU40:CZ40)+AE37,0)</f>
        <v>0</v>
      </c>
      <c r="AJ37" s="93">
        <v>0</v>
      </c>
      <c r="AK37" s="94">
        <v>0</v>
      </c>
      <c r="AL37" s="94">
        <v>0</v>
      </c>
      <c r="AM37" s="94">
        <v>0</v>
      </c>
      <c r="AN37" s="94">
        <v>0</v>
      </c>
      <c r="AO37" s="94">
        <v>0</v>
      </c>
      <c r="AP37" s="412"/>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5"/>
      <c r="CF37" s="255"/>
      <c r="CG37" s="255"/>
      <c r="CH37" s="255"/>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Big Un</v>
      </c>
      <c r="C38" s="346"/>
      <c r="D38" s="338"/>
      <c r="E38" s="346"/>
      <c r="F38" s="338"/>
      <c r="G38" s="346"/>
      <c r="H38" s="337"/>
      <c r="I38" s="337"/>
      <c r="J38" s="338"/>
      <c r="K38" s="346"/>
      <c r="L38" s="338"/>
      <c r="M38" s="346"/>
      <c r="N38" s="338"/>
      <c r="O38" s="346"/>
      <c r="P38" s="338"/>
      <c r="Q38" s="346"/>
      <c r="R38" s="338"/>
      <c r="S38" s="346"/>
      <c r="T38" s="338"/>
      <c r="U38" s="346"/>
      <c r="V38" s="338"/>
      <c r="W38" s="346"/>
      <c r="X38" s="338"/>
      <c r="Y38" s="346"/>
      <c r="Z38" s="338"/>
      <c r="AA38" s="346"/>
      <c r="AB38" s="338"/>
      <c r="AC38" s="397"/>
      <c r="AD38" s="338"/>
      <c r="AE38" s="398"/>
      <c r="AF38" s="338"/>
      <c r="AG38" s="401">
        <f t="shared" si="56"/>
        <v>0</v>
      </c>
      <c r="AH38" s="341"/>
      <c r="AI38" s="59">
        <f t="shared" si="57"/>
        <v>0</v>
      </c>
      <c r="AJ38" s="93">
        <v>0</v>
      </c>
      <c r="AK38" s="94">
        <v>0</v>
      </c>
      <c r="AL38" s="94">
        <v>0</v>
      </c>
      <c r="AM38" s="94">
        <v>0</v>
      </c>
      <c r="AN38" s="94">
        <v>0</v>
      </c>
      <c r="AO38" s="94">
        <v>0</v>
      </c>
      <c r="AP38" s="412"/>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5"/>
      <c r="CF38" s="255"/>
      <c r="CG38" s="255"/>
      <c r="CH38" s="255"/>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Big Un</v>
      </c>
      <c r="C39" s="355"/>
      <c r="D39" s="338"/>
      <c r="E39" s="355"/>
      <c r="F39" s="338"/>
      <c r="G39" s="355"/>
      <c r="H39" s="337"/>
      <c r="I39" s="337"/>
      <c r="J39" s="338"/>
      <c r="K39" s="346"/>
      <c r="L39" s="338"/>
      <c r="M39" s="355"/>
      <c r="N39" s="338"/>
      <c r="O39" s="346"/>
      <c r="P39" s="338"/>
      <c r="Q39" s="355"/>
      <c r="R39" s="338"/>
      <c r="S39" s="346"/>
      <c r="T39" s="338"/>
      <c r="U39" s="355"/>
      <c r="V39" s="338"/>
      <c r="W39" s="346"/>
      <c r="X39" s="338"/>
      <c r="Y39" s="355"/>
      <c r="Z39" s="338"/>
      <c r="AA39" s="346"/>
      <c r="AB39" s="338"/>
      <c r="AC39" s="397"/>
      <c r="AD39" s="338"/>
      <c r="AE39" s="398"/>
      <c r="AF39" s="338"/>
      <c r="AG39" s="401">
        <f t="shared" si="56"/>
        <v>0</v>
      </c>
      <c r="AH39" s="341"/>
      <c r="AI39" s="59">
        <f t="shared" si="57"/>
        <v>0</v>
      </c>
      <c r="AJ39" s="93">
        <v>0</v>
      </c>
      <c r="AK39" s="94">
        <v>0</v>
      </c>
      <c r="AL39" s="94">
        <v>0</v>
      </c>
      <c r="AM39" s="94">
        <v>0</v>
      </c>
      <c r="AN39" s="94">
        <v>0</v>
      </c>
      <c r="AO39" s="94">
        <v>0</v>
      </c>
      <c r="AP39" s="412"/>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95" t="s">
        <v>207</v>
      </c>
      <c r="BL39" s="396"/>
      <c r="BM39" s="396"/>
      <c r="BN39" s="396"/>
      <c r="BO39" s="396"/>
      <c r="BP39" s="396"/>
      <c r="BQ39" s="229"/>
      <c r="BR39" s="229"/>
      <c r="BS39" s="395" t="s">
        <v>208</v>
      </c>
      <c r="BT39" s="396"/>
      <c r="BU39" s="396"/>
      <c r="BV39" s="396"/>
      <c r="BW39" s="396"/>
      <c r="BX39" s="396"/>
      <c r="BY39" s="229"/>
      <c r="BZ39" s="395" t="s">
        <v>209</v>
      </c>
      <c r="CA39" s="396"/>
      <c r="CB39" s="396"/>
      <c r="CC39" s="396"/>
      <c r="CD39" s="396"/>
      <c r="CE39" s="396"/>
      <c r="CF39" s="229"/>
      <c r="CG39" s="395" t="s">
        <v>210</v>
      </c>
      <c r="CH39" s="396"/>
      <c r="CI39" s="396"/>
      <c r="CJ39" s="396"/>
      <c r="CK39" s="396"/>
      <c r="CL39" s="396"/>
      <c r="CM39" s="229"/>
      <c r="CN39" s="395" t="s">
        <v>211</v>
      </c>
      <c r="CO39" s="396"/>
      <c r="CP39" s="396"/>
      <c r="CQ39" s="396"/>
      <c r="CR39" s="396"/>
      <c r="CS39" s="396"/>
      <c r="CT39" s="229"/>
      <c r="CU39" s="395" t="s">
        <v>212</v>
      </c>
      <c r="CV39" s="396"/>
      <c r="CW39" s="396"/>
      <c r="CX39" s="396"/>
      <c r="CY39" s="396"/>
      <c r="CZ39" s="396"/>
      <c r="DA39" s="225"/>
      <c r="DB39" s="225"/>
    </row>
    <row r="40" spans="1:106" s="226" customFormat="1" ht="22.5" customHeight="1">
      <c r="A40" s="24">
        <v>4</v>
      </c>
      <c r="B40" s="58" t="str">
        <f t="shared" si="55"/>
        <v>Big Un</v>
      </c>
      <c r="C40" s="346"/>
      <c r="D40" s="338"/>
      <c r="E40" s="346"/>
      <c r="F40" s="338"/>
      <c r="G40" s="346"/>
      <c r="H40" s="337"/>
      <c r="I40" s="337"/>
      <c r="J40" s="338"/>
      <c r="K40" s="346"/>
      <c r="L40" s="338"/>
      <c r="M40" s="346"/>
      <c r="N40" s="338"/>
      <c r="O40" s="346"/>
      <c r="P40" s="338"/>
      <c r="Q40" s="346"/>
      <c r="R40" s="338"/>
      <c r="S40" s="346"/>
      <c r="T40" s="338"/>
      <c r="U40" s="346"/>
      <c r="V40" s="338"/>
      <c r="W40" s="346"/>
      <c r="X40" s="338"/>
      <c r="Y40" s="346"/>
      <c r="Z40" s="338"/>
      <c r="AA40" s="346"/>
      <c r="AB40" s="338"/>
      <c r="AC40" s="397"/>
      <c r="AD40" s="338"/>
      <c r="AE40" s="398"/>
      <c r="AF40" s="338"/>
      <c r="AG40" s="401">
        <f t="shared" si="56"/>
        <v>0</v>
      </c>
      <c r="AH40" s="341"/>
      <c r="AI40" s="59">
        <f t="shared" si="57"/>
        <v>0</v>
      </c>
      <c r="AJ40" s="93">
        <v>1</v>
      </c>
      <c r="AK40" s="94">
        <v>0</v>
      </c>
      <c r="AL40" s="94">
        <v>0</v>
      </c>
      <c r="AM40" s="94">
        <v>0</v>
      </c>
      <c r="AN40" s="94">
        <v>0</v>
      </c>
      <c r="AO40" s="94">
        <v>0</v>
      </c>
      <c r="AP40" s="412"/>
      <c r="AQ40" s="225"/>
      <c r="AR40" s="225"/>
      <c r="AS40" s="225"/>
      <c r="AT40" s="225"/>
      <c r="AU40" s="225"/>
      <c r="AV40" s="225"/>
      <c r="AW40" s="225"/>
      <c r="AX40" s="28">
        <f t="shared" ref="AX40:AX53" si="58">B37</f>
        <v>0</v>
      </c>
      <c r="AY40" s="28">
        <f>IFERROR((VLOOKUP($BO$1&amp;B37,Teams!D:S,12,0)),0)</f>
        <v>0</v>
      </c>
      <c r="AZ40" s="28">
        <f>IFERROR((VLOOKUP($BO$1&amp;B37,Teams!D:S,13,0)),0)</f>
        <v>0</v>
      </c>
      <c r="BA40" s="28">
        <f>IFERROR((VLOOKUP($BO$1&amp;B37,Teams!D:S,14,0)),0)</f>
        <v>0</v>
      </c>
      <c r="BB40" s="28">
        <f>IFERROR((VLOOKUP($BO$1&amp;B37,Teams!D:S,15,0)),0)</f>
        <v>0</v>
      </c>
      <c r="BC40" s="28">
        <f>IFERROR((VLOOKUP($BO$1&amp;B37,Teams!D:S,16,0)),0)</f>
        <v>0</v>
      </c>
      <c r="BD40" s="28">
        <v>20000</v>
      </c>
      <c r="BE40" s="28">
        <v>10000</v>
      </c>
      <c r="BF40" s="28">
        <v>40000</v>
      </c>
      <c r="BG40" s="28">
        <v>20000</v>
      </c>
      <c r="BH40" s="28">
        <v>80000</v>
      </c>
      <c r="BI40" s="28">
        <f t="shared" ref="BI40:BI53" si="59">SUM(CG40:CS40)</f>
        <v>0</v>
      </c>
      <c r="BJ40" s="230"/>
      <c r="BK40" s="28">
        <f t="shared" ref="BK40:BK55" si="60">IF(C37="",0,(VLOOKUP(C37,$CB$59:$CD$159,2,0)))</f>
        <v>0</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f t="shared" ref="BS40:BS53" si="66">(IF(BK40="G",AY40,IF(BK40="A",AZ40,IF(BK40="S",BA40,IF(BK40="P",BB40,IF(BK40="M",BC40,IF(BK40="X",0,IF(OR(BK40="MA",BK40="AV",BK40="ST",BK40="PA",BK40="AG"),"STAT",0))))))))</f>
        <v>0</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f>IF(E37="Chosen","Chosen",(IF(E37="Scelto","Chosen",(IF(E37="Elegida","Chosen",(IF(E37="Gewählt","Chosen",(IF(E37="Choisie","Chosen",(IF(E37="Random","Random",(IF(E37="Casuale","Random",(IF(E37="Aleatoria","Random",(IF(E37="Zufällig","Random",(IF(E37="Aléatoire","Random",0)))))))))))))))))))</f>
        <v>0</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3">
        <f>IF(AA37="Chosen","Chosen",(IF(AA37="Scelto","Chosen",(IF(AA37="Elegida","Chosen",(IF(AA37="Gewählt","Chosen",(IF(AA37="Choisie","Chosen",(IF(AA37="Random","Random",(IF(AA37="Casuale","Random",(IF(AA37="Aleatoria","Random",(IF(AA37="Zufällig","Random",(IF(AA37="Aléatoire","Random",0)))))))))))))))))))</f>
        <v>0</v>
      </c>
      <c r="CF40" s="253"/>
      <c r="CG40" s="253">
        <f t="shared" ref="CG40:CG53" si="72">IF(AND(BS40="P",BZ40="Random"),10000,IF(AND(BS40="P",BZ40="Chosen"),20000,IF(AND(BS40="S",BZ40="Random"),20000,IF(AND(BS40="S",BZ40="Chosen"),40000,0))))</f>
        <v>0</v>
      </c>
      <c r="CH40" s="253">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0</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Big Un</v>
      </c>
      <c r="C41" s="346" t="s">
        <v>407</v>
      </c>
      <c r="D41" s="338"/>
      <c r="E41" s="346" t="s">
        <v>1352</v>
      </c>
      <c r="F41" s="338"/>
      <c r="G41" s="346" t="s">
        <v>1369</v>
      </c>
      <c r="H41" s="337"/>
      <c r="I41" s="337"/>
      <c r="J41" s="338"/>
      <c r="K41" s="346" t="s">
        <v>1352</v>
      </c>
      <c r="L41" s="338"/>
      <c r="M41" s="346"/>
      <c r="N41" s="338"/>
      <c r="O41" s="346"/>
      <c r="P41" s="338"/>
      <c r="Q41" s="346"/>
      <c r="R41" s="338"/>
      <c r="S41" s="346"/>
      <c r="T41" s="338"/>
      <c r="U41" s="346"/>
      <c r="V41" s="338"/>
      <c r="W41" s="346"/>
      <c r="X41" s="338"/>
      <c r="Y41" s="346"/>
      <c r="Z41" s="338"/>
      <c r="AA41" s="346"/>
      <c r="AB41" s="338"/>
      <c r="AC41" s="397"/>
      <c r="AD41" s="338"/>
      <c r="AE41" s="397"/>
      <c r="AF41" s="338"/>
      <c r="AG41" s="401">
        <f t="shared" si="56"/>
        <v>40000</v>
      </c>
      <c r="AH41" s="341"/>
      <c r="AI41" s="59">
        <f t="shared" si="57"/>
        <v>14</v>
      </c>
      <c r="AJ41" s="93">
        <v>0</v>
      </c>
      <c r="AK41" s="94">
        <v>0</v>
      </c>
      <c r="AL41" s="94">
        <v>0</v>
      </c>
      <c r="AM41" s="94">
        <v>0</v>
      </c>
      <c r="AN41" s="94">
        <v>0</v>
      </c>
      <c r="AO41" s="94">
        <v>0</v>
      </c>
      <c r="AP41" s="412"/>
      <c r="AQ41" s="225"/>
      <c r="AR41" s="225"/>
      <c r="AS41" s="225"/>
      <c r="AT41" s="225"/>
      <c r="AU41" s="225"/>
      <c r="AV41" s="225"/>
      <c r="AW41" s="225"/>
      <c r="AX41" s="28" t="str">
        <f t="shared" si="58"/>
        <v>Big Un</v>
      </c>
      <c r="AY41" s="28" t="str">
        <f>IFERROR((VLOOKUP($BO$1&amp;B38,Teams!D:S,12,0)),0)</f>
        <v>P</v>
      </c>
      <c r="AZ41" s="28" t="str">
        <f>IFERROR((VLOOKUP($BO$1&amp;B38,Teams!D:S,13,0)),0)</f>
        <v>S</v>
      </c>
      <c r="BA41" s="28" t="str">
        <f>IFERROR((VLOOKUP($BO$1&amp;B38,Teams!D:S,14,0)),0)</f>
        <v>P</v>
      </c>
      <c r="BB41" s="28">
        <f>IFERROR((VLOOKUP($BO$1&amp;B38,Teams!D:S,15,0)),0)</f>
        <v>0</v>
      </c>
      <c r="BC41" s="28">
        <f>IFERROR((VLOOKUP($BO$1&amp;B38,Teams!D:S,16,0)),0)</f>
        <v>0</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3">
        <f t="shared" ref="CE41:CE55" si="95">IF(AA38="Chosen","Chosen",(IF(AA38="Scelto","Chosen",(IF(AA38="Elegida","Chosen",(IF(AA38="Gewählt","Chosen",(IF(AA38="Choisie","Chosen",(IF(AA38="Random","Random",(IF(AA38="Casuale","Random",(IF(AA38="Aleatoria","Random",(IF(AA38="Zufällig","Random",(IF(AA38="Aléatoire","Random",0)))))))))))))))))))</f>
        <v>0</v>
      </c>
      <c r="CF41" s="253"/>
      <c r="CG41" s="253">
        <f t="shared" si="72"/>
        <v>0</v>
      </c>
      <c r="CH41" s="253">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Blitzer</v>
      </c>
      <c r="C42" s="346" t="s">
        <v>1353</v>
      </c>
      <c r="D42" s="338"/>
      <c r="E42" s="346" t="s">
        <v>1352</v>
      </c>
      <c r="F42" s="338"/>
      <c r="G42" s="346"/>
      <c r="H42" s="337"/>
      <c r="I42" s="337"/>
      <c r="J42" s="338"/>
      <c r="K42" s="346"/>
      <c r="L42" s="338"/>
      <c r="M42" s="346"/>
      <c r="N42" s="338"/>
      <c r="O42" s="346"/>
      <c r="P42" s="338"/>
      <c r="Q42" s="346"/>
      <c r="R42" s="338"/>
      <c r="S42" s="346"/>
      <c r="T42" s="338"/>
      <c r="U42" s="346"/>
      <c r="V42" s="338"/>
      <c r="W42" s="346"/>
      <c r="X42" s="338"/>
      <c r="Y42" s="346"/>
      <c r="Z42" s="338"/>
      <c r="AA42" s="346"/>
      <c r="AB42" s="338"/>
      <c r="AC42" s="397"/>
      <c r="AD42" s="338"/>
      <c r="AE42" s="397"/>
      <c r="AF42" s="338"/>
      <c r="AG42" s="401">
        <f t="shared" si="56"/>
        <v>20000</v>
      </c>
      <c r="AH42" s="341"/>
      <c r="AI42" s="59">
        <f t="shared" si="57"/>
        <v>6</v>
      </c>
      <c r="AJ42" s="93">
        <v>0</v>
      </c>
      <c r="AK42" s="94">
        <v>0</v>
      </c>
      <c r="AL42" s="94">
        <v>0</v>
      </c>
      <c r="AM42" s="94">
        <v>0</v>
      </c>
      <c r="AN42" s="94">
        <v>0</v>
      </c>
      <c r="AO42" s="94">
        <v>0</v>
      </c>
      <c r="AP42" s="412"/>
      <c r="AQ42" s="225"/>
      <c r="AR42" s="225"/>
      <c r="AS42" s="225"/>
      <c r="AT42" s="225"/>
      <c r="AU42" s="225"/>
      <c r="AV42" s="225"/>
      <c r="AW42" s="225"/>
      <c r="AX42" s="28" t="str">
        <f t="shared" si="58"/>
        <v>Big Un</v>
      </c>
      <c r="AY42" s="28" t="str">
        <f>IFERROR((VLOOKUP($BO$1&amp;B39,Teams!D:S,12,0)),0)</f>
        <v>P</v>
      </c>
      <c r="AZ42" s="28" t="str">
        <f>IFERROR((VLOOKUP($BO$1&amp;B39,Teams!D:S,13,0)),0)</f>
        <v>S</v>
      </c>
      <c r="BA42" s="28" t="str">
        <f>IFERROR((VLOOKUP($BO$1&amp;B39,Teams!D:S,14,0)),0)</f>
        <v>P</v>
      </c>
      <c r="BB42" s="28">
        <f>IFERROR((VLOOKUP($BO$1&amp;B39,Teams!D:S,15,0)),0)</f>
        <v>0</v>
      </c>
      <c r="BC42" s="28">
        <f>IFERROR((VLOOKUP($BO$1&amp;B39,Teams!D:S,16,0)),0)</f>
        <v>0</v>
      </c>
      <c r="BD42" s="28">
        <v>20000</v>
      </c>
      <c r="BE42" s="28">
        <v>10000</v>
      </c>
      <c r="BF42" s="28">
        <v>40000</v>
      </c>
      <c r="BG42" s="28">
        <v>20000</v>
      </c>
      <c r="BH42" s="28">
        <v>80000</v>
      </c>
      <c r="BI42" s="28">
        <f t="shared" si="59"/>
        <v>0</v>
      </c>
      <c r="BJ42" s="230"/>
      <c r="BK42" s="28">
        <f t="shared" si="60"/>
        <v>0</v>
      </c>
      <c r="BL42" s="28">
        <f t="shared" si="61"/>
        <v>0</v>
      </c>
      <c r="BM42" s="28">
        <f t="shared" si="62"/>
        <v>0</v>
      </c>
      <c r="BN42" s="28">
        <f t="shared" si="63"/>
        <v>0</v>
      </c>
      <c r="BO42" s="28">
        <f t="shared" si="64"/>
        <v>0</v>
      </c>
      <c r="BP42" s="28">
        <f t="shared" si="65"/>
        <v>0</v>
      </c>
      <c r="BQ42" s="30"/>
      <c r="BR42" s="30"/>
      <c r="BS42" s="28">
        <f t="shared" si="66"/>
        <v>0</v>
      </c>
      <c r="BT42" s="28">
        <f t="shared" si="67"/>
        <v>0</v>
      </c>
      <c r="BU42" s="28">
        <f t="shared" si="68"/>
        <v>0</v>
      </c>
      <c r="BV42" s="28">
        <f t="shared" si="69"/>
        <v>0</v>
      </c>
      <c r="BW42" s="28">
        <f t="shared" si="70"/>
        <v>0</v>
      </c>
      <c r="BX42" s="28">
        <f t="shared" si="71"/>
        <v>0</v>
      </c>
      <c r="BY42" s="28"/>
      <c r="BZ42" s="28">
        <f t="shared" si="90"/>
        <v>0</v>
      </c>
      <c r="CA42" s="28">
        <f t="shared" si="91"/>
        <v>0</v>
      </c>
      <c r="CB42" s="28">
        <f t="shared" si="92"/>
        <v>0</v>
      </c>
      <c r="CC42" s="28">
        <f t="shared" si="93"/>
        <v>0</v>
      </c>
      <c r="CD42" s="28">
        <f t="shared" si="94"/>
        <v>0</v>
      </c>
      <c r="CE42" s="253">
        <f t="shared" si="95"/>
        <v>0</v>
      </c>
      <c r="CF42" s="253"/>
      <c r="CG42" s="253">
        <f t="shared" si="72"/>
        <v>0</v>
      </c>
      <c r="CH42" s="253">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0</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
      </c>
      <c r="C43" s="346"/>
      <c r="D43" s="338"/>
      <c r="E43" s="346"/>
      <c r="F43" s="338"/>
      <c r="G43" s="346"/>
      <c r="H43" s="337"/>
      <c r="I43" s="337"/>
      <c r="J43" s="338"/>
      <c r="K43" s="346"/>
      <c r="L43" s="338"/>
      <c r="M43" s="346"/>
      <c r="N43" s="338"/>
      <c r="O43" s="346"/>
      <c r="P43" s="338"/>
      <c r="Q43" s="346"/>
      <c r="R43" s="338"/>
      <c r="S43" s="346"/>
      <c r="T43" s="338"/>
      <c r="U43" s="346"/>
      <c r="V43" s="338"/>
      <c r="W43" s="346"/>
      <c r="X43" s="338"/>
      <c r="Y43" s="346"/>
      <c r="Z43" s="338"/>
      <c r="AA43" s="346"/>
      <c r="AB43" s="338"/>
      <c r="AC43" s="397"/>
      <c r="AD43" s="338"/>
      <c r="AE43" s="397"/>
      <c r="AF43" s="338"/>
      <c r="AG43" s="401">
        <f t="shared" si="56"/>
        <v>0</v>
      </c>
      <c r="AH43" s="341"/>
      <c r="AI43" s="59">
        <f t="shared" si="57"/>
        <v>0</v>
      </c>
      <c r="AJ43" s="93">
        <v>0</v>
      </c>
      <c r="AK43" s="94">
        <v>0</v>
      </c>
      <c r="AL43" s="94">
        <v>0</v>
      </c>
      <c r="AM43" s="94">
        <v>0</v>
      </c>
      <c r="AN43" s="94">
        <v>0</v>
      </c>
      <c r="AO43" s="94">
        <v>0</v>
      </c>
      <c r="AP43" s="412"/>
      <c r="AQ43" s="225"/>
      <c r="AR43" s="225"/>
      <c r="AS43" s="225"/>
      <c r="AT43" s="225"/>
      <c r="AU43" s="225"/>
      <c r="AV43" s="225"/>
      <c r="AW43" s="225"/>
      <c r="AX43" s="28" t="str">
        <f t="shared" si="58"/>
        <v>Big Un</v>
      </c>
      <c r="AY43" s="28" t="str">
        <f>IFERROR((VLOOKUP($BO$1&amp;B40,Teams!D:S,12,0)),0)</f>
        <v>P</v>
      </c>
      <c r="AZ43" s="28" t="str">
        <f>IFERROR((VLOOKUP($BO$1&amp;B40,Teams!D:S,13,0)),0)</f>
        <v>S</v>
      </c>
      <c r="BA43" s="28" t="str">
        <f>IFERROR((VLOOKUP($BO$1&amp;B40,Teams!D:S,14,0)),0)</f>
        <v>P</v>
      </c>
      <c r="BB43" s="28">
        <f>IFERROR((VLOOKUP($BO$1&amp;B40,Teams!D:S,15,0)),0)</f>
        <v>0</v>
      </c>
      <c r="BC43" s="28">
        <f>IFERROR((VLOOKUP($BO$1&amp;B40,Teams!D:S,16,0)),0)</f>
        <v>0</v>
      </c>
      <c r="BD43" s="28">
        <v>20000</v>
      </c>
      <c r="BE43" s="28">
        <v>10000</v>
      </c>
      <c r="BF43" s="28">
        <v>40000</v>
      </c>
      <c r="BG43" s="28">
        <v>20000</v>
      </c>
      <c r="BH43" s="28">
        <v>80000</v>
      </c>
      <c r="BI43" s="28">
        <f t="shared" si="59"/>
        <v>0</v>
      </c>
      <c r="BJ43" s="230"/>
      <c r="BK43" s="28">
        <f t="shared" si="60"/>
        <v>0</v>
      </c>
      <c r="BL43" s="28">
        <f t="shared" si="61"/>
        <v>0</v>
      </c>
      <c r="BM43" s="28">
        <f t="shared" si="62"/>
        <v>0</v>
      </c>
      <c r="BN43" s="28">
        <f t="shared" si="63"/>
        <v>0</v>
      </c>
      <c r="BO43" s="28">
        <f t="shared" si="64"/>
        <v>0</v>
      </c>
      <c r="BP43" s="28">
        <f t="shared" si="65"/>
        <v>0</v>
      </c>
      <c r="BQ43" s="30"/>
      <c r="BR43" s="30"/>
      <c r="BS43" s="28">
        <f t="shared" si="66"/>
        <v>0</v>
      </c>
      <c r="BT43" s="28">
        <f t="shared" si="67"/>
        <v>0</v>
      </c>
      <c r="BU43" s="28">
        <f t="shared" si="68"/>
        <v>0</v>
      </c>
      <c r="BV43" s="28">
        <f t="shared" si="69"/>
        <v>0</v>
      </c>
      <c r="BW43" s="28">
        <f t="shared" si="70"/>
        <v>0</v>
      </c>
      <c r="BX43" s="28">
        <f t="shared" si="71"/>
        <v>0</v>
      </c>
      <c r="BY43" s="28"/>
      <c r="BZ43" s="28">
        <f t="shared" si="90"/>
        <v>0</v>
      </c>
      <c r="CA43" s="28">
        <f t="shared" si="91"/>
        <v>0</v>
      </c>
      <c r="CB43" s="28">
        <f t="shared" si="92"/>
        <v>0</v>
      </c>
      <c r="CC43" s="28">
        <f t="shared" si="93"/>
        <v>0</v>
      </c>
      <c r="CD43" s="28">
        <f t="shared" si="94"/>
        <v>0</v>
      </c>
      <c r="CE43" s="253">
        <f t="shared" si="95"/>
        <v>0</v>
      </c>
      <c r="CF43" s="253"/>
      <c r="CG43" s="253">
        <f t="shared" si="72"/>
        <v>0</v>
      </c>
      <c r="CH43" s="253">
        <f t="shared" si="73"/>
        <v>0</v>
      </c>
      <c r="CI43" s="28">
        <f t="shared" si="74"/>
        <v>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0</v>
      </c>
      <c r="CV43" s="28">
        <f t="shared" si="85"/>
        <v>0</v>
      </c>
      <c r="CW43" s="28">
        <f t="shared" si="86"/>
        <v>0</v>
      </c>
      <c r="CX43" s="28">
        <f t="shared" si="87"/>
        <v>0</v>
      </c>
      <c r="CY43" s="28">
        <f t="shared" si="88"/>
        <v>0</v>
      </c>
      <c r="CZ43" s="28">
        <f t="shared" si="89"/>
        <v>0</v>
      </c>
      <c r="DA43" s="225"/>
      <c r="DB43" s="225"/>
    </row>
    <row r="44" spans="1:106" s="226" customFormat="1" ht="22.5" customHeight="1">
      <c r="A44" s="24">
        <v>8</v>
      </c>
      <c r="B44" s="58" t="str">
        <f t="shared" si="55"/>
        <v>Blitzer</v>
      </c>
      <c r="C44" s="346" t="s">
        <v>1353</v>
      </c>
      <c r="D44" s="338"/>
      <c r="E44" s="346" t="s">
        <v>1352</v>
      </c>
      <c r="F44" s="338"/>
      <c r="G44" s="346" t="s">
        <v>1368</v>
      </c>
      <c r="H44" s="337"/>
      <c r="I44" s="337"/>
      <c r="J44" s="338"/>
      <c r="K44" s="346" t="s">
        <v>1352</v>
      </c>
      <c r="L44" s="338"/>
      <c r="M44" s="346"/>
      <c r="N44" s="338"/>
      <c r="O44" s="346"/>
      <c r="P44" s="338"/>
      <c r="Q44" s="346"/>
      <c r="R44" s="338"/>
      <c r="S44" s="346"/>
      <c r="T44" s="338"/>
      <c r="U44" s="346"/>
      <c r="V44" s="338"/>
      <c r="W44" s="346"/>
      <c r="X44" s="338"/>
      <c r="Y44" s="346"/>
      <c r="Z44" s="338"/>
      <c r="AA44" s="346"/>
      <c r="AB44" s="338"/>
      <c r="AC44" s="397"/>
      <c r="AD44" s="338"/>
      <c r="AE44" s="397"/>
      <c r="AF44" s="338"/>
      <c r="AG44" s="401">
        <f t="shared" si="56"/>
        <v>40000</v>
      </c>
      <c r="AH44" s="341"/>
      <c r="AI44" s="59">
        <f t="shared" si="57"/>
        <v>14</v>
      </c>
      <c r="AJ44" s="93">
        <v>0</v>
      </c>
      <c r="AK44" s="94">
        <v>0</v>
      </c>
      <c r="AL44" s="94">
        <v>0</v>
      </c>
      <c r="AM44" s="94">
        <v>0</v>
      </c>
      <c r="AN44" s="94">
        <v>0</v>
      </c>
      <c r="AO44" s="94">
        <v>0</v>
      </c>
      <c r="AP44" s="412"/>
      <c r="AQ44" s="225"/>
      <c r="AR44" s="225"/>
      <c r="AS44" s="225"/>
      <c r="AT44" s="225"/>
      <c r="AU44" s="225"/>
      <c r="AV44" s="225"/>
      <c r="AW44" s="225"/>
      <c r="AX44" s="28" t="str">
        <f t="shared" si="58"/>
        <v>Big Un</v>
      </c>
      <c r="AY44" s="28" t="str">
        <f>IFERROR((VLOOKUP($BO$1&amp;B41,Teams!D:S,12,0)),0)</f>
        <v>P</v>
      </c>
      <c r="AZ44" s="28" t="str">
        <f>IFERROR((VLOOKUP($BO$1&amp;B41,Teams!D:S,13,0)),0)</f>
        <v>S</v>
      </c>
      <c r="BA44" s="28" t="str">
        <f>IFERROR((VLOOKUP($BO$1&amp;B41,Teams!D:S,14,0)),0)</f>
        <v>P</v>
      </c>
      <c r="BB44" s="28">
        <f>IFERROR((VLOOKUP($BO$1&amp;B41,Teams!D:S,15,0)),0)</f>
        <v>0</v>
      </c>
      <c r="BC44" s="28">
        <f>IFERROR((VLOOKUP($BO$1&amp;B41,Teams!D:S,16,0)),0)</f>
        <v>0</v>
      </c>
      <c r="BD44" s="28">
        <v>20000</v>
      </c>
      <c r="BE44" s="28">
        <v>10000</v>
      </c>
      <c r="BF44" s="28">
        <v>40000</v>
      </c>
      <c r="BG44" s="28">
        <v>20000</v>
      </c>
      <c r="BH44" s="28">
        <v>80000</v>
      </c>
      <c r="BI44" s="28">
        <f t="shared" si="59"/>
        <v>40000</v>
      </c>
      <c r="BJ44" s="230"/>
      <c r="BK44" s="28" t="str">
        <f t="shared" si="60"/>
        <v>G</v>
      </c>
      <c r="BL44" s="28" t="str">
        <f t="shared" si="61"/>
        <v>S</v>
      </c>
      <c r="BM44" s="28">
        <f t="shared" si="62"/>
        <v>0</v>
      </c>
      <c r="BN44" s="28">
        <f t="shared" si="63"/>
        <v>0</v>
      </c>
      <c r="BO44" s="28">
        <f t="shared" si="64"/>
        <v>0</v>
      </c>
      <c r="BP44" s="28">
        <f t="shared" si="65"/>
        <v>0</v>
      </c>
      <c r="BQ44" s="30"/>
      <c r="BR44" s="30"/>
      <c r="BS44" s="28" t="str">
        <f t="shared" si="66"/>
        <v>P</v>
      </c>
      <c r="BT44" s="28" t="str">
        <f t="shared" si="67"/>
        <v>P</v>
      </c>
      <c r="BU44" s="28">
        <f t="shared" si="68"/>
        <v>0</v>
      </c>
      <c r="BV44" s="28">
        <f t="shared" si="69"/>
        <v>0</v>
      </c>
      <c r="BW44" s="28">
        <f t="shared" si="70"/>
        <v>0</v>
      </c>
      <c r="BX44" s="28">
        <f t="shared" si="71"/>
        <v>0</v>
      </c>
      <c r="BY44" s="28"/>
      <c r="BZ44" s="28" t="str">
        <f t="shared" si="90"/>
        <v>Chosen</v>
      </c>
      <c r="CA44" s="28" t="str">
        <f t="shared" si="91"/>
        <v>Chosen</v>
      </c>
      <c r="CB44" s="28">
        <f t="shared" si="92"/>
        <v>0</v>
      </c>
      <c r="CC44" s="28">
        <f t="shared" si="93"/>
        <v>0</v>
      </c>
      <c r="CD44" s="28">
        <f t="shared" si="94"/>
        <v>0</v>
      </c>
      <c r="CE44" s="253">
        <f t="shared" si="95"/>
        <v>0</v>
      </c>
      <c r="CF44" s="253"/>
      <c r="CG44" s="253">
        <f t="shared" si="72"/>
        <v>20000</v>
      </c>
      <c r="CH44" s="253">
        <f t="shared" si="73"/>
        <v>20000</v>
      </c>
      <c r="CI44" s="28">
        <f t="shared" si="74"/>
        <v>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6</v>
      </c>
      <c r="CV44" s="28">
        <f t="shared" si="85"/>
        <v>8</v>
      </c>
      <c r="CW44" s="28">
        <f t="shared" si="86"/>
        <v>0</v>
      </c>
      <c r="CX44" s="28">
        <f t="shared" si="87"/>
        <v>0</v>
      </c>
      <c r="CY44" s="28">
        <f t="shared" si="88"/>
        <v>0</v>
      </c>
      <c r="CZ44" s="28">
        <f t="shared" si="89"/>
        <v>0</v>
      </c>
      <c r="DA44" s="225"/>
      <c r="DB44" s="225"/>
    </row>
    <row r="45" spans="1:106" s="226" customFormat="1" ht="22.5" customHeight="1">
      <c r="A45" s="24">
        <v>9</v>
      </c>
      <c r="B45" s="58" t="str">
        <f t="shared" si="55"/>
        <v>Blitzer</v>
      </c>
      <c r="C45" s="346"/>
      <c r="D45" s="338"/>
      <c r="E45" s="346"/>
      <c r="F45" s="338"/>
      <c r="G45" s="346"/>
      <c r="H45" s="337"/>
      <c r="I45" s="337"/>
      <c r="J45" s="338"/>
      <c r="K45" s="346"/>
      <c r="L45" s="338"/>
      <c r="M45" s="346"/>
      <c r="N45" s="338"/>
      <c r="O45" s="346"/>
      <c r="P45" s="338"/>
      <c r="Q45" s="346"/>
      <c r="R45" s="338"/>
      <c r="S45" s="346"/>
      <c r="T45" s="338"/>
      <c r="U45" s="346"/>
      <c r="V45" s="338"/>
      <c r="W45" s="346"/>
      <c r="X45" s="338"/>
      <c r="Y45" s="346"/>
      <c r="Z45" s="338"/>
      <c r="AA45" s="346"/>
      <c r="AB45" s="338"/>
      <c r="AC45" s="397"/>
      <c r="AD45" s="338"/>
      <c r="AE45" s="397"/>
      <c r="AF45" s="338"/>
      <c r="AG45" s="401">
        <f t="shared" si="56"/>
        <v>0</v>
      </c>
      <c r="AH45" s="341"/>
      <c r="AI45" s="59">
        <f t="shared" si="57"/>
        <v>0</v>
      </c>
      <c r="AJ45" s="93">
        <v>0</v>
      </c>
      <c r="AK45" s="94">
        <v>0</v>
      </c>
      <c r="AL45" s="94">
        <v>0</v>
      </c>
      <c r="AM45" s="94">
        <v>0</v>
      </c>
      <c r="AN45" s="94">
        <v>0</v>
      </c>
      <c r="AO45" s="94">
        <v>0</v>
      </c>
      <c r="AP45" s="412"/>
      <c r="AQ45" s="225"/>
      <c r="AR45" s="225"/>
      <c r="AS45" s="225"/>
      <c r="AT45" s="225"/>
      <c r="AU45" s="225"/>
      <c r="AV45" s="225"/>
      <c r="AW45" s="225"/>
      <c r="AX45" s="28" t="str">
        <f t="shared" si="58"/>
        <v>Blitzer</v>
      </c>
      <c r="AY45" s="28" t="str">
        <f>IFERROR((VLOOKUP($BO$1&amp;B42,Teams!D:S,12,0)),0)</f>
        <v>P</v>
      </c>
      <c r="AZ45" s="28" t="str">
        <f>IFERROR((VLOOKUP($BO$1&amp;B42,Teams!D:S,13,0)),0)</f>
        <v>S</v>
      </c>
      <c r="BA45" s="28" t="str">
        <f>IFERROR((VLOOKUP($BO$1&amp;B42,Teams!D:S,14,0)),0)</f>
        <v>P</v>
      </c>
      <c r="BB45" s="28" t="str">
        <f>IFERROR((VLOOKUP($BO$1&amp;B42,Teams!D:S,15,0)),0)</f>
        <v>S</v>
      </c>
      <c r="BC45" s="28">
        <f>IFERROR((VLOOKUP($BO$1&amp;B42,Teams!D:S,16,0)),0)</f>
        <v>0</v>
      </c>
      <c r="BD45" s="28">
        <v>20000</v>
      </c>
      <c r="BE45" s="28">
        <v>10000</v>
      </c>
      <c r="BF45" s="28">
        <v>40000</v>
      </c>
      <c r="BG45" s="28">
        <v>20000</v>
      </c>
      <c r="BH45" s="28">
        <v>80000</v>
      </c>
      <c r="BI45" s="28">
        <f t="shared" si="59"/>
        <v>20000</v>
      </c>
      <c r="BJ45" s="229"/>
      <c r="BK45" s="28" t="str">
        <f t="shared" si="60"/>
        <v>S</v>
      </c>
      <c r="BL45" s="28">
        <f t="shared" si="61"/>
        <v>0</v>
      </c>
      <c r="BM45" s="28">
        <f t="shared" si="62"/>
        <v>0</v>
      </c>
      <c r="BN45" s="28">
        <f t="shared" si="63"/>
        <v>0</v>
      </c>
      <c r="BO45" s="28">
        <f t="shared" si="64"/>
        <v>0</v>
      </c>
      <c r="BP45" s="28">
        <f t="shared" si="65"/>
        <v>0</v>
      </c>
      <c r="BQ45" s="30"/>
      <c r="BR45" s="30"/>
      <c r="BS45" s="28" t="str">
        <f t="shared" si="66"/>
        <v>P</v>
      </c>
      <c r="BT45" s="28">
        <f t="shared" si="67"/>
        <v>0</v>
      </c>
      <c r="BU45" s="28">
        <f t="shared" si="68"/>
        <v>0</v>
      </c>
      <c r="BV45" s="28">
        <f t="shared" si="69"/>
        <v>0</v>
      </c>
      <c r="BW45" s="28">
        <f t="shared" si="70"/>
        <v>0</v>
      </c>
      <c r="BX45" s="28">
        <f t="shared" si="71"/>
        <v>0</v>
      </c>
      <c r="BY45" s="28"/>
      <c r="BZ45" s="28" t="str">
        <f t="shared" si="90"/>
        <v>Chosen</v>
      </c>
      <c r="CA45" s="28">
        <f t="shared" si="91"/>
        <v>0</v>
      </c>
      <c r="CB45" s="28">
        <f t="shared" si="92"/>
        <v>0</v>
      </c>
      <c r="CC45" s="28">
        <f t="shared" si="93"/>
        <v>0</v>
      </c>
      <c r="CD45" s="28">
        <f t="shared" si="94"/>
        <v>0</v>
      </c>
      <c r="CE45" s="253">
        <f t="shared" si="95"/>
        <v>0</v>
      </c>
      <c r="CF45" s="253"/>
      <c r="CG45" s="253">
        <f t="shared" si="72"/>
        <v>20000</v>
      </c>
      <c r="CH45" s="253">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6</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Thrower</v>
      </c>
      <c r="C46" s="346" t="s">
        <v>1351</v>
      </c>
      <c r="D46" s="338"/>
      <c r="E46" s="346" t="s">
        <v>1352</v>
      </c>
      <c r="F46" s="338"/>
      <c r="G46" s="346" t="s">
        <v>407</v>
      </c>
      <c r="H46" s="337"/>
      <c r="I46" s="337"/>
      <c r="J46" s="338"/>
      <c r="K46" s="346" t="s">
        <v>1352</v>
      </c>
      <c r="L46" s="338"/>
      <c r="M46" s="346"/>
      <c r="N46" s="338"/>
      <c r="O46" s="346"/>
      <c r="P46" s="338"/>
      <c r="Q46" s="346"/>
      <c r="R46" s="338"/>
      <c r="S46" s="346"/>
      <c r="T46" s="338"/>
      <c r="U46" s="346"/>
      <c r="V46" s="338"/>
      <c r="W46" s="346"/>
      <c r="X46" s="338"/>
      <c r="Y46" s="346"/>
      <c r="Z46" s="338"/>
      <c r="AA46" s="346"/>
      <c r="AB46" s="338"/>
      <c r="AC46" s="397"/>
      <c r="AD46" s="338"/>
      <c r="AE46" s="397"/>
      <c r="AF46" s="338"/>
      <c r="AG46" s="401">
        <f t="shared" si="56"/>
        <v>40000</v>
      </c>
      <c r="AH46" s="341"/>
      <c r="AI46" s="59">
        <f t="shared" si="57"/>
        <v>14</v>
      </c>
      <c r="AJ46" s="93">
        <v>1</v>
      </c>
      <c r="AK46" s="94">
        <v>0</v>
      </c>
      <c r="AL46" s="94">
        <v>0</v>
      </c>
      <c r="AM46" s="94">
        <v>0</v>
      </c>
      <c r="AN46" s="94">
        <v>0</v>
      </c>
      <c r="AO46" s="94">
        <v>0</v>
      </c>
      <c r="AP46" s="412"/>
      <c r="AQ46" s="225"/>
      <c r="AR46" s="225"/>
      <c r="AS46" s="225"/>
      <c r="AT46" s="225"/>
      <c r="AU46" s="225"/>
      <c r="AV46" s="225"/>
      <c r="AW46" s="225"/>
      <c r="AX46" s="28" t="str">
        <f t="shared" si="58"/>
        <v/>
      </c>
      <c r="AY46" s="28">
        <f>IFERROR((VLOOKUP($BO$1&amp;B43,Teams!D:S,12,0)),0)</f>
        <v>0</v>
      </c>
      <c r="AZ46" s="28">
        <f>IFERROR((VLOOKUP($BO$1&amp;B43,Teams!D:S,13,0)),0)</f>
        <v>0</v>
      </c>
      <c r="BA46" s="28">
        <f>IFERROR((VLOOKUP($BO$1&amp;B43,Teams!D:S,14,0)),0)</f>
        <v>0</v>
      </c>
      <c r="BB46" s="28">
        <f>IFERROR((VLOOKUP($BO$1&amp;B43,Teams!D:S,15,0)),0)</f>
        <v>0</v>
      </c>
      <c r="BC46" s="28">
        <f>IFERROR((VLOOKUP($BO$1&amp;B43,Teams!D:S,16,0)),0)</f>
        <v>0</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3">
        <f t="shared" si="95"/>
        <v>0</v>
      </c>
      <c r="CF46" s="253"/>
      <c r="CG46" s="253">
        <f t="shared" si="72"/>
        <v>0</v>
      </c>
      <c r="CH46" s="253">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
      </c>
      <c r="C47" s="346"/>
      <c r="D47" s="338"/>
      <c r="E47" s="346"/>
      <c r="F47" s="338"/>
      <c r="G47" s="346"/>
      <c r="H47" s="337"/>
      <c r="I47" s="337"/>
      <c r="J47" s="338"/>
      <c r="K47" s="346"/>
      <c r="L47" s="338"/>
      <c r="M47" s="346"/>
      <c r="N47" s="338"/>
      <c r="O47" s="346"/>
      <c r="P47" s="338"/>
      <c r="Q47" s="346"/>
      <c r="R47" s="338"/>
      <c r="S47" s="346"/>
      <c r="T47" s="338"/>
      <c r="U47" s="346"/>
      <c r="V47" s="338"/>
      <c r="W47" s="346"/>
      <c r="X47" s="338"/>
      <c r="Y47" s="346"/>
      <c r="Z47" s="338"/>
      <c r="AA47" s="346"/>
      <c r="AB47" s="338"/>
      <c r="AC47" s="397"/>
      <c r="AD47" s="338"/>
      <c r="AE47" s="397"/>
      <c r="AF47" s="338"/>
      <c r="AG47" s="401">
        <f t="shared" si="56"/>
        <v>0</v>
      </c>
      <c r="AH47" s="341"/>
      <c r="AI47" s="59">
        <f t="shared" si="57"/>
        <v>0</v>
      </c>
      <c r="AJ47" s="93">
        <v>1</v>
      </c>
      <c r="AK47" s="94">
        <v>0</v>
      </c>
      <c r="AL47" s="94">
        <v>0</v>
      </c>
      <c r="AM47" s="94">
        <v>0</v>
      </c>
      <c r="AN47" s="94">
        <v>0</v>
      </c>
      <c r="AO47" s="94">
        <v>0</v>
      </c>
      <c r="AP47" s="412"/>
      <c r="AQ47" s="225"/>
      <c r="AR47" s="225"/>
      <c r="AS47" s="225"/>
      <c r="AT47" s="225"/>
      <c r="AU47" s="225"/>
      <c r="AV47" s="225"/>
      <c r="AW47" s="225"/>
      <c r="AX47" s="28" t="str">
        <f t="shared" si="58"/>
        <v>Blitzer</v>
      </c>
      <c r="AY47" s="28" t="str">
        <f>IFERROR((VLOOKUP($BO$1&amp;B44,Teams!D:S,12,0)),0)</f>
        <v>P</v>
      </c>
      <c r="AZ47" s="28" t="str">
        <f>IFERROR((VLOOKUP($BO$1&amp;B44,Teams!D:S,13,0)),0)</f>
        <v>S</v>
      </c>
      <c r="BA47" s="28" t="str">
        <f>IFERROR((VLOOKUP($BO$1&amp;B44,Teams!D:S,14,0)),0)</f>
        <v>P</v>
      </c>
      <c r="BB47" s="28" t="str">
        <f>IFERROR((VLOOKUP($BO$1&amp;B44,Teams!D:S,15,0)),0)</f>
        <v>S</v>
      </c>
      <c r="BC47" s="28">
        <f>IFERROR((VLOOKUP($BO$1&amp;B44,Teams!D:S,16,0)),0)</f>
        <v>0</v>
      </c>
      <c r="BD47" s="28">
        <v>20000</v>
      </c>
      <c r="BE47" s="28">
        <v>10000</v>
      </c>
      <c r="BF47" s="28">
        <v>40000</v>
      </c>
      <c r="BG47" s="28">
        <v>20000</v>
      </c>
      <c r="BH47" s="28">
        <v>80000</v>
      </c>
      <c r="BI47" s="28">
        <f t="shared" si="59"/>
        <v>40000</v>
      </c>
      <c r="BJ47" s="229"/>
      <c r="BK47" s="28" t="str">
        <f t="shared" si="60"/>
        <v>S</v>
      </c>
      <c r="BL47" s="28" t="str">
        <f t="shared" si="61"/>
        <v>G</v>
      </c>
      <c r="BM47" s="28">
        <f t="shared" si="62"/>
        <v>0</v>
      </c>
      <c r="BN47" s="28">
        <f t="shared" si="63"/>
        <v>0</v>
      </c>
      <c r="BO47" s="28">
        <f t="shared" si="64"/>
        <v>0</v>
      </c>
      <c r="BP47" s="28">
        <f t="shared" si="65"/>
        <v>0</v>
      </c>
      <c r="BQ47" s="30"/>
      <c r="BR47" s="30"/>
      <c r="BS47" s="28" t="str">
        <f t="shared" si="66"/>
        <v>P</v>
      </c>
      <c r="BT47" s="28" t="str">
        <f t="shared" si="67"/>
        <v>P</v>
      </c>
      <c r="BU47" s="28">
        <f t="shared" si="68"/>
        <v>0</v>
      </c>
      <c r="BV47" s="28">
        <f t="shared" si="69"/>
        <v>0</v>
      </c>
      <c r="BW47" s="28">
        <f t="shared" si="70"/>
        <v>0</v>
      </c>
      <c r="BX47" s="28">
        <f t="shared" si="71"/>
        <v>0</v>
      </c>
      <c r="BY47" s="28"/>
      <c r="BZ47" s="28" t="str">
        <f t="shared" si="90"/>
        <v>Chosen</v>
      </c>
      <c r="CA47" s="28" t="str">
        <f t="shared" si="91"/>
        <v>Chosen</v>
      </c>
      <c r="CB47" s="28">
        <f t="shared" si="92"/>
        <v>0</v>
      </c>
      <c r="CC47" s="28">
        <f t="shared" si="93"/>
        <v>0</v>
      </c>
      <c r="CD47" s="28">
        <f t="shared" si="94"/>
        <v>0</v>
      </c>
      <c r="CE47" s="253">
        <f t="shared" si="95"/>
        <v>0</v>
      </c>
      <c r="CF47" s="253"/>
      <c r="CG47" s="253">
        <f t="shared" si="72"/>
        <v>20000</v>
      </c>
      <c r="CH47" s="253">
        <f t="shared" si="73"/>
        <v>20000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6</v>
      </c>
      <c r="CV47" s="28">
        <f t="shared" si="85"/>
        <v>8</v>
      </c>
      <c r="CW47" s="28">
        <f t="shared" si="86"/>
        <v>0</v>
      </c>
      <c r="CX47" s="28">
        <f t="shared" si="87"/>
        <v>0</v>
      </c>
      <c r="CY47" s="28">
        <f t="shared" si="88"/>
        <v>0</v>
      </c>
      <c r="CZ47" s="28">
        <f t="shared" si="89"/>
        <v>0</v>
      </c>
      <c r="DA47" s="225"/>
      <c r="DB47" s="225"/>
    </row>
    <row r="48" spans="1:106" s="226" customFormat="1" ht="22.5" customHeight="1">
      <c r="A48" s="24">
        <v>12</v>
      </c>
      <c r="B48" s="58" t="str">
        <f t="shared" si="55"/>
        <v>Untrained Troll</v>
      </c>
      <c r="C48" s="346" t="s">
        <v>1369</v>
      </c>
      <c r="D48" s="338"/>
      <c r="E48" s="346" t="s">
        <v>1352</v>
      </c>
      <c r="F48" s="338"/>
      <c r="G48" s="346"/>
      <c r="H48" s="337"/>
      <c r="I48" s="337"/>
      <c r="J48" s="338"/>
      <c r="K48" s="346"/>
      <c r="L48" s="338"/>
      <c r="M48" s="346"/>
      <c r="N48" s="338"/>
      <c r="O48" s="346"/>
      <c r="P48" s="338"/>
      <c r="Q48" s="346"/>
      <c r="R48" s="338"/>
      <c r="S48" s="346"/>
      <c r="T48" s="338"/>
      <c r="U48" s="346"/>
      <c r="V48" s="338"/>
      <c r="W48" s="346"/>
      <c r="X48" s="338"/>
      <c r="Y48" s="346"/>
      <c r="Z48" s="338"/>
      <c r="AA48" s="346"/>
      <c r="AB48" s="338"/>
      <c r="AC48" s="397"/>
      <c r="AD48" s="338"/>
      <c r="AE48" s="397"/>
      <c r="AF48" s="338"/>
      <c r="AG48" s="401">
        <f t="shared" si="56"/>
        <v>20000</v>
      </c>
      <c r="AH48" s="341"/>
      <c r="AI48" s="59">
        <f t="shared" si="57"/>
        <v>6</v>
      </c>
      <c r="AJ48" s="93">
        <v>0</v>
      </c>
      <c r="AK48" s="94">
        <v>0</v>
      </c>
      <c r="AL48" s="94">
        <v>0</v>
      </c>
      <c r="AM48" s="94">
        <v>0</v>
      </c>
      <c r="AN48" s="94">
        <v>0</v>
      </c>
      <c r="AO48" s="94">
        <v>0</v>
      </c>
      <c r="AP48" s="412"/>
      <c r="AQ48" s="225"/>
      <c r="AR48" s="225"/>
      <c r="AS48" s="225"/>
      <c r="AT48" s="225"/>
      <c r="AU48" s="225"/>
      <c r="AV48" s="225"/>
      <c r="AW48" s="225"/>
      <c r="AX48" s="28" t="str">
        <f t="shared" si="58"/>
        <v>Blitzer</v>
      </c>
      <c r="AY48" s="28" t="str">
        <f>IFERROR((VLOOKUP($BO$1&amp;B45,Teams!D:S,12,0)),0)</f>
        <v>P</v>
      </c>
      <c r="AZ48" s="28" t="str">
        <f>IFERROR((VLOOKUP($BO$1&amp;B45,Teams!D:S,13,0)),0)</f>
        <v>S</v>
      </c>
      <c r="BA48" s="28" t="str">
        <f>IFERROR((VLOOKUP($BO$1&amp;B45,Teams!D:S,14,0)),0)</f>
        <v>P</v>
      </c>
      <c r="BB48" s="28" t="str">
        <f>IFERROR((VLOOKUP($BO$1&amp;B45,Teams!D:S,15,0)),0)</f>
        <v>S</v>
      </c>
      <c r="BC48" s="28">
        <f>IFERROR((VLOOKUP($BO$1&amp;B45,Teams!D:S,16,0)),0)</f>
        <v>0</v>
      </c>
      <c r="BD48" s="28">
        <v>20000</v>
      </c>
      <c r="BE48" s="28">
        <v>10000</v>
      </c>
      <c r="BF48" s="28">
        <v>40000</v>
      </c>
      <c r="BG48" s="28">
        <v>20000</v>
      </c>
      <c r="BH48" s="28">
        <v>80000</v>
      </c>
      <c r="BI48" s="28">
        <f t="shared" si="59"/>
        <v>0</v>
      </c>
      <c r="BJ48" s="229"/>
      <c r="BK48" s="28">
        <f t="shared" si="60"/>
        <v>0</v>
      </c>
      <c r="BL48" s="28">
        <f t="shared" si="61"/>
        <v>0</v>
      </c>
      <c r="BM48" s="28">
        <f t="shared" si="62"/>
        <v>0</v>
      </c>
      <c r="BN48" s="28">
        <f t="shared" si="63"/>
        <v>0</v>
      </c>
      <c r="BO48" s="28">
        <f t="shared" si="64"/>
        <v>0</v>
      </c>
      <c r="BP48" s="28">
        <f t="shared" si="65"/>
        <v>0</v>
      </c>
      <c r="BQ48" s="30"/>
      <c r="BR48" s="30"/>
      <c r="BS48" s="28">
        <f t="shared" si="66"/>
        <v>0</v>
      </c>
      <c r="BT48" s="28">
        <f t="shared" si="67"/>
        <v>0</v>
      </c>
      <c r="BU48" s="28">
        <f t="shared" si="68"/>
        <v>0</v>
      </c>
      <c r="BV48" s="28">
        <f t="shared" si="69"/>
        <v>0</v>
      </c>
      <c r="BW48" s="28">
        <f t="shared" si="70"/>
        <v>0</v>
      </c>
      <c r="BX48" s="28">
        <f t="shared" si="71"/>
        <v>0</v>
      </c>
      <c r="BY48" s="28"/>
      <c r="BZ48" s="28">
        <f t="shared" si="90"/>
        <v>0</v>
      </c>
      <c r="CA48" s="28">
        <f t="shared" si="91"/>
        <v>0</v>
      </c>
      <c r="CB48" s="28">
        <f t="shared" si="92"/>
        <v>0</v>
      </c>
      <c r="CC48" s="28">
        <f t="shared" si="93"/>
        <v>0</v>
      </c>
      <c r="CD48" s="28">
        <f t="shared" si="94"/>
        <v>0</v>
      </c>
      <c r="CE48" s="253">
        <f t="shared" si="95"/>
        <v>0</v>
      </c>
      <c r="CF48" s="253"/>
      <c r="CG48" s="253">
        <f t="shared" si="72"/>
        <v>0</v>
      </c>
      <c r="CH48" s="253">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0</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t="str">
        <f t="shared" si="55"/>
        <v xml:space="preserve">Goblin </v>
      </c>
      <c r="C49" s="346"/>
      <c r="D49" s="338"/>
      <c r="E49" s="346"/>
      <c r="F49" s="338"/>
      <c r="G49" s="346"/>
      <c r="H49" s="337"/>
      <c r="I49" s="337"/>
      <c r="J49" s="338"/>
      <c r="K49" s="346"/>
      <c r="L49" s="338"/>
      <c r="M49" s="346"/>
      <c r="N49" s="338"/>
      <c r="O49" s="346"/>
      <c r="P49" s="338"/>
      <c r="Q49" s="346"/>
      <c r="R49" s="338"/>
      <c r="S49" s="346"/>
      <c r="T49" s="338"/>
      <c r="U49" s="346"/>
      <c r="V49" s="338"/>
      <c r="W49" s="346"/>
      <c r="X49" s="338"/>
      <c r="Y49" s="346"/>
      <c r="Z49" s="338"/>
      <c r="AA49" s="346"/>
      <c r="AB49" s="338"/>
      <c r="AC49" s="397"/>
      <c r="AD49" s="338"/>
      <c r="AE49" s="397"/>
      <c r="AF49" s="338"/>
      <c r="AG49" s="401">
        <f t="shared" si="56"/>
        <v>0</v>
      </c>
      <c r="AH49" s="341"/>
      <c r="AI49" s="59">
        <f t="shared" si="57"/>
        <v>0</v>
      </c>
      <c r="AJ49" s="93">
        <v>0</v>
      </c>
      <c r="AK49" s="94">
        <v>0</v>
      </c>
      <c r="AL49" s="94">
        <v>0</v>
      </c>
      <c r="AM49" s="94">
        <v>0</v>
      </c>
      <c r="AN49" s="94">
        <v>0</v>
      </c>
      <c r="AO49" s="94">
        <v>0</v>
      </c>
      <c r="AP49" s="412"/>
      <c r="AQ49" s="225"/>
      <c r="AR49" s="225"/>
      <c r="AS49" s="225"/>
      <c r="AT49" s="225"/>
      <c r="AU49" s="225"/>
      <c r="AV49" s="225"/>
      <c r="AW49" s="225"/>
      <c r="AX49" s="28" t="str">
        <f t="shared" si="58"/>
        <v>Thrower</v>
      </c>
      <c r="AY49" s="28" t="str">
        <f>IFERROR((VLOOKUP($BO$1&amp;B46,Teams!D:S,12,0)),0)</f>
        <v>P</v>
      </c>
      <c r="AZ49" s="28" t="str">
        <f>IFERROR((VLOOKUP($BO$1&amp;B46,Teams!D:S,13,0)),0)</f>
        <v>S</v>
      </c>
      <c r="BA49" s="28" t="str">
        <f>IFERROR((VLOOKUP($BO$1&amp;B46,Teams!D:S,14,0)),0)</f>
        <v>P</v>
      </c>
      <c r="BB49" s="28" t="str">
        <f>IFERROR((VLOOKUP($BO$1&amp;B46,Teams!D:S,15,0)),0)</f>
        <v>P</v>
      </c>
      <c r="BC49" s="28">
        <f>IFERROR((VLOOKUP($BO$1&amp;B46,Teams!D:S,16,0)),0)</f>
        <v>0</v>
      </c>
      <c r="BD49" s="28">
        <v>20000</v>
      </c>
      <c r="BE49" s="28">
        <v>10000</v>
      </c>
      <c r="BF49" s="28">
        <v>40000</v>
      </c>
      <c r="BG49" s="28">
        <v>20000</v>
      </c>
      <c r="BH49" s="28">
        <v>80000</v>
      </c>
      <c r="BI49" s="28">
        <f t="shared" si="59"/>
        <v>40000</v>
      </c>
      <c r="BJ49" s="229"/>
      <c r="BK49" s="28" t="str">
        <f t="shared" si="60"/>
        <v>P</v>
      </c>
      <c r="BL49" s="28" t="str">
        <f t="shared" si="61"/>
        <v>G</v>
      </c>
      <c r="BM49" s="28">
        <f t="shared" si="62"/>
        <v>0</v>
      </c>
      <c r="BN49" s="28">
        <f t="shared" si="63"/>
        <v>0</v>
      </c>
      <c r="BO49" s="28">
        <f t="shared" si="64"/>
        <v>0</v>
      </c>
      <c r="BP49" s="28">
        <f t="shared" si="65"/>
        <v>0</v>
      </c>
      <c r="BQ49" s="30"/>
      <c r="BR49" s="30"/>
      <c r="BS49" s="28" t="str">
        <f t="shared" si="66"/>
        <v>P</v>
      </c>
      <c r="BT49" s="28" t="str">
        <f t="shared" si="67"/>
        <v>P</v>
      </c>
      <c r="BU49" s="28">
        <f t="shared" si="68"/>
        <v>0</v>
      </c>
      <c r="BV49" s="28">
        <f t="shared" si="69"/>
        <v>0</v>
      </c>
      <c r="BW49" s="28">
        <f t="shared" si="70"/>
        <v>0</v>
      </c>
      <c r="BX49" s="28">
        <f t="shared" si="71"/>
        <v>0</v>
      </c>
      <c r="BY49" s="28"/>
      <c r="BZ49" s="28" t="str">
        <f t="shared" si="90"/>
        <v>Chosen</v>
      </c>
      <c r="CA49" s="28" t="str">
        <f t="shared" si="91"/>
        <v>Chosen</v>
      </c>
      <c r="CB49" s="28">
        <f t="shared" si="92"/>
        <v>0</v>
      </c>
      <c r="CC49" s="28">
        <f t="shared" si="93"/>
        <v>0</v>
      </c>
      <c r="CD49" s="28">
        <f t="shared" si="94"/>
        <v>0</v>
      </c>
      <c r="CE49" s="253">
        <f t="shared" si="95"/>
        <v>0</v>
      </c>
      <c r="CF49" s="253"/>
      <c r="CG49" s="253">
        <f t="shared" si="72"/>
        <v>20000</v>
      </c>
      <c r="CH49" s="253">
        <f t="shared" si="73"/>
        <v>20000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6</v>
      </c>
      <c r="CV49" s="28">
        <f t="shared" si="85"/>
        <v>8</v>
      </c>
      <c r="CW49" s="28">
        <f t="shared" si="86"/>
        <v>0</v>
      </c>
      <c r="CX49" s="28">
        <f t="shared" si="87"/>
        <v>0</v>
      </c>
      <c r="CY49" s="28">
        <f t="shared" si="88"/>
        <v>0</v>
      </c>
      <c r="CZ49" s="28">
        <f t="shared" si="89"/>
        <v>0</v>
      </c>
      <c r="DA49" s="225"/>
      <c r="DB49" s="225"/>
    </row>
    <row r="50" spans="1:106" s="226" customFormat="1" ht="22.5" customHeight="1">
      <c r="A50" s="24">
        <v>14</v>
      </c>
      <c r="B50" s="58" t="str">
        <f t="shared" si="55"/>
        <v>Lineman</v>
      </c>
      <c r="C50" s="346"/>
      <c r="D50" s="338"/>
      <c r="E50" s="346"/>
      <c r="F50" s="338"/>
      <c r="G50" s="346"/>
      <c r="H50" s="337"/>
      <c r="I50" s="337"/>
      <c r="J50" s="338"/>
      <c r="K50" s="346"/>
      <c r="L50" s="338"/>
      <c r="M50" s="346"/>
      <c r="N50" s="338"/>
      <c r="O50" s="346"/>
      <c r="P50" s="338"/>
      <c r="Q50" s="346"/>
      <c r="R50" s="338"/>
      <c r="S50" s="346"/>
      <c r="T50" s="338"/>
      <c r="U50" s="346"/>
      <c r="V50" s="338"/>
      <c r="W50" s="346"/>
      <c r="X50" s="338"/>
      <c r="Y50" s="346"/>
      <c r="Z50" s="338"/>
      <c r="AA50" s="346"/>
      <c r="AB50" s="338"/>
      <c r="AC50" s="397"/>
      <c r="AD50" s="338"/>
      <c r="AE50" s="397"/>
      <c r="AF50" s="338"/>
      <c r="AG50" s="401">
        <f t="shared" si="56"/>
        <v>0</v>
      </c>
      <c r="AH50" s="341"/>
      <c r="AI50" s="59">
        <f t="shared" si="57"/>
        <v>0</v>
      </c>
      <c r="AJ50" s="93">
        <v>0</v>
      </c>
      <c r="AK50" s="94">
        <v>0</v>
      </c>
      <c r="AL50" s="94">
        <v>0</v>
      </c>
      <c r="AM50" s="94">
        <v>0</v>
      </c>
      <c r="AN50" s="94">
        <v>0</v>
      </c>
      <c r="AO50" s="94">
        <v>0</v>
      </c>
      <c r="AP50" s="412"/>
      <c r="AQ50" s="225"/>
      <c r="AR50" s="225"/>
      <c r="AS50" s="225"/>
      <c r="AT50" s="225"/>
      <c r="AU50" s="225"/>
      <c r="AV50" s="225"/>
      <c r="AW50" s="225"/>
      <c r="AX50" s="28" t="str">
        <f t="shared" si="58"/>
        <v/>
      </c>
      <c r="AY50" s="28">
        <f>IFERROR((VLOOKUP($BO$1&amp;B47,Teams!D:S,12,0)),0)</f>
        <v>0</v>
      </c>
      <c r="AZ50" s="28">
        <f>IFERROR((VLOOKUP($BO$1&amp;B47,Teams!D:S,13,0)),0)</f>
        <v>0</v>
      </c>
      <c r="BA50" s="28">
        <f>IFERROR((VLOOKUP($BO$1&amp;B47,Teams!D:S,14,0)),0)</f>
        <v>0</v>
      </c>
      <c r="BB50" s="28">
        <f>IFERROR((VLOOKUP($BO$1&amp;B47,Teams!D:S,15,0)),0)</f>
        <v>0</v>
      </c>
      <c r="BC50" s="28">
        <f>IFERROR((VLOOKUP($BO$1&amp;B47,Teams!D:S,16,0)),0)</f>
        <v>0</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3">
        <f t="shared" si="95"/>
        <v>0</v>
      </c>
      <c r="CF50" s="253"/>
      <c r="CG50" s="253">
        <f t="shared" si="72"/>
        <v>0</v>
      </c>
      <c r="CH50" s="253">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t="str">
        <f t="shared" si="55"/>
        <v>Lineman</v>
      </c>
      <c r="C51" s="346"/>
      <c r="D51" s="338"/>
      <c r="E51" s="346"/>
      <c r="F51" s="338"/>
      <c r="G51" s="346"/>
      <c r="H51" s="337"/>
      <c r="I51" s="337"/>
      <c r="J51" s="338"/>
      <c r="K51" s="346"/>
      <c r="L51" s="338"/>
      <c r="M51" s="346"/>
      <c r="N51" s="338"/>
      <c r="O51" s="346"/>
      <c r="P51" s="338"/>
      <c r="Q51" s="346"/>
      <c r="R51" s="338"/>
      <c r="S51" s="346"/>
      <c r="T51" s="338"/>
      <c r="U51" s="346"/>
      <c r="V51" s="338"/>
      <c r="W51" s="346"/>
      <c r="X51" s="338"/>
      <c r="Y51" s="346"/>
      <c r="Z51" s="338"/>
      <c r="AA51" s="346"/>
      <c r="AB51" s="338"/>
      <c r="AC51" s="397"/>
      <c r="AD51" s="338"/>
      <c r="AE51" s="397"/>
      <c r="AF51" s="338"/>
      <c r="AG51" s="401">
        <f t="shared" si="56"/>
        <v>0</v>
      </c>
      <c r="AH51" s="341"/>
      <c r="AI51" s="59">
        <f t="shared" si="57"/>
        <v>0</v>
      </c>
      <c r="AJ51" s="93">
        <v>0</v>
      </c>
      <c r="AK51" s="94">
        <v>0</v>
      </c>
      <c r="AL51" s="94">
        <v>0</v>
      </c>
      <c r="AM51" s="94">
        <v>0</v>
      </c>
      <c r="AN51" s="94">
        <v>0</v>
      </c>
      <c r="AO51" s="94">
        <v>0</v>
      </c>
      <c r="AP51" s="412"/>
      <c r="AQ51" s="225"/>
      <c r="AR51" s="225"/>
      <c r="AS51" s="225"/>
      <c r="AT51" s="225"/>
      <c r="AU51" s="225"/>
      <c r="AV51" s="225"/>
      <c r="AW51" s="225"/>
      <c r="AX51" s="28" t="str">
        <f t="shared" si="58"/>
        <v>Untrained Troll</v>
      </c>
      <c r="AY51" s="28" t="str">
        <f>IFERROR((VLOOKUP($BO$1&amp;B48,Teams!D:S,12,0)),0)</f>
        <v>S</v>
      </c>
      <c r="AZ51" s="28" t="str">
        <f>IFERROR((VLOOKUP($BO$1&amp;B48,Teams!D:S,13,0)),0)</f>
        <v>S</v>
      </c>
      <c r="BA51" s="28" t="str">
        <f>IFERROR((VLOOKUP($BO$1&amp;B48,Teams!D:S,14,0)),0)</f>
        <v>P</v>
      </c>
      <c r="BB51" s="28" t="str">
        <f>IFERROR((VLOOKUP($BO$1&amp;B48,Teams!D:S,15,0)),0)</f>
        <v>S</v>
      </c>
      <c r="BC51" s="28">
        <f>IFERROR((VLOOKUP($BO$1&amp;B48,Teams!D:S,16,0)),0)</f>
        <v>0</v>
      </c>
      <c r="BD51" s="28">
        <v>20000</v>
      </c>
      <c r="BE51" s="28">
        <v>10000</v>
      </c>
      <c r="BF51" s="28">
        <v>40000</v>
      </c>
      <c r="BG51" s="28">
        <v>20000</v>
      </c>
      <c r="BH51" s="28">
        <v>80000</v>
      </c>
      <c r="BI51" s="28">
        <f t="shared" si="59"/>
        <v>20000</v>
      </c>
      <c r="BJ51" s="229"/>
      <c r="BK51" s="28" t="str">
        <f t="shared" si="60"/>
        <v>S</v>
      </c>
      <c r="BL51" s="28">
        <f t="shared" si="61"/>
        <v>0</v>
      </c>
      <c r="BM51" s="28">
        <f t="shared" si="62"/>
        <v>0</v>
      </c>
      <c r="BN51" s="28">
        <f t="shared" si="63"/>
        <v>0</v>
      </c>
      <c r="BO51" s="28">
        <f t="shared" si="64"/>
        <v>0</v>
      </c>
      <c r="BP51" s="28">
        <f t="shared" si="65"/>
        <v>0</v>
      </c>
      <c r="BQ51" s="30"/>
      <c r="BR51" s="30"/>
      <c r="BS51" s="28" t="str">
        <f t="shared" si="66"/>
        <v>P</v>
      </c>
      <c r="BT51" s="28">
        <f t="shared" si="67"/>
        <v>0</v>
      </c>
      <c r="BU51" s="28">
        <f t="shared" si="68"/>
        <v>0</v>
      </c>
      <c r="BV51" s="28">
        <f t="shared" si="69"/>
        <v>0</v>
      </c>
      <c r="BW51" s="28">
        <f t="shared" si="70"/>
        <v>0</v>
      </c>
      <c r="BX51" s="28">
        <f t="shared" si="71"/>
        <v>0</v>
      </c>
      <c r="BY51" s="28"/>
      <c r="BZ51" s="28" t="str">
        <f t="shared" si="90"/>
        <v>Chosen</v>
      </c>
      <c r="CA51" s="28">
        <f t="shared" si="91"/>
        <v>0</v>
      </c>
      <c r="CB51" s="28">
        <f t="shared" si="92"/>
        <v>0</v>
      </c>
      <c r="CC51" s="28">
        <f t="shared" si="93"/>
        <v>0</v>
      </c>
      <c r="CD51" s="28">
        <f t="shared" si="94"/>
        <v>0</v>
      </c>
      <c r="CE51" s="253">
        <f t="shared" si="95"/>
        <v>0</v>
      </c>
      <c r="CF51" s="253"/>
      <c r="CG51" s="253">
        <f t="shared" si="72"/>
        <v>20000</v>
      </c>
      <c r="CH51" s="253">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6</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
      </c>
      <c r="C52" s="355"/>
      <c r="D52" s="338"/>
      <c r="E52" s="355"/>
      <c r="F52" s="338"/>
      <c r="G52" s="355"/>
      <c r="H52" s="337"/>
      <c r="I52" s="337"/>
      <c r="J52" s="338"/>
      <c r="K52" s="346"/>
      <c r="L52" s="338"/>
      <c r="M52" s="355"/>
      <c r="N52" s="338"/>
      <c r="O52" s="346"/>
      <c r="P52" s="338"/>
      <c r="Q52" s="355"/>
      <c r="R52" s="338"/>
      <c r="S52" s="346"/>
      <c r="T52" s="338"/>
      <c r="U52" s="355"/>
      <c r="V52" s="338"/>
      <c r="W52" s="346"/>
      <c r="X52" s="338"/>
      <c r="Y52" s="355"/>
      <c r="Z52" s="338"/>
      <c r="AA52" s="346"/>
      <c r="AB52" s="338"/>
      <c r="AC52" s="397"/>
      <c r="AD52" s="338"/>
      <c r="AE52" s="397"/>
      <c r="AF52" s="338"/>
      <c r="AG52" s="401">
        <f t="shared" si="56"/>
        <v>0</v>
      </c>
      <c r="AH52" s="343"/>
      <c r="AI52" s="62">
        <f t="shared" si="57"/>
        <v>0</v>
      </c>
      <c r="AJ52" s="95">
        <v>0</v>
      </c>
      <c r="AK52" s="94">
        <v>0</v>
      </c>
      <c r="AL52" s="94">
        <v>0</v>
      </c>
      <c r="AM52" s="94">
        <v>0</v>
      </c>
      <c r="AN52" s="94">
        <v>0</v>
      </c>
      <c r="AO52" s="94">
        <v>0</v>
      </c>
      <c r="AP52" s="412"/>
      <c r="AQ52" s="225"/>
      <c r="AR52" s="225"/>
      <c r="AS52" s="225"/>
      <c r="AT52" s="225"/>
      <c r="AU52" s="225"/>
      <c r="AV52" s="225"/>
      <c r="AW52" s="225"/>
      <c r="AX52" s="28" t="str">
        <f t="shared" si="58"/>
        <v xml:space="preserve">Goblin </v>
      </c>
      <c r="AY52" s="28" t="str">
        <f>IFERROR((VLOOKUP($BO$1&amp;B49,Teams!D:S,12,0)),0)</f>
        <v>S</v>
      </c>
      <c r="AZ52" s="28" t="str">
        <f>IFERROR((VLOOKUP($BO$1&amp;B49,Teams!D:S,13,0)),0)</f>
        <v>P</v>
      </c>
      <c r="BA52" s="28" t="str">
        <f>IFERROR((VLOOKUP($BO$1&amp;B49,Teams!D:S,14,0)),0)</f>
        <v>S</v>
      </c>
      <c r="BB52" s="28">
        <f>IFERROR((VLOOKUP($BO$1&amp;B49,Teams!D:S,15,0)),0)</f>
        <v>0</v>
      </c>
      <c r="BC52" s="28">
        <f>IFERROR((VLOOKUP($BO$1&amp;B49,Teams!D:S,16,0)),0)</f>
        <v>0</v>
      </c>
      <c r="BD52" s="28">
        <v>20000</v>
      </c>
      <c r="BE52" s="28">
        <v>10000</v>
      </c>
      <c r="BF52" s="28">
        <v>40000</v>
      </c>
      <c r="BG52" s="28">
        <v>20000</v>
      </c>
      <c r="BH52" s="28">
        <v>80000</v>
      </c>
      <c r="BI52" s="28">
        <f t="shared" si="59"/>
        <v>0</v>
      </c>
      <c r="BJ52" s="229"/>
      <c r="BK52" s="28">
        <f t="shared" si="60"/>
        <v>0</v>
      </c>
      <c r="BL52" s="28">
        <f t="shared" si="61"/>
        <v>0</v>
      </c>
      <c r="BM52" s="28">
        <f t="shared" si="62"/>
        <v>0</v>
      </c>
      <c r="BN52" s="28">
        <f t="shared" si="63"/>
        <v>0</v>
      </c>
      <c r="BO52" s="28">
        <f t="shared" si="64"/>
        <v>0</v>
      </c>
      <c r="BP52" s="28">
        <f t="shared" si="65"/>
        <v>0</v>
      </c>
      <c r="BQ52" s="30"/>
      <c r="BR52" s="30"/>
      <c r="BS52" s="28">
        <f t="shared" si="66"/>
        <v>0</v>
      </c>
      <c r="BT52" s="28">
        <f t="shared" si="67"/>
        <v>0</v>
      </c>
      <c r="BU52" s="28">
        <f t="shared" si="68"/>
        <v>0</v>
      </c>
      <c r="BV52" s="28">
        <f t="shared" si="69"/>
        <v>0</v>
      </c>
      <c r="BW52" s="28">
        <f t="shared" si="70"/>
        <v>0</v>
      </c>
      <c r="BX52" s="28">
        <f t="shared" si="71"/>
        <v>0</v>
      </c>
      <c r="BY52" s="28"/>
      <c r="BZ52" s="28">
        <f t="shared" si="90"/>
        <v>0</v>
      </c>
      <c r="CA52" s="28">
        <f t="shared" si="91"/>
        <v>0</v>
      </c>
      <c r="CB52" s="28">
        <f t="shared" si="92"/>
        <v>0</v>
      </c>
      <c r="CC52" s="28">
        <f t="shared" si="93"/>
        <v>0</v>
      </c>
      <c r="CD52" s="28">
        <f t="shared" si="94"/>
        <v>0</v>
      </c>
      <c r="CE52" s="253">
        <f t="shared" si="95"/>
        <v>0</v>
      </c>
      <c r="CF52" s="253"/>
      <c r="CG52" s="253">
        <f t="shared" si="72"/>
        <v>0</v>
      </c>
      <c r="CH52" s="253">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0</v>
      </c>
      <c r="CV52" s="28">
        <f t="shared" si="85"/>
        <v>0</v>
      </c>
      <c r="CW52" s="28">
        <f t="shared" si="86"/>
        <v>0</v>
      </c>
      <c r="CX52" s="28">
        <f t="shared" si="87"/>
        <v>0</v>
      </c>
      <c r="CY52" s="28">
        <f t="shared" si="88"/>
        <v>0</v>
      </c>
      <c r="CZ52" s="28">
        <f t="shared" si="89"/>
        <v>0</v>
      </c>
      <c r="DA52" s="225"/>
      <c r="DB52" s="225"/>
    </row>
    <row r="53" spans="1:106" s="226" customFormat="1" ht="15" customHeight="1">
      <c r="A53" s="411"/>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c r="AP53" s="412"/>
      <c r="AQ53" s="225"/>
      <c r="AR53" s="225"/>
      <c r="AS53" s="225"/>
      <c r="AT53" s="225"/>
      <c r="AU53" s="225"/>
      <c r="AV53" s="225"/>
      <c r="AW53" s="225"/>
      <c r="AX53" s="28" t="str">
        <f t="shared" si="58"/>
        <v>Lineman</v>
      </c>
      <c r="AY53" s="28" t="str">
        <f>IFERROR((VLOOKUP($BO$1&amp;B50,Teams!D:S,12,0)),0)</f>
        <v>P</v>
      </c>
      <c r="AZ53" s="28" t="str">
        <f>IFERROR((VLOOKUP($BO$1&amp;B50,Teams!D:S,13,0)),0)</f>
        <v>S</v>
      </c>
      <c r="BA53" s="28" t="str">
        <f>IFERROR((VLOOKUP($BO$1&amp;B50,Teams!D:S,14,0)),0)</f>
        <v>S</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3">
        <f t="shared" si="95"/>
        <v>0</v>
      </c>
      <c r="CF53" s="253"/>
      <c r="CG53" s="253">
        <f t="shared" si="72"/>
        <v>0</v>
      </c>
      <c r="CH53" s="253">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t="str">
        <f t="shared" ref="AX54:AX55" si="96">B51</f>
        <v>Lineman</v>
      </c>
      <c r="AY54" s="28" t="str">
        <f>IFERROR((VLOOKUP($BO$1&amp;B51,Teams!D:S,12,0)),0)</f>
        <v>P</v>
      </c>
      <c r="AZ54" s="28" t="str">
        <f>IFERROR((VLOOKUP($BO$1&amp;B51,Teams!D:S,13,0)),0)</f>
        <v>S</v>
      </c>
      <c r="BA54" s="28" t="str">
        <f>IFERROR((VLOOKUP($BO$1&amp;B51,Teams!D:S,14,0)),0)</f>
        <v>S</v>
      </c>
      <c r="BB54" s="28">
        <f>IFERROR((VLOOKUP($BO$1&amp;B51,Teams!D:S,15,0)),0)</f>
        <v>0</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3">
        <f t="shared" si="95"/>
        <v>0</v>
      </c>
      <c r="CF54" s="253"/>
      <c r="CG54" s="253">
        <f t="shared" ref="CG54:CL54" si="104">IF(AND(BS54="P",BZ54="Random"),10000,IF(AND(BS54="P",BZ54="Chosen"),20000,IF(AND(BS54="S",BZ54="Random"),20000,IF(AND(BS54="S",BZ54="Chosen"),40000,0))))</f>
        <v>0</v>
      </c>
      <c r="CH54" s="253">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
      </c>
      <c r="AY55" s="28">
        <f>IFERROR((VLOOKUP($BO$1&amp;B52,Teams!D:S,12,0)),0)</f>
        <v>0</v>
      </c>
      <c r="AZ55" s="28">
        <f>IFERROR((VLOOKUP($BO$1&amp;B52,Teams!D:S,13,0)),0)</f>
        <v>0</v>
      </c>
      <c r="BA55" s="28">
        <f>IFERROR((VLOOKUP($BO$1&amp;B52,Teams!D:S,14,0)),0)</f>
        <v>0</v>
      </c>
      <c r="BB55" s="28">
        <f>IFERROR((VLOOKUP($BO$1&amp;B52,Teams!D:S,15,0)),0)</f>
        <v>0</v>
      </c>
      <c r="BC55" s="28">
        <f>IFERROR((VLOOKUP($BO$1&amp;B52,Teams!D:S,16,0)),0)</f>
        <v>0</v>
      </c>
      <c r="BD55" s="28">
        <v>20000</v>
      </c>
      <c r="BE55" s="28">
        <v>10000</v>
      </c>
      <c r="BF55" s="28">
        <v>40000</v>
      </c>
      <c r="BG55" s="28">
        <v>20000</v>
      </c>
      <c r="BH55" s="28">
        <v>80000</v>
      </c>
      <c r="BI55" s="28">
        <f t="shared" si="97"/>
        <v>0</v>
      </c>
      <c r="BJ55" s="28"/>
      <c r="BK55" s="28">
        <f t="shared" si="60"/>
        <v>0</v>
      </c>
      <c r="BL55" s="28">
        <f t="shared" si="61"/>
        <v>0</v>
      </c>
      <c r="BM55" s="28">
        <f t="shared" si="62"/>
        <v>0</v>
      </c>
      <c r="BN55" s="28">
        <f t="shared" si="63"/>
        <v>0</v>
      </c>
      <c r="BO55" s="28">
        <f t="shared" si="64"/>
        <v>0</v>
      </c>
      <c r="BP55" s="28">
        <f t="shared" si="65"/>
        <v>0</v>
      </c>
      <c r="BQ55" s="30"/>
      <c r="BR55" s="30"/>
      <c r="BS55" s="28">
        <f t="shared" si="98"/>
        <v>0</v>
      </c>
      <c r="BT55" s="28">
        <f t="shared" si="99"/>
        <v>0</v>
      </c>
      <c r="BU55" s="28">
        <f t="shared" si="100"/>
        <v>0</v>
      </c>
      <c r="BV55" s="28">
        <f t="shared" si="101"/>
        <v>0</v>
      </c>
      <c r="BW55" s="28">
        <f t="shared" si="102"/>
        <v>0</v>
      </c>
      <c r="BX55" s="28">
        <f t="shared" si="103"/>
        <v>0</v>
      </c>
      <c r="BY55" s="28"/>
      <c r="BZ55" s="28">
        <f t="shared" si="90"/>
        <v>0</v>
      </c>
      <c r="CA55" s="28">
        <f t="shared" si="91"/>
        <v>0</v>
      </c>
      <c r="CB55" s="28">
        <f t="shared" si="92"/>
        <v>0</v>
      </c>
      <c r="CC55" s="28">
        <f t="shared" si="93"/>
        <v>0</v>
      </c>
      <c r="CD55" s="28">
        <f t="shared" si="94"/>
        <v>0</v>
      </c>
      <c r="CE55" s="253">
        <f t="shared" si="95"/>
        <v>0</v>
      </c>
      <c r="CF55" s="253"/>
      <c r="CG55" s="253">
        <f t="shared" ref="CG55:CL55" si="112">IF(AND(BS55="P",BZ55="Random"),10000,IF(AND(BS55="P",BZ55="Chosen"),20000,IF(AND(BS55="S",BZ55="Random"),20000,IF(AND(BS55="S",BZ55="Chosen"),40000,0))))</f>
        <v>0</v>
      </c>
      <c r="CH55" s="253">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0</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3"/>
      <c r="CF56" s="253"/>
      <c r="CG56" s="253"/>
      <c r="CH56" s="253"/>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3"/>
      <c r="CF57" s="253"/>
      <c r="CG57" s="253">
        <f>VLOOKUP(CG58,Teams!$D:$T,17,FALSE)</f>
        <v>0</v>
      </c>
      <c r="CH57" s="253" t="str">
        <f>VLOOKUP(CH58,Teams!$D:$T,17,FALSE)</f>
        <v>PM</v>
      </c>
      <c r="CI57" s="28" t="str">
        <f>VLOOKUP(CI58,Teams!$D:$T,17,FALSE)</f>
        <v>PM</v>
      </c>
      <c r="CJ57" s="28" t="str">
        <f>VLOOKUP(CJ58,Teams!$D:$T,17,FALSE)</f>
        <v>PM</v>
      </c>
      <c r="CK57" s="28" t="str">
        <f>VLOOKUP(CK58,Teams!$D:$T,17,FALSE)</f>
        <v>PM</v>
      </c>
      <c r="CL57" s="28" t="str">
        <f>VLOOKUP(CL58,Teams!$D:$T,17,FALSE)</f>
        <v>M</v>
      </c>
      <c r="CM57" s="28">
        <f>VLOOKUP(CM58,Teams!$D:$T,17,FALSE)</f>
        <v>0</v>
      </c>
      <c r="CN57" s="28" t="str">
        <f>VLOOKUP(CN58,Teams!$D:$T,17,FALSE)</f>
        <v>M</v>
      </c>
      <c r="CO57" s="28" t="str">
        <f>VLOOKUP(CO58,Teams!$D:$T,17,FALSE)</f>
        <v>M</v>
      </c>
      <c r="CP57" s="28" t="str">
        <f>VLOOKUP(CP58,Teams!$D:$T,17,FALSE)</f>
        <v>M</v>
      </c>
      <c r="CQ57" s="28">
        <f>VLOOKUP(CQ58,Teams!$D:$T,17,FALSE)</f>
        <v>0</v>
      </c>
      <c r="CR57" s="28" t="str">
        <f>VLOOKUP(CR58,Teams!$D:$T,17,FALSE)</f>
        <v>M</v>
      </c>
      <c r="CS57" s="28" t="str">
        <f>VLOOKUP(CS58,Teams!$D:$T,17,FALSE)</f>
        <v>PM</v>
      </c>
      <c r="CT57" s="28" t="str">
        <f>VLOOKUP(CT58,Teams!$D:$T,17,FALSE)</f>
        <v>PM</v>
      </c>
      <c r="CU57" s="28" t="str">
        <f>VLOOKUP(CU58,Teams!$D:$T,17,FALSE)</f>
        <v>PM</v>
      </c>
      <c r="CV57" s="28">
        <f>VLOOKUP(CV58,Teams!$D:$T,17,FALSE)</f>
        <v>0</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3"/>
      <c r="CF58" s="253"/>
      <c r="CG58" s="256" t="str">
        <f>$BO$1&amp;$C2</f>
        <v>Orc</v>
      </c>
      <c r="CH58" s="256" t="str">
        <f>$BO$1&amp;$C3</f>
        <v>OrcBig Un</v>
      </c>
      <c r="CI58" s="73" t="str">
        <f>$BO$1&amp;$C4</f>
        <v>OrcBig Un</v>
      </c>
      <c r="CJ58" s="72" t="str">
        <f>$BO$1&amp;$C5</f>
        <v>OrcBig Un</v>
      </c>
      <c r="CK58" s="72" t="str">
        <f>$BO$1&amp;$C6</f>
        <v>OrcBig Un</v>
      </c>
      <c r="CL58" s="72" t="str">
        <f>$BO$1&amp;$C7</f>
        <v>OrcBlitzer</v>
      </c>
      <c r="CM58" s="73" t="str">
        <f>$BO$1&amp;$C8</f>
        <v>Orc</v>
      </c>
      <c r="CN58" s="72" t="str">
        <f>$BO$1&amp;$C9</f>
        <v>OrcBlitzer</v>
      </c>
      <c r="CO58" s="72" t="str">
        <f>$BO$1&amp;$C10</f>
        <v>OrcBlitzer</v>
      </c>
      <c r="CP58" s="72" t="str">
        <f>$BO$1&amp;$C11</f>
        <v>OrcThrower</v>
      </c>
      <c r="CQ58" s="73" t="str">
        <f>$BO$1&amp;$C12</f>
        <v>Orc</v>
      </c>
      <c r="CR58" s="72" t="str">
        <f>$BO$1&amp;$C13</f>
        <v>OrcUntrained Troll</v>
      </c>
      <c r="CS58" s="72" t="str">
        <f>$BO$1&amp;$C14</f>
        <v xml:space="preserve">OrcGoblin </v>
      </c>
      <c r="CT58" s="72" t="str">
        <f>$BO$1&amp;$C15</f>
        <v>OrcLineman</v>
      </c>
      <c r="CU58" s="73" t="str">
        <f>$BO$1&amp;$C16</f>
        <v>OrcLineman</v>
      </c>
      <c r="CV58" s="72" t="str">
        <f>$BO$1&amp;$C17</f>
        <v>Orc</v>
      </c>
      <c r="CW58" s="30"/>
      <c r="CX58" s="30"/>
      <c r="CY58" s="30"/>
      <c r="CZ58" s="28"/>
      <c r="DA58" s="30"/>
      <c r="DB58" s="30"/>
    </row>
    <row r="59" spans="1:106" ht="15" hidden="1" customHeight="1">
      <c r="A59" s="28"/>
      <c r="B59" s="367" t="s">
        <v>213</v>
      </c>
      <c r="C59" s="368"/>
      <c r="D59" s="368"/>
      <c r="E59" s="368"/>
      <c r="F59" s="368"/>
      <c r="G59" s="28"/>
      <c r="H59" s="28"/>
      <c r="I59" s="28"/>
      <c r="J59" s="28"/>
      <c r="K59" s="367" t="s">
        <v>214</v>
      </c>
      <c r="L59" s="368"/>
      <c r="M59" s="368"/>
      <c r="N59" s="368"/>
      <c r="O59" s="368"/>
      <c r="P59" s="28"/>
      <c r="Q59" s="367" t="s">
        <v>215</v>
      </c>
      <c r="R59" s="368"/>
      <c r="S59" s="368"/>
      <c r="T59" s="368"/>
      <c r="U59" s="368"/>
      <c r="V59" s="28"/>
      <c r="W59" s="367" t="s">
        <v>216</v>
      </c>
      <c r="X59" s="368"/>
      <c r="Y59" s="368"/>
      <c r="Z59" s="368"/>
      <c r="AA59" s="368"/>
      <c r="AB59" s="28"/>
      <c r="AC59" s="367" t="s">
        <v>217</v>
      </c>
      <c r="AD59" s="368"/>
      <c r="AE59" s="368"/>
      <c r="AF59" s="368"/>
      <c r="AG59" s="368"/>
      <c r="AH59" s="28"/>
      <c r="AI59" s="28"/>
      <c r="AJ59" s="28"/>
      <c r="AK59" s="367" t="s">
        <v>218</v>
      </c>
      <c r="AL59" s="368"/>
      <c r="AM59" s="368"/>
      <c r="AN59" s="368"/>
      <c r="AO59" s="368"/>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366" t="s">
        <v>225</v>
      </c>
      <c r="BT59" s="366"/>
      <c r="BU59" s="366" t="s">
        <v>199</v>
      </c>
      <c r="BV59" s="366"/>
      <c r="BW59" s="366" t="s">
        <v>200</v>
      </c>
      <c r="BX59" s="366"/>
      <c r="BY59" s="366" t="s">
        <v>226</v>
      </c>
      <c r="BZ59" s="366"/>
      <c r="CA59" s="28"/>
      <c r="CB59" s="28" t="str">
        <f>""</f>
        <v/>
      </c>
      <c r="CC59" s="28"/>
      <c r="CD59" s="28" t="str">
        <f>""</f>
        <v/>
      </c>
      <c r="CE59" s="253"/>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91" t="str">
        <f>IF(J31&lt;0,(IF(J25="Italiano","AVETE SPESO TROPPO!   ",IF(J25="Español","¡HAS GASTADO DEMASIADO!   ",(IF(J25="Deutsch","ZU VIEL AUSGEGEBEN!   ",(IF(J25="Français","TU DÉPENSES TROP!   ","YOU HAVE EXPENT TOO MUCH!   "))))))),"")</f>
        <v/>
      </c>
      <c r="C60" s="368"/>
      <c r="D60" s="368"/>
      <c r="E60" s="368"/>
      <c r="F60" s="368"/>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b">
        <f>IF(J25="English","NI",(IF(J25="Español","LP",(IF(J25="Deutsch","HV",(IF(J25="Français","BP")))))))</f>
        <v>0</v>
      </c>
      <c r="AJ60" s="28"/>
      <c r="AK60" s="38" t="s">
        <v>201</v>
      </c>
      <c r="AL60" s="38" t="s">
        <v>205</v>
      </c>
      <c r="AM60" s="38" t="s">
        <v>203</v>
      </c>
      <c r="AN60" s="38" t="s">
        <v>204</v>
      </c>
      <c r="AO60" s="38" t="s">
        <v>202</v>
      </c>
      <c r="AP60" s="27"/>
      <c r="AQ60" s="27"/>
      <c r="AR60" s="28">
        <v>0</v>
      </c>
      <c r="AS60" s="28"/>
      <c r="AT60" s="28"/>
      <c r="AU60" s="28"/>
      <c r="AV60" s="28"/>
      <c r="AW60" s="28"/>
      <c r="AX60" s="28">
        <f>COUNTIF(BS40:BX55,"P")</f>
        <v>8</v>
      </c>
      <c r="AY60" s="28">
        <f>COUNTIF(BS40:BX55,"S")</f>
        <v>0</v>
      </c>
      <c r="AZ60" s="28">
        <f>AX60+AY60</f>
        <v>8</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50000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Scelto</v>
      </c>
      <c r="CB60" s="28" t="str">
        <f>IF($J$25="Español","MO+",(IF($J$25="Deutsch","BE+",(IF($J$25="Français","M+","MA+")))))</f>
        <v>MA+</v>
      </c>
      <c r="CC60" s="28" t="s">
        <v>201</v>
      </c>
      <c r="CD60" s="30"/>
      <c r="CE60" s="253"/>
      <c r="CF60" s="253"/>
      <c r="CG60" s="256" t="b">
        <f t="shared" ref="CG60:CG140" si="115">IFERROR((IF($CG$57="M",BW60,IF($CG$57="PM",BY60,IF($CG$57="P",BU60,IF($CG$57="FULL",BS60))))),"")</f>
        <v>0</v>
      </c>
      <c r="CH60" s="256"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b">
        <f t="shared" ref="CM60:CM139" si="121">IFERROR((IF($CM$57="M",BW60,IF($CM$57="PM",BY60,IF($CM$57="P",BU60,IF($CM$57="FULL",BS60))))),"")</f>
        <v>0</v>
      </c>
      <c r="CN60" s="72" t="str">
        <f t="shared" ref="CN60:CN139" si="122">IFERROR((IF($CN$57="M",BW60,IF($CN$57="PM",BY60,IF($CN$57="P",BU60,IF($CN$57="FULL",BS60))))),"")</f>
        <v/>
      </c>
      <c r="CO60" s="72" t="str">
        <f t="shared" ref="CO60:CO139" si="123">IFERROR((IF($CO$57="M",BW60,IF($CO$57="PM",BY60,IF($CO$57="P",BU60,IF($CO$57="FULL",BS60))))),"")</f>
        <v/>
      </c>
      <c r="CP60" s="72" t="str">
        <f t="shared" ref="CP60:CP139" si="124">IFERROR((IF($CP$57="M",BW60,IF($CP$57="PM",BY60,IF($CP$57="P",BU60,IF($CP$57="FULL",BS60))))),"")</f>
        <v/>
      </c>
      <c r="CQ60" s="72" t="b">
        <f t="shared" ref="CQ60:CQ139" si="125">IFERROR((IF($CQ$57="M",BW60,IF($CQ$57="PM",BY60,IF($CQ$57="P",BU60,IF($CQ$57="FULL",BS60))))),"")</f>
        <v>0</v>
      </c>
      <c r="CR60" s="72" t="str">
        <f t="shared" ref="CR60:CR139" si="126">IFERROR((IF($CR$57="M",BW60,IF($CR$57="PM",BY60,IF($CR$57="P",BU60,IF($CR$57="FULL",BS60))))),"")</f>
        <v/>
      </c>
      <c r="CS60" s="72" t="str">
        <f t="shared" ref="CS60:CS139" si="127">IFERROR((IF($CS$57="M",BW60,IF($CS$57="PM",BY60,IF($CS$57="P",BU60,IF($CS$57="FULL",BS60))))),"")</f>
        <v/>
      </c>
      <c r="CT60" s="72" t="str">
        <f t="shared" ref="CT60:CT139" si="128">IFERROR((IF($CT$57="M",BW60,IF($CT$57="PM",BY60,IF($CT$57="P",BU60,IF($CT$57="FULL",BS60))))),"")</f>
        <v/>
      </c>
      <c r="CU60" s="72" t="str">
        <f t="shared" ref="CU60:CU139" si="129">IFERROR((IF($CU$57="M",BW60,IF($CU$57="PM",BY60,IF($CU$57="P",BU60,IF($CU$57="FULL",BS60))))),"")</f>
        <v/>
      </c>
      <c r="CV60" s="72" t="b">
        <f t="shared" ref="CV60:CV125" si="130">IFERROR((IF($CV$57="M",BW60,IF($CV$57="PM",BY60,IF($CV$57="P",BU60,IF($CV$57="FULL",BS60))))),"")</f>
        <v>0</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0</v>
      </c>
      <c r="L61" s="27">
        <f t="shared" ref="L61:L76" si="132">IF(R61=0,0,(IF(R61&gt;8,8,(IF(R61&lt;1,1,R61)))))</f>
        <v>0</v>
      </c>
      <c r="M61" s="27">
        <f t="shared" ref="M61:N61" si="133">IF(S61=0,0,(IF(S61&gt;6,6,(IF(S61&lt;1,1,S61)))))</f>
        <v>0</v>
      </c>
      <c r="N61" s="27">
        <f t="shared" si="133"/>
        <v>0</v>
      </c>
      <c r="O61" s="27">
        <f t="shared" ref="O61:O76" si="134">IF(U61=0,0,(IF(U61&gt;11,11,(IF(U61&lt;3,3,U61)))))</f>
        <v>0</v>
      </c>
      <c r="P61" s="28"/>
      <c r="Q61" s="27">
        <f>IFERROR((VLOOKUP($BO$1&amp;C2,Teams!D:M,2,0)+AK61+AC61),0)</f>
        <v>0</v>
      </c>
      <c r="R61" s="27">
        <f>IFERROR((VLOOKUP($BO$1&amp;C2,Teams!D:M,3,0)+AL61+AD61),0)</f>
        <v>0</v>
      </c>
      <c r="S61" s="27">
        <f>IFERROR((VLOOKUP($BO$1&amp;C2,Teams!D:M,4,0)+AM61-AE61),0)</f>
        <v>0</v>
      </c>
      <c r="T61" s="27">
        <f>IFERROR((VLOOKUP($BO$1&amp;C2,Teams!D:M,5,0)+AN61-AF61),0)</f>
        <v>0</v>
      </c>
      <c r="U61" s="27">
        <f>IFERROR((VLOOKUP($BO$1&amp;C2,Teams!D:M,6,0)+AO61+AG61),0)</f>
        <v>0</v>
      </c>
      <c r="V61" s="28"/>
      <c r="W61" s="28">
        <f>IFERROR((VLOOKUP($BO$1&amp;C2,Teams!D:M,2,0)),0)</f>
        <v>0</v>
      </c>
      <c r="X61" s="28">
        <f>IFERROR((VLOOKUP($BO$1&amp;C2,Teams!D:M,3,0)),0)</f>
        <v>0</v>
      </c>
      <c r="Y61" s="28">
        <f>IFERROR((VLOOKUP($BO$1&amp;C2,Teams!D:M,4,0)),0)</f>
        <v>0</v>
      </c>
      <c r="Z61" s="28">
        <f>IFERROR((VLOOKUP($BO$1&amp;C2,Teams!D:M,5,0)),0)</f>
        <v>0</v>
      </c>
      <c r="AA61" s="28">
        <f>IFERROR((VLOOKUP($BO$1&amp;C2,Teams!D:M,6,0)),0)</f>
        <v>0</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0</v>
      </c>
      <c r="BF61" s="80"/>
      <c r="BG61" s="30"/>
      <c r="BH61" s="231" t="s">
        <v>1214</v>
      </c>
      <c r="BI61" s="80">
        <f>IFERROR((IF(OR(COUNTIF($BU$2,"*Favouredof*"),COUNTIF($BU$2,"*UnderworldChallenge*")),150000,0)),0)</f>
        <v>0</v>
      </c>
      <c r="BJ61" s="80"/>
      <c r="BK61" s="28"/>
      <c r="BL61" s="231" t="s">
        <v>1225</v>
      </c>
      <c r="BM61" s="80">
        <f>IFERROR((IF(OR(COUNTIF($BU$2,"*LustrianSuperleague*"),COUNTIF($BU$2,"*OldWorldClassic*")),130000,0)),0)</f>
        <v>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Casuale</v>
      </c>
      <c r="CB61" s="28" t="str">
        <f>IF($J$25="Español","AR+",(IF($J$25="Deutsch","RW+",(IF($J$25="Français","AR+","AV+")))))</f>
        <v>AV+</v>
      </c>
      <c r="CC61" s="28" t="s">
        <v>202</v>
      </c>
      <c r="CD61" s="30"/>
      <c r="CE61" s="253"/>
      <c r="CF61" s="253"/>
      <c r="CG61" s="256" t="b">
        <f t="shared" si="115"/>
        <v>0</v>
      </c>
      <c r="CH61" s="256" t="str">
        <f t="shared" si="116"/>
        <v>MA+</v>
      </c>
      <c r="CI61" s="72" t="str">
        <f t="shared" si="117"/>
        <v>MA+</v>
      </c>
      <c r="CJ61" s="72" t="str">
        <f t="shared" si="118"/>
        <v>MA+</v>
      </c>
      <c r="CK61" s="72" t="str">
        <f t="shared" si="119"/>
        <v>MA+</v>
      </c>
      <c r="CL61" s="72" t="str">
        <f t="shared" si="120"/>
        <v>MA+</v>
      </c>
      <c r="CM61" s="72" t="b">
        <f t="shared" si="121"/>
        <v>0</v>
      </c>
      <c r="CN61" s="72" t="str">
        <f t="shared" si="122"/>
        <v>MA+</v>
      </c>
      <c r="CO61" s="72" t="str">
        <f t="shared" si="123"/>
        <v>MA+</v>
      </c>
      <c r="CP61" s="72" t="str">
        <f t="shared" si="124"/>
        <v>MA+</v>
      </c>
      <c r="CQ61" s="72" t="b">
        <f t="shared" si="125"/>
        <v>0</v>
      </c>
      <c r="CR61" s="72" t="str">
        <f t="shared" si="126"/>
        <v>MA+</v>
      </c>
      <c r="CS61" s="72" t="str">
        <f t="shared" si="127"/>
        <v>MA+</v>
      </c>
      <c r="CT61" s="72" t="str">
        <f t="shared" si="128"/>
        <v>MA+</v>
      </c>
      <c r="CU61" s="72" t="str">
        <f t="shared" si="129"/>
        <v>MA+</v>
      </c>
      <c r="CV61" s="72" t="b">
        <f t="shared" si="130"/>
        <v>0</v>
      </c>
      <c r="CW61" s="30"/>
      <c r="CX61" s="30"/>
      <c r="CY61" s="30"/>
      <c r="CZ61" s="28"/>
      <c r="DA61" s="30"/>
      <c r="DB61" s="30"/>
    </row>
    <row r="62" spans="1:106" ht="15" hidden="1" customHeight="1">
      <c r="A62" s="28"/>
      <c r="B62" s="55"/>
      <c r="C62" s="55"/>
      <c r="D62" s="55"/>
      <c r="E62" s="55"/>
      <c r="F62" s="55"/>
      <c r="G62" s="28"/>
      <c r="H62" s="28"/>
      <c r="I62" s="28"/>
      <c r="J62" s="28"/>
      <c r="K62" s="28">
        <f t="shared" si="131"/>
        <v>5</v>
      </c>
      <c r="L62" s="28">
        <f t="shared" si="132"/>
        <v>4</v>
      </c>
      <c r="M62" s="28">
        <f t="shared" ref="M62:N62" si="144">IF(S62=0,0,(IF(S62&gt;6,6,(IF(S62&lt;1,1,S62)))))</f>
        <v>4</v>
      </c>
      <c r="N62" s="28">
        <f t="shared" si="144"/>
        <v>0</v>
      </c>
      <c r="O62" s="28">
        <f t="shared" si="134"/>
        <v>10</v>
      </c>
      <c r="P62" s="28"/>
      <c r="Q62" s="27">
        <f>IFERROR((VLOOKUP($BO$1&amp;C3,Teams!D:M,2,0)+AK62+AC62),0)</f>
        <v>5</v>
      </c>
      <c r="R62" s="27">
        <f>IFERROR((VLOOKUP($BO$1&amp;C3,Teams!D:M,3,0)+AL62+AD62),0)</f>
        <v>4</v>
      </c>
      <c r="S62" s="27">
        <f>IFERROR((VLOOKUP($BO$1&amp;C3,Teams!D:M,4,0)+AM62-AE62),0)</f>
        <v>4</v>
      </c>
      <c r="T62" s="27">
        <f>IFERROR((VLOOKUP($BO$1&amp;C3,Teams!D:M,5,0)+AN62-AF62),0)</f>
        <v>0</v>
      </c>
      <c r="U62" s="27">
        <f>IFERROR((VLOOKUP($BO$1&amp;C3,Teams!D:M,6,0)+AO62+AG62),0)</f>
        <v>10</v>
      </c>
      <c r="V62" s="28"/>
      <c r="W62" s="28">
        <f>IFERROR((VLOOKUP($BO$1&amp;C3,Teams!D:M,2,0)),0)</f>
        <v>5</v>
      </c>
      <c r="X62" s="28">
        <f>IFERROR((VLOOKUP($BO$1&amp;C3,Teams!D:M,3,0)),0)</f>
        <v>4</v>
      </c>
      <c r="Y62" s="28">
        <f>IFERROR((VLOOKUP($BO$1&amp;C3,Teams!D:M,4,0)),0)</f>
        <v>4</v>
      </c>
      <c r="Z62" s="28">
        <f>IFERROR((VLOOKUP($BO$1&amp;C3,Teams!D:M,5,0)),0)</f>
        <v>0</v>
      </c>
      <c r="AA62" s="28">
        <f>IFERROR((VLOOKUP($BO$1&amp;C3,Teams!D:M,6,0)),0)</f>
        <v>10</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0</v>
      </c>
      <c r="BF62" s="30"/>
      <c r="BG62" s="30"/>
      <c r="BH62" s="231" t="s">
        <v>1215</v>
      </c>
      <c r="BI62" s="80">
        <f>IFERROR((IF(OR(COUNTIF($BU$2,"*Favouredof*"),COUNTIF($BU$2,"*ElvenKingdomsLeague*")),150000,0)),0)</f>
        <v>0</v>
      </c>
      <c r="BJ62" s="30"/>
      <c r="BK62" s="28"/>
      <c r="BL62" s="231" t="s">
        <v>1226</v>
      </c>
      <c r="BM62" s="80">
        <f>IFERROR((IF(OR(COUNTIF($BU$2,"*WorldsEdgeSuperleague*")),120000,0)),0)</f>
        <v>0</v>
      </c>
      <c r="BN62" s="28"/>
      <c r="BO62" s="231" t="s">
        <v>1231</v>
      </c>
      <c r="BP62" s="80">
        <f>IFERROR((IF(OR(COUNTIF($BU$2,"*OldWorldClassic*"),COUNTIF($BU$2,"*WorldsEdgeSuperleague*")),50000,0)),0)</f>
        <v>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3"/>
      <c r="CF62" s="253"/>
      <c r="CG62" s="256" t="b">
        <f t="shared" si="115"/>
        <v>0</v>
      </c>
      <c r="CH62" s="256" t="str">
        <f t="shared" si="116"/>
        <v>AV+</v>
      </c>
      <c r="CI62" s="72" t="str">
        <f t="shared" si="117"/>
        <v>AV+</v>
      </c>
      <c r="CJ62" s="72" t="str">
        <f t="shared" si="118"/>
        <v>AV+</v>
      </c>
      <c r="CK62" s="72" t="str">
        <f t="shared" si="119"/>
        <v>AV+</v>
      </c>
      <c r="CL62" s="72" t="str">
        <f t="shared" si="120"/>
        <v>AV+</v>
      </c>
      <c r="CM62" s="72" t="b">
        <f t="shared" si="121"/>
        <v>0</v>
      </c>
      <c r="CN62" s="72" t="str">
        <f t="shared" si="122"/>
        <v>AV+</v>
      </c>
      <c r="CO62" s="72" t="str">
        <f t="shared" si="123"/>
        <v>AV+</v>
      </c>
      <c r="CP62" s="72" t="str">
        <f t="shared" si="124"/>
        <v>AV+</v>
      </c>
      <c r="CQ62" s="72" t="b">
        <f t="shared" si="125"/>
        <v>0</v>
      </c>
      <c r="CR62" s="72" t="str">
        <f t="shared" si="126"/>
        <v>AV+</v>
      </c>
      <c r="CS62" s="72" t="str">
        <f t="shared" si="127"/>
        <v>AV+</v>
      </c>
      <c r="CT62" s="72" t="str">
        <f t="shared" si="128"/>
        <v>AV+</v>
      </c>
      <c r="CU62" s="72" t="str">
        <f t="shared" si="129"/>
        <v>AV+</v>
      </c>
      <c r="CV62" s="72" t="b">
        <f t="shared" si="130"/>
        <v>0</v>
      </c>
      <c r="CW62" s="30"/>
      <c r="CX62" s="30"/>
      <c r="CY62" s="30"/>
      <c r="CZ62" s="28"/>
      <c r="DA62" s="30"/>
      <c r="DB62" s="30"/>
    </row>
    <row r="63" spans="1:106" ht="15" hidden="1" customHeight="1">
      <c r="A63" s="28"/>
      <c r="B63" s="55"/>
      <c r="C63" s="55"/>
      <c r="D63" s="55"/>
      <c r="E63" s="55"/>
      <c r="F63" s="55"/>
      <c r="G63" s="28"/>
      <c r="H63" s="28"/>
      <c r="I63" s="28"/>
      <c r="J63" s="28"/>
      <c r="K63" s="28">
        <f t="shared" si="131"/>
        <v>5</v>
      </c>
      <c r="L63" s="28">
        <f t="shared" si="132"/>
        <v>4</v>
      </c>
      <c r="M63" s="28">
        <f t="shared" ref="M63:N63" si="146">IF(S63=0,0,(IF(S63&gt;6,6,(IF(S63&lt;1,1,S63)))))</f>
        <v>4</v>
      </c>
      <c r="N63" s="28">
        <f t="shared" si="146"/>
        <v>0</v>
      </c>
      <c r="O63" s="28">
        <f t="shared" si="134"/>
        <v>10</v>
      </c>
      <c r="P63" s="28"/>
      <c r="Q63" s="27">
        <f>IFERROR((VLOOKUP($BO$1&amp;C4,Teams!D:M,2,0)+AK63+AC63),0)</f>
        <v>5</v>
      </c>
      <c r="R63" s="27">
        <f>IFERROR((VLOOKUP($BO$1&amp;C4,Teams!D:M,3,0)+AL63+AD63),0)</f>
        <v>4</v>
      </c>
      <c r="S63" s="27">
        <f>IFERROR((VLOOKUP($BO$1&amp;C4,Teams!D:M,4,0)+AM63-AE63),0)</f>
        <v>4</v>
      </c>
      <c r="T63" s="27">
        <f>IFERROR((VLOOKUP($BO$1&amp;C4,Teams!D:M,5,0)+AN63-AF63),0)</f>
        <v>0</v>
      </c>
      <c r="U63" s="27">
        <f>IFERROR((VLOOKUP($BO$1&amp;C4,Teams!D:M,6,0)+AO63+AG63),0)</f>
        <v>10</v>
      </c>
      <c r="V63" s="28"/>
      <c r="W63" s="28">
        <f>IFERROR((VLOOKUP($BO$1&amp;C4,Teams!D:M,2,0)),0)</f>
        <v>5</v>
      </c>
      <c r="X63" s="28">
        <f>IFERROR((VLOOKUP($BO$1&amp;C4,Teams!D:M,3,0)),0)</f>
        <v>4</v>
      </c>
      <c r="Y63" s="28">
        <f>IFERROR((VLOOKUP($BO$1&amp;C4,Teams!D:M,4,0)),0)</f>
        <v>4</v>
      </c>
      <c r="Z63" s="28">
        <f>IFERROR((VLOOKUP($BO$1&amp;C4,Teams!D:M,5,0)),0)</f>
        <v>0</v>
      </c>
      <c r="AA63" s="28">
        <f>IFERROR((VLOOKUP($BO$1&amp;C4,Teams!D:M,6,0)),0)</f>
        <v>10</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3"/>
      <c r="CF63" s="253"/>
      <c r="CG63" s="256" t="b">
        <f t="shared" si="115"/>
        <v>0</v>
      </c>
      <c r="CH63" s="256" t="str">
        <f t="shared" si="116"/>
        <v>AG-</v>
      </c>
      <c r="CI63" s="72" t="str">
        <f t="shared" si="117"/>
        <v>AG-</v>
      </c>
      <c r="CJ63" s="72" t="str">
        <f t="shared" si="118"/>
        <v>AG-</v>
      </c>
      <c r="CK63" s="72" t="str">
        <f t="shared" si="119"/>
        <v>AG-</v>
      </c>
      <c r="CL63" s="72" t="str">
        <f t="shared" si="120"/>
        <v>AG-</v>
      </c>
      <c r="CM63" s="72" t="b">
        <f t="shared" si="121"/>
        <v>0</v>
      </c>
      <c r="CN63" s="72" t="str">
        <f t="shared" si="122"/>
        <v>AG-</v>
      </c>
      <c r="CO63" s="72" t="str">
        <f t="shared" si="123"/>
        <v>AG-</v>
      </c>
      <c r="CP63" s="72" t="str">
        <f t="shared" si="124"/>
        <v>AG-</v>
      </c>
      <c r="CQ63" s="72" t="b">
        <f t="shared" si="125"/>
        <v>0</v>
      </c>
      <c r="CR63" s="72" t="str">
        <f t="shared" si="126"/>
        <v>AG-</v>
      </c>
      <c r="CS63" s="72" t="str">
        <f t="shared" si="127"/>
        <v>AG-</v>
      </c>
      <c r="CT63" s="72" t="str">
        <f t="shared" si="128"/>
        <v>AG-</v>
      </c>
      <c r="CU63" s="72" t="str">
        <f t="shared" si="129"/>
        <v>AG-</v>
      </c>
      <c r="CV63" s="72" t="b">
        <f t="shared" si="130"/>
        <v>0</v>
      </c>
      <c r="CW63" s="30"/>
      <c r="CX63" s="30"/>
      <c r="CY63" s="30"/>
      <c r="CZ63" s="28"/>
      <c r="DA63" s="30"/>
      <c r="DB63" s="30"/>
    </row>
    <row r="64" spans="1:106" ht="15" hidden="1" customHeight="1">
      <c r="A64" s="28"/>
      <c r="B64" s="55"/>
      <c r="C64" s="55"/>
      <c r="D64" s="55"/>
      <c r="E64" s="55"/>
      <c r="F64" s="55"/>
      <c r="G64" s="28"/>
      <c r="H64" s="28"/>
      <c r="I64" s="28"/>
      <c r="J64" s="28"/>
      <c r="K64" s="28">
        <f t="shared" si="131"/>
        <v>5</v>
      </c>
      <c r="L64" s="28">
        <f t="shared" si="132"/>
        <v>4</v>
      </c>
      <c r="M64" s="28">
        <f t="shared" ref="M64:N64" si="148">IF(S64=0,0,(IF(S64&gt;6,6,(IF(S64&lt;1,1,S64)))))</f>
        <v>4</v>
      </c>
      <c r="N64" s="28">
        <f t="shared" si="148"/>
        <v>0</v>
      </c>
      <c r="O64" s="28">
        <f t="shared" si="134"/>
        <v>10</v>
      </c>
      <c r="P64" s="28" t="s">
        <v>245</v>
      </c>
      <c r="Q64" s="27">
        <f>IFERROR((VLOOKUP($BO$1&amp;C5,Teams!D:M,2,0)+AK64+AC64),0)</f>
        <v>5</v>
      </c>
      <c r="R64" s="27">
        <f>IFERROR((VLOOKUP($BO$1&amp;C5,Teams!D:M,3,0)+AL64+AD64),0)</f>
        <v>4</v>
      </c>
      <c r="S64" s="27">
        <f>IFERROR((VLOOKUP($BO$1&amp;C5,Teams!D:M,4,0)+AM64-AE64),0)</f>
        <v>4</v>
      </c>
      <c r="T64" s="27">
        <f>IFERROR((VLOOKUP($BO$1&amp;C5,Teams!D:M,5,0)+AN64-AF64),0)</f>
        <v>0</v>
      </c>
      <c r="U64" s="27">
        <f>IFERROR((VLOOKUP($BO$1&amp;C5,Teams!D:M,6,0)+AO64+AG64),0)</f>
        <v>10</v>
      </c>
      <c r="V64" s="28"/>
      <c r="W64" s="28">
        <f>IFERROR((VLOOKUP($BO$1&amp;C5,Teams!D:M,2,0)),0)</f>
        <v>5</v>
      </c>
      <c r="X64" s="28">
        <f>IFERROR((VLOOKUP($BO$1&amp;C5,Teams!D:M,3,0)),0)</f>
        <v>4</v>
      </c>
      <c r="Y64" s="28">
        <f>IFERROR((VLOOKUP($BO$1&amp;C5,Teams!D:M,4,0)),0)</f>
        <v>4</v>
      </c>
      <c r="Z64" s="28">
        <f>IFERROR((VLOOKUP($BO$1&amp;C5,Teams!D:M,5,0)),0)</f>
        <v>0</v>
      </c>
      <c r="AA64" s="28">
        <f>IFERROR((VLOOKUP($BO$1&amp;C5,Teams!D:M,6,0)),0)</f>
        <v>10</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0</v>
      </c>
      <c r="BF64" s="30"/>
      <c r="BG64" s="30"/>
      <c r="BH64" s="231" t="s">
        <v>1217</v>
      </c>
      <c r="BI64" s="80">
        <f>IFERROR((IF(OR(COUNTIF($BU$2,"*LustrianSuperleague*")),200000,0)),0)</f>
        <v>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3"/>
      <c r="CF64" s="253"/>
      <c r="CG64" s="256" t="b">
        <f t="shared" si="115"/>
        <v>0</v>
      </c>
      <c r="CH64" s="256" t="str">
        <f t="shared" si="116"/>
        <v>PA-</v>
      </c>
      <c r="CI64" s="72" t="str">
        <f t="shared" si="117"/>
        <v>PA-</v>
      </c>
      <c r="CJ64" s="72" t="str">
        <f t="shared" si="118"/>
        <v>PA-</v>
      </c>
      <c r="CK64" s="72" t="str">
        <f t="shared" si="119"/>
        <v>PA-</v>
      </c>
      <c r="CL64" s="72" t="str">
        <f t="shared" si="120"/>
        <v>PA-</v>
      </c>
      <c r="CM64" s="72" t="b">
        <f t="shared" si="121"/>
        <v>0</v>
      </c>
      <c r="CN64" s="72" t="str">
        <f t="shared" si="122"/>
        <v>PA-</v>
      </c>
      <c r="CO64" s="72" t="str">
        <f t="shared" si="123"/>
        <v>PA-</v>
      </c>
      <c r="CP64" s="72" t="str">
        <f t="shared" si="124"/>
        <v>PA-</v>
      </c>
      <c r="CQ64" s="72" t="b">
        <f t="shared" si="125"/>
        <v>0</v>
      </c>
      <c r="CR64" s="72" t="str">
        <f t="shared" si="126"/>
        <v>PA-</v>
      </c>
      <c r="CS64" s="72" t="str">
        <f t="shared" si="127"/>
        <v>PA-</v>
      </c>
      <c r="CT64" s="72" t="str">
        <f t="shared" si="128"/>
        <v>PA-</v>
      </c>
      <c r="CU64" s="72" t="str">
        <f t="shared" si="129"/>
        <v>PA-</v>
      </c>
      <c r="CV64" s="72" t="b">
        <f t="shared" si="130"/>
        <v>0</v>
      </c>
      <c r="CW64" s="30"/>
      <c r="CX64" s="30"/>
      <c r="CY64" s="30"/>
      <c r="CZ64" s="28"/>
      <c r="DA64" s="30"/>
      <c r="DB64" s="30"/>
    </row>
    <row r="65" spans="1:106" ht="15" hidden="1" customHeight="1">
      <c r="A65" s="28"/>
      <c r="B65" s="55"/>
      <c r="C65" s="55"/>
      <c r="D65" s="55"/>
      <c r="E65" s="55"/>
      <c r="F65" s="55"/>
      <c r="G65" s="28"/>
      <c r="H65" s="28"/>
      <c r="I65" s="28"/>
      <c r="J65" s="28"/>
      <c r="K65" s="28">
        <f t="shared" si="131"/>
        <v>5</v>
      </c>
      <c r="L65" s="28">
        <f t="shared" si="132"/>
        <v>4</v>
      </c>
      <c r="M65" s="28">
        <f t="shared" ref="M65:N65" si="150">IF(S65=0,0,(IF(S65&gt;6,6,(IF(S65&lt;1,1,S65)))))</f>
        <v>4</v>
      </c>
      <c r="N65" s="28">
        <f t="shared" si="150"/>
        <v>0</v>
      </c>
      <c r="O65" s="28">
        <f t="shared" si="134"/>
        <v>10</v>
      </c>
      <c r="P65" s="28"/>
      <c r="Q65" s="27">
        <f>IFERROR((VLOOKUP($BO$1&amp;C6,Teams!D:M,2,0)+AK65+AC65),0)</f>
        <v>5</v>
      </c>
      <c r="R65" s="27">
        <f>IFERROR((VLOOKUP($BO$1&amp;C6,Teams!D:M,3,0)+AL65+AD65),0)</f>
        <v>4</v>
      </c>
      <c r="S65" s="27">
        <f>IFERROR((VLOOKUP($BO$1&amp;C6,Teams!D:M,4,0)+AM65-AE65),0)</f>
        <v>4</v>
      </c>
      <c r="T65" s="27">
        <f>IFERROR((VLOOKUP($BO$1&amp;C6,Teams!D:M,5,0)+AN65-AF65),0)</f>
        <v>0</v>
      </c>
      <c r="U65" s="27">
        <f>IFERROR((VLOOKUP($BO$1&amp;C6,Teams!D:M,6,0)+AO65+AG65),0)</f>
        <v>10</v>
      </c>
      <c r="V65" s="28"/>
      <c r="W65" s="28">
        <f>IFERROR((VLOOKUP($BO$1&amp;C6,Teams!D:M,2,0)),0)</f>
        <v>5</v>
      </c>
      <c r="X65" s="28">
        <f>IFERROR((VLOOKUP($BO$1&amp;C6,Teams!D:M,3,0)),0)</f>
        <v>4</v>
      </c>
      <c r="Y65" s="28">
        <f>IFERROR((VLOOKUP($BO$1&amp;C6,Teams!D:M,4,0)),0)</f>
        <v>4</v>
      </c>
      <c r="Z65" s="28">
        <f>IFERROR((VLOOKUP($BO$1&amp;C6,Teams!D:M,5,0)),0)</f>
        <v>0</v>
      </c>
      <c r="AA65" s="28">
        <f>IFERROR((VLOOKUP($BO$1&amp;C6,Teams!D:M,6,0)),0)</f>
        <v>10</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7"/>
      <c r="CF65" s="253"/>
      <c r="CG65" s="256" t="b">
        <f t="shared" si="115"/>
        <v>0</v>
      </c>
      <c r="CH65" s="256" t="str">
        <f t="shared" si="116"/>
        <v>ST+</v>
      </c>
      <c r="CI65" s="72" t="str">
        <f t="shared" si="117"/>
        <v>ST+</v>
      </c>
      <c r="CJ65" s="72" t="str">
        <f t="shared" si="118"/>
        <v>ST+</v>
      </c>
      <c r="CK65" s="72" t="str">
        <f t="shared" si="119"/>
        <v>ST+</v>
      </c>
      <c r="CL65" s="72" t="str">
        <f t="shared" si="120"/>
        <v>ST+</v>
      </c>
      <c r="CM65" s="72" t="b">
        <f t="shared" si="121"/>
        <v>0</v>
      </c>
      <c r="CN65" s="72" t="str">
        <f t="shared" si="122"/>
        <v>ST+</v>
      </c>
      <c r="CO65" s="72" t="str">
        <f t="shared" si="123"/>
        <v>ST+</v>
      </c>
      <c r="CP65" s="72" t="str">
        <f t="shared" si="124"/>
        <v>ST+</v>
      </c>
      <c r="CQ65" s="72" t="b">
        <f t="shared" si="125"/>
        <v>0</v>
      </c>
      <c r="CR65" s="72" t="str">
        <f t="shared" si="126"/>
        <v>ST+</v>
      </c>
      <c r="CS65" s="72" t="str">
        <f t="shared" si="127"/>
        <v>ST+</v>
      </c>
      <c r="CT65" s="72" t="str">
        <f t="shared" si="128"/>
        <v>ST+</v>
      </c>
      <c r="CU65" s="72" t="str">
        <f t="shared" si="129"/>
        <v>ST+</v>
      </c>
      <c r="CV65" s="72" t="b">
        <f t="shared" si="130"/>
        <v>0</v>
      </c>
      <c r="CW65" s="30"/>
      <c r="CX65" s="30"/>
      <c r="CY65" s="30"/>
      <c r="CZ65" s="28"/>
      <c r="DA65" s="30"/>
      <c r="DB65" s="30"/>
    </row>
    <row r="66" spans="1:106" ht="15" hidden="1" customHeight="1">
      <c r="A66" s="28"/>
      <c r="B66" s="55"/>
      <c r="C66" s="55"/>
      <c r="D66" s="55"/>
      <c r="E66" s="55"/>
      <c r="F66" s="55"/>
      <c r="G66" s="28"/>
      <c r="H66" s="28"/>
      <c r="I66" s="28"/>
      <c r="J66" s="28"/>
      <c r="K66" s="28">
        <f t="shared" si="131"/>
        <v>6</v>
      </c>
      <c r="L66" s="28">
        <f t="shared" si="132"/>
        <v>3</v>
      </c>
      <c r="M66" s="28">
        <f t="shared" ref="M66:N66" si="152">IF(S66=0,0,(IF(S66&gt;6,6,(IF(S66&lt;1,1,S66)))))</f>
        <v>3</v>
      </c>
      <c r="N66" s="28">
        <f t="shared" si="152"/>
        <v>4</v>
      </c>
      <c r="O66" s="28">
        <f t="shared" si="134"/>
        <v>10</v>
      </c>
      <c r="P66" s="28"/>
      <c r="Q66" s="27">
        <f>IFERROR((VLOOKUP($BO$1&amp;C7,Teams!D:M,2,0)+AK66+AC66),0)</f>
        <v>6</v>
      </c>
      <c r="R66" s="27">
        <f>IFERROR((VLOOKUP($BO$1&amp;C7,Teams!D:M,3,0)+AL66+AD66),0)</f>
        <v>3</v>
      </c>
      <c r="S66" s="27">
        <f>IFERROR((VLOOKUP($BO$1&amp;C7,Teams!D:M,4,0)+AM66-AE66),0)</f>
        <v>3</v>
      </c>
      <c r="T66" s="27">
        <f>IFERROR((VLOOKUP($BO$1&amp;C7,Teams!D:M,5,0)+AN66-AF66),0)</f>
        <v>4</v>
      </c>
      <c r="U66" s="27">
        <f>IFERROR((VLOOKUP($BO$1&amp;C7,Teams!D:M,6,0)+AO66+AG66),0)</f>
        <v>10</v>
      </c>
      <c r="V66" s="28"/>
      <c r="W66" s="28">
        <f>IFERROR((VLOOKUP($BO$1&amp;C7,Teams!D:M,2,0)),0)</f>
        <v>6</v>
      </c>
      <c r="X66" s="28">
        <f>IFERROR((VLOOKUP($BO$1&amp;C7,Teams!D:M,3,0)),0)</f>
        <v>3</v>
      </c>
      <c r="Y66" s="28">
        <f>IFERROR((VLOOKUP($BO$1&amp;C7,Teams!D:M,4,0)),0)</f>
        <v>3</v>
      </c>
      <c r="Z66" s="28">
        <f>IFERROR((VLOOKUP($BO$1&amp;C7,Teams!D:M,5,0)),0)</f>
        <v>4</v>
      </c>
      <c r="AA66" s="28">
        <f>IFERROR((VLOOKUP($BO$1&amp;C7,Teams!D:M,6,0)),0)</f>
        <v>10</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0</v>
      </c>
      <c r="BF66" s="30"/>
      <c r="BG66" s="30"/>
      <c r="BH66" s="231" t="s">
        <v>1219</v>
      </c>
      <c r="BI66" s="80">
        <f>IFERROR((IF(COUNTIF($BU$2,"*SylvanianSpotlight*"),150000,0)),0)</f>
        <v>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7"/>
      <c r="CF66" s="253"/>
      <c r="CG66" s="256" t="b">
        <f t="shared" si="115"/>
        <v>0</v>
      </c>
      <c r="CH66" s="256" t="str">
        <f t="shared" si="116"/>
        <v>Block</v>
      </c>
      <c r="CI66" s="72" t="str">
        <f t="shared" si="117"/>
        <v>Block</v>
      </c>
      <c r="CJ66" s="72" t="str">
        <f t="shared" si="118"/>
        <v>Block</v>
      </c>
      <c r="CK66" s="72" t="str">
        <f t="shared" si="119"/>
        <v>Block</v>
      </c>
      <c r="CL66" s="72" t="str">
        <f t="shared" si="120"/>
        <v>Block</v>
      </c>
      <c r="CM66" s="72" t="b">
        <f t="shared" si="121"/>
        <v>0</v>
      </c>
      <c r="CN66" s="72" t="str">
        <f t="shared" si="122"/>
        <v>Block</v>
      </c>
      <c r="CO66" s="72" t="str">
        <f t="shared" si="123"/>
        <v>Block</v>
      </c>
      <c r="CP66" s="72" t="str">
        <f t="shared" si="124"/>
        <v>Block</v>
      </c>
      <c r="CQ66" s="72" t="b">
        <f t="shared" si="125"/>
        <v>0</v>
      </c>
      <c r="CR66" s="72" t="str">
        <f t="shared" si="126"/>
        <v>Block</v>
      </c>
      <c r="CS66" s="72" t="str">
        <f t="shared" si="127"/>
        <v>Block</v>
      </c>
      <c r="CT66" s="72" t="str">
        <f t="shared" si="128"/>
        <v>Block</v>
      </c>
      <c r="CU66" s="72" t="str">
        <f t="shared" si="129"/>
        <v>Block</v>
      </c>
      <c r="CV66" s="72" t="b">
        <f t="shared" si="130"/>
        <v>0</v>
      </c>
      <c r="CW66" s="30"/>
      <c r="CX66" s="30"/>
      <c r="CY66" s="30"/>
      <c r="CZ66" s="28"/>
      <c r="DA66" s="30"/>
      <c r="DB66" s="30"/>
    </row>
    <row r="67" spans="1:106" ht="15" hidden="1" customHeight="1">
      <c r="A67" s="28"/>
      <c r="B67" s="28"/>
      <c r="C67" s="28"/>
      <c r="D67" s="28"/>
      <c r="E67" s="28"/>
      <c r="F67" s="28"/>
      <c r="G67" s="28"/>
      <c r="H67" s="28"/>
      <c r="I67" s="28"/>
      <c r="J67" s="28"/>
      <c r="K67" s="28">
        <f t="shared" si="131"/>
        <v>0</v>
      </c>
      <c r="L67" s="28">
        <f t="shared" si="132"/>
        <v>0</v>
      </c>
      <c r="M67" s="28">
        <f t="shared" ref="M67:N67" si="154">IF(S67=0,0,(IF(S67&gt;6,6,(IF(S67&lt;1,1,S67)))))</f>
        <v>0</v>
      </c>
      <c r="N67" s="28">
        <f t="shared" si="154"/>
        <v>0</v>
      </c>
      <c r="O67" s="28">
        <f t="shared" si="134"/>
        <v>0</v>
      </c>
      <c r="P67" s="28"/>
      <c r="Q67" s="27">
        <f>IFERROR((VLOOKUP($BO$1&amp;C8,Teams!D:M,2,0)+AK67+AC67),0)</f>
        <v>0</v>
      </c>
      <c r="R67" s="27">
        <f>IFERROR((VLOOKUP($BO$1&amp;C8,Teams!D:M,3,0)+AL67+AD67),0)</f>
        <v>0</v>
      </c>
      <c r="S67" s="27">
        <f>IFERROR((VLOOKUP($BO$1&amp;C8,Teams!D:M,4,0)+AM67-AE67),0)</f>
        <v>0</v>
      </c>
      <c r="T67" s="27">
        <f>IFERROR((VLOOKUP($BO$1&amp;C8,Teams!D:M,5,0)+AN67-AF67),0)</f>
        <v>0</v>
      </c>
      <c r="U67" s="27">
        <f>IFERROR((VLOOKUP($BO$1&amp;C8,Teams!D:M,6,0)+AO67+AG67),0)</f>
        <v>0</v>
      </c>
      <c r="V67" s="28"/>
      <c r="W67" s="28">
        <f>IFERROR((VLOOKUP($BO$1&amp;C8,Teams!D:M,2,0)),0)</f>
        <v>0</v>
      </c>
      <c r="X67" s="28">
        <f>IFERROR((VLOOKUP($BO$1&amp;C8,Teams!D:M,3,0)),0)</f>
        <v>0</v>
      </c>
      <c r="Y67" s="28">
        <f>IFERROR((VLOOKUP($BO$1&amp;C8,Teams!D:M,4,0)),0)</f>
        <v>0</v>
      </c>
      <c r="Z67" s="28">
        <f>IFERROR((VLOOKUP($BO$1&amp;C8,Teams!D:M,5,0)),0)</f>
        <v>0</v>
      </c>
      <c r="AA67" s="28">
        <f>IFERROR((VLOOKUP($BO$1&amp;C8,Teams!D:M,6,0)),0)</f>
        <v>0</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80000</v>
      </c>
      <c r="BF67" s="30"/>
      <c r="BG67" s="30"/>
      <c r="BH67" s="79" t="str">
        <f>IF($J$25="Español","BRUJA MALVADA",(IF($J$25="Deutsch","VERRÜCKTE HEXE",(IF($J$25="Français","WICKED WITCH","WICKED WITCH")))))</f>
        <v>WICKED WITCH</v>
      </c>
      <c r="BI67" s="80">
        <f>IFERROR((IF(OR(COUNTIF($BU$2,"*OldWorldClassic*"),COUNTIF($BU$2,"*SylvanianSpotlight*"),COUNTIF($BU$2,"*UnderworldChallenge*")),150000,0)),0)</f>
        <v>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7"/>
      <c r="CF67" s="253"/>
      <c r="CG67" s="256" t="b">
        <f t="shared" si="115"/>
        <v>0</v>
      </c>
      <c r="CH67" s="256" t="str">
        <f t="shared" si="116"/>
        <v>Dauntless</v>
      </c>
      <c r="CI67" s="72" t="str">
        <f t="shared" si="117"/>
        <v>Dauntless</v>
      </c>
      <c r="CJ67" s="72" t="str">
        <f t="shared" si="118"/>
        <v>Dauntless</v>
      </c>
      <c r="CK67" s="72" t="str">
        <f t="shared" si="119"/>
        <v>Dauntless</v>
      </c>
      <c r="CL67" s="72" t="str">
        <f t="shared" si="120"/>
        <v>Dauntless</v>
      </c>
      <c r="CM67" s="72" t="b">
        <f t="shared" si="121"/>
        <v>0</v>
      </c>
      <c r="CN67" s="72" t="str">
        <f t="shared" si="122"/>
        <v>Dauntless</v>
      </c>
      <c r="CO67" s="72" t="str">
        <f t="shared" si="123"/>
        <v>Dauntless</v>
      </c>
      <c r="CP67" s="72" t="str">
        <f t="shared" si="124"/>
        <v>Dauntless</v>
      </c>
      <c r="CQ67" s="72" t="b">
        <f t="shared" si="125"/>
        <v>0</v>
      </c>
      <c r="CR67" s="72" t="str">
        <f t="shared" si="126"/>
        <v>Dauntless</v>
      </c>
      <c r="CS67" s="72" t="str">
        <f t="shared" si="127"/>
        <v>Dauntless</v>
      </c>
      <c r="CT67" s="72" t="str">
        <f t="shared" si="128"/>
        <v>Dauntless</v>
      </c>
      <c r="CU67" s="72" t="str">
        <f t="shared" si="129"/>
        <v>Dauntless</v>
      </c>
      <c r="CV67" s="72" t="b">
        <f t="shared" si="130"/>
        <v>0</v>
      </c>
      <c r="CW67" s="30"/>
      <c r="CX67" s="30"/>
      <c r="CY67" s="30"/>
      <c r="CZ67" s="28"/>
      <c r="DA67" s="30"/>
      <c r="DB67" s="30"/>
    </row>
    <row r="68" spans="1:106" ht="15" hidden="1" customHeight="1">
      <c r="A68" s="28"/>
      <c r="B68" s="55"/>
      <c r="C68" s="55"/>
      <c r="D68" s="55"/>
      <c r="E68" s="55"/>
      <c r="F68" s="55"/>
      <c r="G68" s="28"/>
      <c r="H68" s="28"/>
      <c r="I68" s="28"/>
      <c r="J68" s="28"/>
      <c r="K68" s="28">
        <f t="shared" si="131"/>
        <v>6</v>
      </c>
      <c r="L68" s="28">
        <f t="shared" si="132"/>
        <v>3</v>
      </c>
      <c r="M68" s="28">
        <f t="shared" ref="M68:N68" si="156">IF(S68=0,0,(IF(S68&gt;6,6,(IF(S68&lt;1,1,S68)))))</f>
        <v>3</v>
      </c>
      <c r="N68" s="28">
        <f t="shared" si="156"/>
        <v>4</v>
      </c>
      <c r="O68" s="28">
        <f t="shared" si="134"/>
        <v>10</v>
      </c>
      <c r="P68" s="28"/>
      <c r="Q68" s="27">
        <f>IFERROR((VLOOKUP($BO$1&amp;C9,Teams!D:M,2,0)+AK68+AC68),0)</f>
        <v>6</v>
      </c>
      <c r="R68" s="27">
        <f>IFERROR((VLOOKUP($BO$1&amp;C9,Teams!D:M,3,0)+AL68+AD68),0)</f>
        <v>3</v>
      </c>
      <c r="S68" s="27">
        <f>IFERROR((VLOOKUP($BO$1&amp;C9,Teams!D:M,4,0)+AM68-AE68),0)</f>
        <v>3</v>
      </c>
      <c r="T68" s="27">
        <f>IFERROR((VLOOKUP($BO$1&amp;C9,Teams!D:M,5,0)+AN68-AF68),0)</f>
        <v>4</v>
      </c>
      <c r="U68" s="27">
        <f>IFERROR((VLOOKUP($BO$1&amp;C9,Teams!D:M,6,0)+AO68+AG68),0)</f>
        <v>10</v>
      </c>
      <c r="V68" s="28"/>
      <c r="W68" s="28">
        <f>IFERROR((VLOOKUP($BO$1&amp;C9,Teams!D:M,2,0)),0)</f>
        <v>6</v>
      </c>
      <c r="X68" s="28">
        <f>IFERROR((VLOOKUP($BO$1&amp;C9,Teams!D:M,3,0)),0)</f>
        <v>3</v>
      </c>
      <c r="Y68" s="28">
        <f>IFERROR((VLOOKUP($BO$1&amp;C9,Teams!D:M,4,0)),0)</f>
        <v>3</v>
      </c>
      <c r="Z68" s="28">
        <f>IFERROR((VLOOKUP($BO$1&amp;C9,Teams!D:M,5,0)),0)</f>
        <v>4</v>
      </c>
      <c r="AA68" s="28">
        <f>IFERROR((VLOOKUP($BO$1&amp;C9,Teams!D:M,6,0)),0)</f>
        <v>10</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SI</v>
      </c>
      <c r="BB68" s="28"/>
      <c r="BC68" s="80"/>
      <c r="BD68" s="231" t="s">
        <v>1212</v>
      </c>
      <c r="BE68" s="80">
        <f>IFERROR((IF(OR(COUNTIF($BU$2,"*BadlandsBrawl*"),COUNTIF($BU$2,"*UnderworldChallenge*")),90000,0)),0)</f>
        <v>90000</v>
      </c>
      <c r="BF68" s="30"/>
      <c r="BG68" s="30"/>
      <c r="BH68" s="231" t="s">
        <v>1220</v>
      </c>
      <c r="BI68" s="80">
        <f>IFERROR((IF(OR(COUNTIF($BU$2,"*UnderworldChallenge*")),150000,0)),0)</f>
        <v>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7"/>
      <c r="CF68" s="253"/>
      <c r="CG68" s="256" t="b">
        <f t="shared" si="115"/>
        <v>0</v>
      </c>
      <c r="CH68" s="256" t="str">
        <f t="shared" si="116"/>
        <v>Dirty Player (+1)</v>
      </c>
      <c r="CI68" s="72" t="str">
        <f t="shared" si="117"/>
        <v>Dirty Player (+1)</v>
      </c>
      <c r="CJ68" s="72" t="str">
        <f t="shared" si="118"/>
        <v>Dirty Player (+1)</v>
      </c>
      <c r="CK68" s="72" t="str">
        <f t="shared" si="119"/>
        <v>Dirty Player (+1)</v>
      </c>
      <c r="CL68" s="72" t="str">
        <f t="shared" si="120"/>
        <v>Dirty Player (+1)</v>
      </c>
      <c r="CM68" s="72" t="b">
        <f t="shared" si="121"/>
        <v>0</v>
      </c>
      <c r="CN68" s="72" t="str">
        <f t="shared" si="122"/>
        <v>Dirty Player (+1)</v>
      </c>
      <c r="CO68" s="72" t="str">
        <f t="shared" si="123"/>
        <v>Dirty Player (+1)</v>
      </c>
      <c r="CP68" s="72" t="str">
        <f t="shared" si="124"/>
        <v>Dirty Player (+1)</v>
      </c>
      <c r="CQ68" s="72" t="b">
        <f t="shared" si="125"/>
        <v>0</v>
      </c>
      <c r="CR68" s="72" t="str">
        <f t="shared" si="126"/>
        <v>Dirty Player (+1)</v>
      </c>
      <c r="CS68" s="72" t="str">
        <f t="shared" si="127"/>
        <v>Dirty Player (+1)</v>
      </c>
      <c r="CT68" s="72" t="str">
        <f t="shared" si="128"/>
        <v>Dirty Player (+1)</v>
      </c>
      <c r="CU68" s="72" t="str">
        <f t="shared" si="129"/>
        <v>Dirty Player (+1)</v>
      </c>
      <c r="CV68" s="72" t="b">
        <f t="shared" si="130"/>
        <v>0</v>
      </c>
      <c r="CW68" s="30"/>
      <c r="CX68" s="30"/>
      <c r="CY68" s="30"/>
      <c r="CZ68" s="28"/>
      <c r="DA68" s="30"/>
      <c r="DB68" s="30"/>
    </row>
    <row r="69" spans="1:106" ht="15" hidden="1" customHeight="1">
      <c r="A69" s="28"/>
      <c r="B69" s="55"/>
      <c r="C69" s="55"/>
      <c r="D69" s="55"/>
      <c r="E69" s="55"/>
      <c r="F69" s="55"/>
      <c r="G69" s="28"/>
      <c r="H69" s="28"/>
      <c r="I69" s="28"/>
      <c r="J69" s="28"/>
      <c r="K69" s="28">
        <f t="shared" si="131"/>
        <v>6</v>
      </c>
      <c r="L69" s="28">
        <f t="shared" si="132"/>
        <v>3</v>
      </c>
      <c r="M69" s="28">
        <f t="shared" ref="M69:N69" si="158">IF(S69=0,0,(IF(S69&gt;6,6,(IF(S69&lt;1,1,S69)))))</f>
        <v>3</v>
      </c>
      <c r="N69" s="28">
        <f t="shared" si="158"/>
        <v>4</v>
      </c>
      <c r="O69" s="28">
        <f t="shared" si="134"/>
        <v>10</v>
      </c>
      <c r="P69" s="28"/>
      <c r="Q69" s="27">
        <f>IFERROR((VLOOKUP($BO$1&amp;C10,Teams!D:M,2,0)+AK69+AC69),0)</f>
        <v>6</v>
      </c>
      <c r="R69" s="27">
        <f>IFERROR((VLOOKUP($BO$1&amp;C10,Teams!D:M,3,0)+AL69+AD69),0)</f>
        <v>3</v>
      </c>
      <c r="S69" s="27">
        <f>IFERROR((VLOOKUP($BO$1&amp;C10,Teams!D:M,4,0)+AM69-AE69),0)</f>
        <v>3</v>
      </c>
      <c r="T69" s="27">
        <f>IFERROR((VLOOKUP($BO$1&amp;C10,Teams!D:M,5,0)+AN69-AF69),0)</f>
        <v>4</v>
      </c>
      <c r="U69" s="27">
        <f>IFERROR((VLOOKUP($BO$1&amp;C10,Teams!D:M,6,0)+AO69+AG69),0)</f>
        <v>10</v>
      </c>
      <c r="V69" s="28"/>
      <c r="W69" s="28">
        <f>IFERROR((VLOOKUP($BO$1&amp;C10,Teams!D:M,2,0)),0)</f>
        <v>6</v>
      </c>
      <c r="X69" s="28">
        <f>IFERROR((VLOOKUP($BO$1&amp;C10,Teams!D:M,3,0)),0)</f>
        <v>3</v>
      </c>
      <c r="Y69" s="28">
        <f>IFERROR((VLOOKUP($BO$1&amp;C10,Teams!D:M,4,0)),0)</f>
        <v>3</v>
      </c>
      <c r="Z69" s="28">
        <f>IFERROR((VLOOKUP($BO$1&amp;C10,Teams!D:M,5,0)),0)</f>
        <v>4</v>
      </c>
      <c r="AA69" s="28">
        <f>IFERROR((VLOOKUP($BO$1&amp;C10,Teams!D:M,6,0)),0)</f>
        <v>10</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0</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150000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7"/>
      <c r="CF69" s="253"/>
      <c r="CG69" s="256" t="b">
        <f t="shared" si="115"/>
        <v>0</v>
      </c>
      <c r="CH69" s="256" t="str">
        <f t="shared" si="116"/>
        <v>Fend</v>
      </c>
      <c r="CI69" s="72" t="str">
        <f t="shared" si="117"/>
        <v>Fend</v>
      </c>
      <c r="CJ69" s="72" t="str">
        <f t="shared" si="118"/>
        <v>Fend</v>
      </c>
      <c r="CK69" s="72" t="str">
        <f t="shared" si="119"/>
        <v>Fend</v>
      </c>
      <c r="CL69" s="72" t="str">
        <f t="shared" si="120"/>
        <v>Fend</v>
      </c>
      <c r="CM69" s="72" t="b">
        <f t="shared" si="121"/>
        <v>0</v>
      </c>
      <c r="CN69" s="72" t="str">
        <f t="shared" si="122"/>
        <v>Fend</v>
      </c>
      <c r="CO69" s="72" t="str">
        <f t="shared" si="123"/>
        <v>Fend</v>
      </c>
      <c r="CP69" s="72" t="str">
        <f t="shared" si="124"/>
        <v>Fend</v>
      </c>
      <c r="CQ69" s="72" t="b">
        <f t="shared" si="125"/>
        <v>0</v>
      </c>
      <c r="CR69" s="72" t="str">
        <f t="shared" si="126"/>
        <v>Fend</v>
      </c>
      <c r="CS69" s="72" t="str">
        <f t="shared" si="127"/>
        <v>Fend</v>
      </c>
      <c r="CT69" s="72" t="str">
        <f t="shared" si="128"/>
        <v>Fend</v>
      </c>
      <c r="CU69" s="72" t="str">
        <f t="shared" si="129"/>
        <v>Fend</v>
      </c>
      <c r="CV69" s="72" t="b">
        <f t="shared" si="130"/>
        <v>0</v>
      </c>
      <c r="CW69" s="30"/>
      <c r="CX69" s="30"/>
      <c r="CY69" s="30"/>
      <c r="CZ69" s="28"/>
      <c r="DA69" s="30"/>
      <c r="DB69" s="30"/>
    </row>
    <row r="70" spans="1:106" ht="15" hidden="1" customHeight="1">
      <c r="A70" s="28"/>
      <c r="B70" s="28"/>
      <c r="C70" s="55"/>
      <c r="D70" s="55"/>
      <c r="E70" s="55"/>
      <c r="F70" s="55"/>
      <c r="G70" s="28"/>
      <c r="H70" s="28"/>
      <c r="I70" s="28"/>
      <c r="J70" s="28"/>
      <c r="K70" s="28">
        <f t="shared" si="131"/>
        <v>5</v>
      </c>
      <c r="L70" s="28">
        <f t="shared" si="132"/>
        <v>3</v>
      </c>
      <c r="M70" s="28">
        <f t="shared" ref="M70:N70" si="160">IF(S70=0,0,(IF(S70&gt;6,6,(IF(S70&lt;1,1,S70)))))</f>
        <v>3</v>
      </c>
      <c r="N70" s="28">
        <f t="shared" si="160"/>
        <v>3</v>
      </c>
      <c r="O70" s="28">
        <f t="shared" si="134"/>
        <v>9</v>
      </c>
      <c r="P70" s="28"/>
      <c r="Q70" s="27">
        <f>IFERROR((VLOOKUP($BO$1&amp;C11,Teams!D:M,2,0)+AK70+AC70),0)</f>
        <v>5</v>
      </c>
      <c r="R70" s="27">
        <f>IFERROR((VLOOKUP($BO$1&amp;C11,Teams!D:M,3,0)+AL70+AD70),0)</f>
        <v>3</v>
      </c>
      <c r="S70" s="27">
        <f>IFERROR((VLOOKUP($BO$1&amp;C11,Teams!D:M,4,0)+AM70-AE70),0)</f>
        <v>3</v>
      </c>
      <c r="T70" s="27">
        <f>IFERROR((VLOOKUP($BO$1&amp;C11,Teams!D:M,5,0)+AN70-AF70),0)</f>
        <v>3</v>
      </c>
      <c r="U70" s="27">
        <f>IFERROR((VLOOKUP($BO$1&amp;C11,Teams!D:M,6,0)+AO70+AG70),0)</f>
        <v>9</v>
      </c>
      <c r="V70" s="28"/>
      <c r="W70" s="28">
        <f>IFERROR((VLOOKUP($BO$1&amp;C11,Teams!D:M,2,0)),0)</f>
        <v>5</v>
      </c>
      <c r="X70" s="28">
        <f>IFERROR((VLOOKUP($BO$1&amp;C11,Teams!D:M,3,0)),0)</f>
        <v>3</v>
      </c>
      <c r="Y70" s="28">
        <f>IFERROR((VLOOKUP($BO$1&amp;C11,Teams!D:M,4,0)),0)</f>
        <v>3</v>
      </c>
      <c r="Z70" s="28">
        <f>IFERROR((VLOOKUP($BO$1&amp;C11,Teams!D:M,5,0)),0)</f>
        <v>3</v>
      </c>
      <c r="AA70" s="28">
        <f>IFERROR((VLOOKUP($BO$1&amp;C11,Teams!D:M,6,0)),0)</f>
        <v>9</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150000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7"/>
      <c r="CF70" s="253"/>
      <c r="CG70" s="256" t="b">
        <f t="shared" si="115"/>
        <v>0</v>
      </c>
      <c r="CH70" s="256" t="str">
        <f t="shared" si="116"/>
        <v>Frenzy</v>
      </c>
      <c r="CI70" s="72" t="str">
        <f t="shared" si="117"/>
        <v>Frenzy</v>
      </c>
      <c r="CJ70" s="72" t="str">
        <f t="shared" si="118"/>
        <v>Frenzy</v>
      </c>
      <c r="CK70" s="72" t="str">
        <f t="shared" si="119"/>
        <v>Frenzy</v>
      </c>
      <c r="CL70" s="72" t="str">
        <f t="shared" si="120"/>
        <v>Frenzy</v>
      </c>
      <c r="CM70" s="72" t="b">
        <f t="shared" si="121"/>
        <v>0</v>
      </c>
      <c r="CN70" s="72" t="str">
        <f t="shared" si="122"/>
        <v>Frenzy</v>
      </c>
      <c r="CO70" s="72" t="str">
        <f t="shared" si="123"/>
        <v>Frenzy</v>
      </c>
      <c r="CP70" s="72" t="str">
        <f t="shared" si="124"/>
        <v>Frenzy</v>
      </c>
      <c r="CQ70" s="72" t="b">
        <f t="shared" si="125"/>
        <v>0</v>
      </c>
      <c r="CR70" s="72" t="str">
        <f t="shared" si="126"/>
        <v>Frenzy</v>
      </c>
      <c r="CS70" s="72" t="str">
        <f t="shared" si="127"/>
        <v>Frenzy</v>
      </c>
      <c r="CT70" s="72" t="str">
        <f t="shared" si="128"/>
        <v>Frenzy</v>
      </c>
      <c r="CU70" s="72" t="str">
        <f t="shared" si="129"/>
        <v>Frenzy</v>
      </c>
      <c r="CV70" s="72" t="b">
        <f t="shared" si="130"/>
        <v>0</v>
      </c>
      <c r="CW70" s="30"/>
      <c r="CX70" s="30"/>
      <c r="CY70" s="30"/>
      <c r="CZ70" s="28"/>
      <c r="DA70" s="30"/>
      <c r="DB70" s="30"/>
    </row>
    <row r="71" spans="1:106" ht="15" hidden="1" customHeight="1">
      <c r="A71" s="28"/>
      <c r="B71" s="55"/>
      <c r="C71" s="55"/>
      <c r="D71" s="55"/>
      <c r="E71" s="55"/>
      <c r="F71" s="55"/>
      <c r="G71" s="28"/>
      <c r="H71" s="28"/>
      <c r="I71" s="28"/>
      <c r="J71" s="28"/>
      <c r="K71" s="28">
        <f t="shared" si="131"/>
        <v>0</v>
      </c>
      <c r="L71" s="28">
        <f t="shared" si="132"/>
        <v>0</v>
      </c>
      <c r="M71" s="28">
        <f t="shared" ref="M71:N71" si="162">IF(S71=0,0,(IF(S71&gt;6,6,(IF(S71&lt;1,1,S71)))))</f>
        <v>0</v>
      </c>
      <c r="N71" s="28">
        <f t="shared" si="162"/>
        <v>0</v>
      </c>
      <c r="O71" s="28">
        <f t="shared" si="134"/>
        <v>0</v>
      </c>
      <c r="P71" s="28"/>
      <c r="Q71" s="27">
        <f>IFERROR((VLOOKUP($BO$1&amp;C12,Teams!D:M,2,0)+AK71+AC71),0)</f>
        <v>0</v>
      </c>
      <c r="R71" s="27">
        <f>IFERROR((VLOOKUP($BO$1&amp;C12,Teams!D:M,3,0)+AL71+AD71),0)</f>
        <v>0</v>
      </c>
      <c r="S71" s="27">
        <f>IFERROR((VLOOKUP($BO$1&amp;C12,Teams!D:M,4,0)+AM71-AE71),0)</f>
        <v>0</v>
      </c>
      <c r="T71" s="27">
        <f>IFERROR((VLOOKUP($BO$1&amp;C12,Teams!D:M,5,0)+AN71-AF71),0)</f>
        <v>0</v>
      </c>
      <c r="U71" s="27">
        <f>IFERROR((VLOOKUP($BO$1&amp;C12,Teams!D:M,6,0)+AO71+AG71),0)</f>
        <v>0</v>
      </c>
      <c r="V71" s="28"/>
      <c r="W71" s="28">
        <f>IFERROR((VLOOKUP($BO$1&amp;C12,Teams!D:M,2,0)),0)</f>
        <v>0</v>
      </c>
      <c r="X71" s="28">
        <f>IFERROR((VLOOKUP($BO$1&amp;C12,Teams!D:M,3,0)),0)</f>
        <v>0</v>
      </c>
      <c r="Y71" s="28">
        <f>IFERROR((VLOOKUP($BO$1&amp;C12,Teams!D:M,4,0)),0)</f>
        <v>0</v>
      </c>
      <c r="Z71" s="28">
        <f>IFERROR((VLOOKUP($BO$1&amp;C12,Teams!D:M,5,0)),0)</f>
        <v>0</v>
      </c>
      <c r="AA71" s="28">
        <f>IFERROR((VLOOKUP($BO$1&amp;C12,Teams!D:M,6,0)),0)</f>
        <v>0</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7"/>
      <c r="CF71" s="253"/>
      <c r="CG71" s="256" t="b">
        <f t="shared" si="115"/>
        <v>0</v>
      </c>
      <c r="CH71" s="256" t="str">
        <f t="shared" si="116"/>
        <v>Kick</v>
      </c>
      <c r="CI71" s="72" t="str">
        <f t="shared" si="117"/>
        <v>Kick</v>
      </c>
      <c r="CJ71" s="72" t="str">
        <f t="shared" si="118"/>
        <v>Kick</v>
      </c>
      <c r="CK71" s="72" t="str">
        <f t="shared" si="119"/>
        <v>Kick</v>
      </c>
      <c r="CL71" s="72" t="str">
        <f t="shared" si="120"/>
        <v>Kick</v>
      </c>
      <c r="CM71" s="72" t="b">
        <f t="shared" si="121"/>
        <v>0</v>
      </c>
      <c r="CN71" s="72" t="str">
        <f t="shared" si="122"/>
        <v>Kick</v>
      </c>
      <c r="CO71" s="72" t="str">
        <f t="shared" si="123"/>
        <v>Kick</v>
      </c>
      <c r="CP71" s="72" t="str">
        <f t="shared" si="124"/>
        <v>Kick</v>
      </c>
      <c r="CQ71" s="72" t="b">
        <f t="shared" si="125"/>
        <v>0</v>
      </c>
      <c r="CR71" s="72" t="str">
        <f t="shared" si="126"/>
        <v>Kick</v>
      </c>
      <c r="CS71" s="72" t="str">
        <f t="shared" si="127"/>
        <v>Kick</v>
      </c>
      <c r="CT71" s="72" t="str">
        <f t="shared" si="128"/>
        <v>Kick</v>
      </c>
      <c r="CU71" s="72" t="str">
        <f t="shared" si="129"/>
        <v>Kick</v>
      </c>
      <c r="CV71" s="72" t="b">
        <f t="shared" si="130"/>
        <v>0</v>
      </c>
      <c r="CW71" s="30"/>
      <c r="CX71" s="30"/>
      <c r="CY71" s="30"/>
      <c r="CZ71" s="28"/>
      <c r="DA71" s="30"/>
      <c r="DB71" s="30"/>
    </row>
    <row r="72" spans="1:106" ht="15" hidden="1" customHeight="1">
      <c r="A72" s="28"/>
      <c r="B72" s="84"/>
      <c r="C72" s="84"/>
      <c r="D72" s="84"/>
      <c r="E72" s="84"/>
      <c r="F72" s="84"/>
      <c r="G72" s="28"/>
      <c r="H72" s="28"/>
      <c r="I72" s="28"/>
      <c r="J72" s="28"/>
      <c r="K72" s="28">
        <f t="shared" si="131"/>
        <v>4</v>
      </c>
      <c r="L72" s="28">
        <f t="shared" si="132"/>
        <v>5</v>
      </c>
      <c r="M72" s="28">
        <f t="shared" ref="M72:N72" si="164">IF(S72=0,0,(IF(S72&gt;6,6,(IF(S72&lt;1,1,S72)))))</f>
        <v>5</v>
      </c>
      <c r="N72" s="28">
        <f t="shared" si="164"/>
        <v>5</v>
      </c>
      <c r="O72" s="28">
        <f t="shared" si="134"/>
        <v>10</v>
      </c>
      <c r="P72" s="28"/>
      <c r="Q72" s="27">
        <f>IFERROR((VLOOKUP($BO$1&amp;C13,Teams!D:M,2,0)+AK72+AC72),0)</f>
        <v>4</v>
      </c>
      <c r="R72" s="27">
        <f>IFERROR((VLOOKUP($BO$1&amp;C13,Teams!D:M,3,0)+AL72+AD72),0)</f>
        <v>5</v>
      </c>
      <c r="S72" s="27">
        <f>IFERROR((VLOOKUP($BO$1&amp;C13,Teams!D:M,4,0)+AM72-AE72),0)</f>
        <v>5</v>
      </c>
      <c r="T72" s="27">
        <f>IFERROR((VLOOKUP($BO$1&amp;C13,Teams!D:M,5,0)+AN72-AF72),0)</f>
        <v>5</v>
      </c>
      <c r="U72" s="27">
        <f>IFERROR((VLOOKUP($BO$1&amp;C13,Teams!D:M,6,0)+AO72+AG72),0)</f>
        <v>10</v>
      </c>
      <c r="V72" s="28"/>
      <c r="W72" s="28">
        <f>IFERROR((VLOOKUP($BO$1&amp;C13,Teams!D:M,2,0)),0)</f>
        <v>4</v>
      </c>
      <c r="X72" s="28">
        <f>IFERROR((VLOOKUP($BO$1&amp;C13,Teams!D:M,3,0)),0)</f>
        <v>5</v>
      </c>
      <c r="Y72" s="28">
        <f>IFERROR((VLOOKUP($BO$1&amp;C13,Teams!D:M,4,0)),0)</f>
        <v>5</v>
      </c>
      <c r="Z72" s="28">
        <f>IFERROR((VLOOKUP($BO$1&amp;C13,Teams!D:M,5,0)),0)</f>
        <v>5</v>
      </c>
      <c r="AA72" s="28">
        <f>IFERROR((VLOOKUP($BO$1&amp;C13,Teams!D:M,6,0)),0)</f>
        <v>10</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1</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7"/>
      <c r="CF72" s="253"/>
      <c r="CG72" s="256" t="b">
        <f t="shared" si="115"/>
        <v>0</v>
      </c>
      <c r="CH72" s="256" t="str">
        <f t="shared" si="116"/>
        <v>Pro</v>
      </c>
      <c r="CI72" s="72" t="str">
        <f t="shared" si="117"/>
        <v>Pro</v>
      </c>
      <c r="CJ72" s="72" t="str">
        <f t="shared" si="118"/>
        <v>Pro</v>
      </c>
      <c r="CK72" s="72" t="str">
        <f t="shared" si="119"/>
        <v>Pro</v>
      </c>
      <c r="CL72" s="72" t="str">
        <f t="shared" si="120"/>
        <v>Pro</v>
      </c>
      <c r="CM72" s="72" t="b">
        <f t="shared" si="121"/>
        <v>0</v>
      </c>
      <c r="CN72" s="72" t="str">
        <f t="shared" si="122"/>
        <v>Pro</v>
      </c>
      <c r="CO72" s="72" t="str">
        <f t="shared" si="123"/>
        <v>Pro</v>
      </c>
      <c r="CP72" s="72" t="str">
        <f t="shared" si="124"/>
        <v>Pro</v>
      </c>
      <c r="CQ72" s="72" t="b">
        <f t="shared" si="125"/>
        <v>0</v>
      </c>
      <c r="CR72" s="72" t="str">
        <f t="shared" si="126"/>
        <v>Pro</v>
      </c>
      <c r="CS72" s="72" t="str">
        <f t="shared" si="127"/>
        <v>Pro</v>
      </c>
      <c r="CT72" s="72" t="str">
        <f t="shared" si="128"/>
        <v>Pro</v>
      </c>
      <c r="CU72" s="72" t="str">
        <f t="shared" si="129"/>
        <v>Pro</v>
      </c>
      <c r="CV72" s="72" t="b">
        <f t="shared" si="130"/>
        <v>0</v>
      </c>
      <c r="CW72" s="30"/>
      <c r="CX72" s="30"/>
      <c r="CY72" s="30"/>
      <c r="CZ72" s="28"/>
      <c r="DA72" s="30"/>
      <c r="DB72" s="30"/>
    </row>
    <row r="73" spans="1:106" ht="15" hidden="1" customHeight="1">
      <c r="A73" s="28"/>
      <c r="B73" s="55"/>
      <c r="C73" s="55"/>
      <c r="D73" s="55"/>
      <c r="E73" s="55"/>
      <c r="F73" s="55"/>
      <c r="G73" s="28"/>
      <c r="H73" s="28"/>
      <c r="I73" s="28"/>
      <c r="J73" s="28"/>
      <c r="K73" s="28">
        <f t="shared" si="131"/>
        <v>6</v>
      </c>
      <c r="L73" s="28">
        <f t="shared" si="132"/>
        <v>2</v>
      </c>
      <c r="M73" s="28">
        <f t="shared" ref="M73:N73" si="166">IF(S73=0,0,(IF(S73&gt;6,6,(IF(S73&lt;1,1,S73)))))</f>
        <v>3</v>
      </c>
      <c r="N73" s="28">
        <f t="shared" si="166"/>
        <v>4</v>
      </c>
      <c r="O73" s="28">
        <f t="shared" si="134"/>
        <v>8</v>
      </c>
      <c r="P73" s="28"/>
      <c r="Q73" s="27">
        <f>IFERROR((VLOOKUP($BO$1&amp;C14,Teams!D:M,2,0)+AK73+AC73),0)</f>
        <v>6</v>
      </c>
      <c r="R73" s="27">
        <f>IFERROR((VLOOKUP($BO$1&amp;C14,Teams!D:M,3,0)+AL73+AD73),0)</f>
        <v>2</v>
      </c>
      <c r="S73" s="27">
        <f>IFERROR((VLOOKUP($BO$1&amp;C14,Teams!D:M,4,0)+AM73-AE73),0)</f>
        <v>3</v>
      </c>
      <c r="T73" s="27">
        <f>IFERROR((VLOOKUP($BO$1&amp;C14,Teams!D:M,5,0)+AN73-AF73),0)</f>
        <v>4</v>
      </c>
      <c r="U73" s="27">
        <f>IFERROR((VLOOKUP($BO$1&amp;C14,Teams!D:M,6,0)+AO73+AG73),0)</f>
        <v>8</v>
      </c>
      <c r="V73" s="28"/>
      <c r="W73" s="28">
        <f>IFERROR((VLOOKUP($BO$1&amp;C14,Teams!D:M,2,0)),0)</f>
        <v>6</v>
      </c>
      <c r="X73" s="28">
        <f>IFERROR((VLOOKUP($BO$1&amp;C14,Teams!D:M,3,0)),0)</f>
        <v>2</v>
      </c>
      <c r="Y73" s="28">
        <f>IFERROR((VLOOKUP($BO$1&amp;C14,Teams!D:M,4,0)),0)</f>
        <v>3</v>
      </c>
      <c r="Z73" s="28">
        <f>IFERROR((VLOOKUP($BO$1&amp;C14,Teams!D:M,5,0)),0)</f>
        <v>4</v>
      </c>
      <c r="AA73" s="28">
        <f>IFERROR((VLOOKUP($BO$1&amp;C14,Teams!D:M,6,0)),0)</f>
        <v>8</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7"/>
      <c r="CF73" s="253"/>
      <c r="CG73" s="256" t="b">
        <f t="shared" si="115"/>
        <v>0</v>
      </c>
      <c r="CH73" s="256" t="str">
        <f t="shared" si="116"/>
        <v>Shadowing</v>
      </c>
      <c r="CI73" s="72" t="str">
        <f t="shared" si="117"/>
        <v>Shadowing</v>
      </c>
      <c r="CJ73" s="72" t="str">
        <f t="shared" si="118"/>
        <v>Shadowing</v>
      </c>
      <c r="CK73" s="72" t="str">
        <f t="shared" si="119"/>
        <v>Shadowing</v>
      </c>
      <c r="CL73" s="72" t="str">
        <f t="shared" si="120"/>
        <v>Shadowing</v>
      </c>
      <c r="CM73" s="72" t="b">
        <f t="shared" si="121"/>
        <v>0</v>
      </c>
      <c r="CN73" s="72" t="str">
        <f t="shared" si="122"/>
        <v>Shadowing</v>
      </c>
      <c r="CO73" s="72" t="str">
        <f t="shared" si="123"/>
        <v>Shadowing</v>
      </c>
      <c r="CP73" s="72" t="str">
        <f t="shared" si="124"/>
        <v>Shadowing</v>
      </c>
      <c r="CQ73" s="72" t="b">
        <f t="shared" si="125"/>
        <v>0</v>
      </c>
      <c r="CR73" s="72" t="str">
        <f t="shared" si="126"/>
        <v>Shadowing</v>
      </c>
      <c r="CS73" s="72" t="str">
        <f t="shared" si="127"/>
        <v>Shadowing</v>
      </c>
      <c r="CT73" s="72" t="str">
        <f t="shared" si="128"/>
        <v>Shadowing</v>
      </c>
      <c r="CU73" s="72" t="str">
        <f t="shared" si="129"/>
        <v>Shadowing</v>
      </c>
      <c r="CV73" s="72" t="b">
        <f t="shared" si="130"/>
        <v>0</v>
      </c>
      <c r="CW73" s="30"/>
      <c r="CX73" s="30"/>
      <c r="CY73" s="30"/>
      <c r="CZ73" s="28"/>
      <c r="DA73" s="30"/>
      <c r="DB73" s="30"/>
    </row>
    <row r="74" spans="1:106" ht="15" hidden="1" customHeight="1">
      <c r="A74" s="28"/>
      <c r="B74" s="28"/>
      <c r="C74" s="28"/>
      <c r="D74" s="28"/>
      <c r="E74" s="28"/>
      <c r="F74" s="28"/>
      <c r="G74" s="28"/>
      <c r="H74" s="28"/>
      <c r="I74" s="28"/>
      <c r="J74" s="28"/>
      <c r="K74" s="28">
        <f t="shared" si="131"/>
        <v>5</v>
      </c>
      <c r="L74" s="28">
        <f t="shared" si="132"/>
        <v>3</v>
      </c>
      <c r="M74" s="28">
        <f t="shared" ref="M74:N74" si="168">IF(S74=0,0,(IF(S74&gt;6,6,(IF(S74&lt;1,1,S74)))))</f>
        <v>3</v>
      </c>
      <c r="N74" s="28">
        <f t="shared" si="168"/>
        <v>4</v>
      </c>
      <c r="O74" s="28">
        <f t="shared" si="134"/>
        <v>10</v>
      </c>
      <c r="P74" s="28"/>
      <c r="Q74" s="27">
        <f>IFERROR((VLOOKUP($BO$1&amp;C15,Teams!D:M,2,0)+AK74+AC74),0)</f>
        <v>5</v>
      </c>
      <c r="R74" s="27">
        <f>IFERROR((VLOOKUP($BO$1&amp;C15,Teams!D:M,3,0)+AL74+AD74),0)</f>
        <v>3</v>
      </c>
      <c r="S74" s="27">
        <f>IFERROR((VLOOKUP($BO$1&amp;C15,Teams!D:M,4,0)+AM74-AE74),0)</f>
        <v>3</v>
      </c>
      <c r="T74" s="27">
        <f>IFERROR((VLOOKUP($BO$1&amp;C15,Teams!D:M,5,0)+AN74-AF74),0)</f>
        <v>4</v>
      </c>
      <c r="U74" s="27">
        <f>IFERROR((VLOOKUP($BO$1&amp;C15,Teams!D:M,6,0)+AO74+AG74),0)</f>
        <v>10</v>
      </c>
      <c r="V74" s="28"/>
      <c r="W74" s="28">
        <f>IFERROR((VLOOKUP($BO$1&amp;C15,Teams!D:M,2,0)),0)</f>
        <v>5</v>
      </c>
      <c r="X74" s="28">
        <f>IFERROR((VLOOKUP($BO$1&amp;C15,Teams!D:M,3,0)),0)</f>
        <v>3</v>
      </c>
      <c r="Y74" s="28">
        <f>IFERROR((VLOOKUP($BO$1&amp;C15,Teams!D:M,4,0)),0)</f>
        <v>3</v>
      </c>
      <c r="Z74" s="28">
        <f>IFERROR((VLOOKUP($BO$1&amp;C15,Teams!D:M,5,0)),0)</f>
        <v>4</v>
      </c>
      <c r="AA74" s="28">
        <f>IFERROR((VLOOKUP($BO$1&amp;C15,Teams!D:M,6,0)),0)</f>
        <v>10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1</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7"/>
      <c r="CF74" s="253"/>
      <c r="CG74" s="256" t="b">
        <f t="shared" si="115"/>
        <v>0</v>
      </c>
      <c r="CH74" s="256" t="str">
        <f t="shared" si="116"/>
        <v>Strip Ball</v>
      </c>
      <c r="CI74" s="72" t="str">
        <f t="shared" si="117"/>
        <v>Strip Ball</v>
      </c>
      <c r="CJ74" s="72" t="str">
        <f t="shared" si="118"/>
        <v>Strip Ball</v>
      </c>
      <c r="CK74" s="72" t="str">
        <f t="shared" si="119"/>
        <v>Strip Ball</v>
      </c>
      <c r="CL74" s="72" t="str">
        <f t="shared" si="120"/>
        <v>Strip Ball</v>
      </c>
      <c r="CM74" s="72" t="b">
        <f t="shared" si="121"/>
        <v>0</v>
      </c>
      <c r="CN74" s="72" t="str">
        <f t="shared" si="122"/>
        <v>Strip Ball</v>
      </c>
      <c r="CO74" s="72" t="str">
        <f t="shared" si="123"/>
        <v>Strip Ball</v>
      </c>
      <c r="CP74" s="72" t="str">
        <f t="shared" si="124"/>
        <v>Strip Ball</v>
      </c>
      <c r="CQ74" s="72" t="b">
        <f t="shared" si="125"/>
        <v>0</v>
      </c>
      <c r="CR74" s="72" t="str">
        <f t="shared" si="126"/>
        <v>Strip Ball</v>
      </c>
      <c r="CS74" s="72" t="str">
        <f t="shared" si="127"/>
        <v>Strip Ball</v>
      </c>
      <c r="CT74" s="72" t="str">
        <f t="shared" si="128"/>
        <v>Strip Ball</v>
      </c>
      <c r="CU74" s="72" t="str">
        <f t="shared" si="129"/>
        <v>Strip Ball</v>
      </c>
      <c r="CV74" s="72" t="b">
        <f t="shared" si="130"/>
        <v>0</v>
      </c>
      <c r="CW74" s="30"/>
      <c r="CX74" s="30"/>
      <c r="CY74" s="30"/>
      <c r="CZ74" s="28"/>
      <c r="DA74" s="30"/>
      <c r="DB74" s="30"/>
    </row>
    <row r="75" spans="1:106" ht="15" hidden="1" customHeight="1">
      <c r="A75" s="28"/>
      <c r="B75" s="28"/>
      <c r="C75" s="28"/>
      <c r="D75" s="28"/>
      <c r="E75" s="28"/>
      <c r="F75" s="28"/>
      <c r="G75" s="28"/>
      <c r="H75" s="28"/>
      <c r="I75" s="28"/>
      <c r="J75" s="28"/>
      <c r="K75" s="28">
        <f t="shared" si="131"/>
        <v>5</v>
      </c>
      <c r="L75" s="28">
        <f t="shared" si="132"/>
        <v>3</v>
      </c>
      <c r="M75" s="28">
        <f t="shared" ref="M75:N75" si="170">IF(S75=0,0,(IF(S75&gt;6,6,(IF(S75&lt;1,1,S75)))))</f>
        <v>3</v>
      </c>
      <c r="N75" s="28">
        <f t="shared" si="170"/>
        <v>4</v>
      </c>
      <c r="O75" s="28">
        <f t="shared" si="134"/>
        <v>10</v>
      </c>
      <c r="P75" s="28"/>
      <c r="Q75" s="27">
        <f>IFERROR((VLOOKUP($BO$1&amp;C16,Teams!D:M,2,0)+AK75+AC75),0)</f>
        <v>5</v>
      </c>
      <c r="R75" s="27">
        <f>IFERROR((VLOOKUP($BO$1&amp;C16,Teams!D:M,3,0)+AL75+AD75),0)</f>
        <v>3</v>
      </c>
      <c r="S75" s="27">
        <f>IFERROR((VLOOKUP($BO$1&amp;C16,Teams!D:M,4,0)+AM75-AE75),0)</f>
        <v>3</v>
      </c>
      <c r="T75" s="27">
        <f>IFERROR((VLOOKUP($BO$1&amp;C16,Teams!D:M,5,0)+AN75-AF75),0)</f>
        <v>4</v>
      </c>
      <c r="U75" s="27">
        <f>IFERROR((VLOOKUP($BO$1&amp;C16,Teams!D:M,6,0)+AO75+AG75),0)</f>
        <v>10</v>
      </c>
      <c r="V75" s="28"/>
      <c r="W75" s="28">
        <f>IFERROR((VLOOKUP($BO$1&amp;C16,Teams!D:M,2,0)),0)</f>
        <v>5</v>
      </c>
      <c r="X75" s="28">
        <f>IFERROR((VLOOKUP($BO$1&amp;C16,Teams!D:M,3,0)),0)</f>
        <v>3</v>
      </c>
      <c r="Y75" s="28">
        <f>IFERROR((VLOOKUP($BO$1&amp;C16,Teams!D:M,4,0)),0)</f>
        <v>3</v>
      </c>
      <c r="Z75" s="28">
        <f>IFERROR((VLOOKUP($BO$1&amp;C16,Teams!D:M,5,0)),0)</f>
        <v>4</v>
      </c>
      <c r="AA75" s="28">
        <f>IFERROR((VLOOKUP($BO$1&amp;C16,Teams!D:M,6,0)),0)</f>
        <v>10</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7"/>
      <c r="CF75" s="253"/>
      <c r="CG75" s="256" t="b">
        <f t="shared" si="115"/>
        <v>0</v>
      </c>
      <c r="CH75" s="256" t="str">
        <f t="shared" si="116"/>
        <v>Sure Hands</v>
      </c>
      <c r="CI75" s="72" t="str">
        <f t="shared" si="117"/>
        <v>Sure Hands</v>
      </c>
      <c r="CJ75" s="72" t="str">
        <f t="shared" si="118"/>
        <v>Sure Hands</v>
      </c>
      <c r="CK75" s="72" t="str">
        <f t="shared" si="119"/>
        <v>Sure Hands</v>
      </c>
      <c r="CL75" s="72" t="str">
        <f t="shared" si="120"/>
        <v>Sure Hands</v>
      </c>
      <c r="CM75" s="72" t="b">
        <f t="shared" si="121"/>
        <v>0</v>
      </c>
      <c r="CN75" s="72" t="str">
        <f t="shared" si="122"/>
        <v>Sure Hands</v>
      </c>
      <c r="CO75" s="72" t="str">
        <f t="shared" si="123"/>
        <v>Sure Hands</v>
      </c>
      <c r="CP75" s="72" t="str">
        <f t="shared" si="124"/>
        <v>Sure Hands</v>
      </c>
      <c r="CQ75" s="72" t="b">
        <f t="shared" si="125"/>
        <v>0</v>
      </c>
      <c r="CR75" s="72" t="str">
        <f t="shared" si="126"/>
        <v>Sure Hands</v>
      </c>
      <c r="CS75" s="72" t="str">
        <f t="shared" si="127"/>
        <v>Sure Hands</v>
      </c>
      <c r="CT75" s="72" t="str">
        <f t="shared" si="128"/>
        <v>Sure Hands</v>
      </c>
      <c r="CU75" s="72" t="str">
        <f t="shared" si="129"/>
        <v>Sure Hands</v>
      </c>
      <c r="CV75" s="72" t="b">
        <f t="shared" si="130"/>
        <v>0</v>
      </c>
      <c r="CW75" s="30"/>
      <c r="CX75" s="30"/>
      <c r="CY75" s="30"/>
      <c r="CZ75" s="28"/>
      <c r="DA75" s="30"/>
      <c r="DB75" s="30"/>
    </row>
    <row r="76" spans="1:106" ht="15" hidden="1" customHeight="1">
      <c r="A76" s="28"/>
      <c r="B76" s="28"/>
      <c r="C76" s="28"/>
      <c r="D76" s="28"/>
      <c r="E76" s="28"/>
      <c r="F76" s="28"/>
      <c r="G76" s="28"/>
      <c r="H76" s="28"/>
      <c r="I76" s="28"/>
      <c r="J76" s="28"/>
      <c r="K76" s="28">
        <f t="shared" si="131"/>
        <v>0</v>
      </c>
      <c r="L76" s="28">
        <f t="shared" si="132"/>
        <v>0</v>
      </c>
      <c r="M76" s="28">
        <f t="shared" ref="M76:N76" si="172">IF(S76=0,0,(IF(S76&gt;6,6,(IF(S76&lt;1,1,S76)))))</f>
        <v>0</v>
      </c>
      <c r="N76" s="28">
        <f t="shared" si="172"/>
        <v>0</v>
      </c>
      <c r="O76" s="28">
        <f t="shared" si="134"/>
        <v>0</v>
      </c>
      <c r="P76" s="28"/>
      <c r="Q76" s="27">
        <f>IFERROR((VLOOKUP($BO$1&amp;C17,Teams!D:M,2,0)+AK76+AC76),0)</f>
        <v>0</v>
      </c>
      <c r="R76" s="27">
        <f>IFERROR((VLOOKUP($BO$1&amp;C17,Teams!D:M,3,0)+AL76+AD76),0)</f>
        <v>0</v>
      </c>
      <c r="S76" s="27">
        <f>IFERROR((VLOOKUP($BO$1&amp;C17,Teams!D:M,4,0)+AM76-AE76),0)</f>
        <v>0</v>
      </c>
      <c r="T76" s="27">
        <f>IFERROR((VLOOKUP($BO$1&amp;C17,Teams!D:M,5,0)+AN76-AF76),0)</f>
        <v>0</v>
      </c>
      <c r="U76" s="27">
        <f>IFERROR((VLOOKUP($BO$1&amp;C17,Teams!D:M,6,0)+AO76+AG76),0)</f>
        <v>0</v>
      </c>
      <c r="V76" s="28"/>
      <c r="W76" s="28">
        <f>IFERROR((VLOOKUP($BO$1&amp;C17,Teams!D:M,2,0)),0)</f>
        <v>0</v>
      </c>
      <c r="X76" s="28">
        <f>IFERROR((VLOOKUP($BO$1&amp;C17,Teams!D:M,3,0)),0)</f>
        <v>0</v>
      </c>
      <c r="Y76" s="28">
        <f>IFERROR((VLOOKUP($BO$1&amp;C17,Teams!D:M,4,0)),0)</f>
        <v>0</v>
      </c>
      <c r="Z76" s="28">
        <f>IFERROR((VLOOKUP($BO$1&amp;C17,Teams!D:M,5,0)),0)</f>
        <v>0</v>
      </c>
      <c r="AA76" s="28">
        <f>IFERROR((VLOOKUP($BO$1&amp;C17,Teams!D:M,6,0)),0)</f>
        <v>0</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0</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3"/>
      <c r="CF76" s="253"/>
      <c r="CG76" s="256" t="b">
        <f t="shared" si="115"/>
        <v>0</v>
      </c>
      <c r="CH76" s="256" t="str">
        <f t="shared" si="116"/>
        <v>Tackle</v>
      </c>
      <c r="CI76" s="72" t="str">
        <f t="shared" si="117"/>
        <v>Tackle</v>
      </c>
      <c r="CJ76" s="72" t="str">
        <f t="shared" si="118"/>
        <v>Tackle</v>
      </c>
      <c r="CK76" s="72" t="str">
        <f t="shared" si="119"/>
        <v>Tackle</v>
      </c>
      <c r="CL76" s="72" t="str">
        <f t="shared" si="120"/>
        <v>Tackle</v>
      </c>
      <c r="CM76" s="72" t="b">
        <f t="shared" si="121"/>
        <v>0</v>
      </c>
      <c r="CN76" s="72" t="str">
        <f t="shared" si="122"/>
        <v>Tackle</v>
      </c>
      <c r="CO76" s="72" t="str">
        <f t="shared" si="123"/>
        <v>Tackle</v>
      </c>
      <c r="CP76" s="72" t="str">
        <f t="shared" si="124"/>
        <v>Tackle</v>
      </c>
      <c r="CQ76" s="72" t="b">
        <f t="shared" si="125"/>
        <v>0</v>
      </c>
      <c r="CR76" s="72" t="str">
        <f t="shared" si="126"/>
        <v>Tackle</v>
      </c>
      <c r="CS76" s="72" t="str">
        <f t="shared" si="127"/>
        <v>Tackle</v>
      </c>
      <c r="CT76" s="72" t="str">
        <f t="shared" si="128"/>
        <v>Tackle</v>
      </c>
      <c r="CU76" s="72" t="str">
        <f t="shared" si="129"/>
        <v>Tackle</v>
      </c>
      <c r="CV76" s="72" t="b">
        <f t="shared" si="130"/>
        <v>0</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7"/>
      <c r="CF77" s="253"/>
      <c r="CG77" s="256" t="b">
        <f t="shared" si="115"/>
        <v>0</v>
      </c>
      <c r="CH77" s="256" t="str">
        <f t="shared" si="116"/>
        <v>Wrestle</v>
      </c>
      <c r="CI77" s="72" t="str">
        <f t="shared" si="117"/>
        <v>Wrestle</v>
      </c>
      <c r="CJ77" s="72" t="str">
        <f t="shared" si="118"/>
        <v>Wrestle</v>
      </c>
      <c r="CK77" s="72" t="str">
        <f t="shared" si="119"/>
        <v>Wrestle</v>
      </c>
      <c r="CL77" s="72" t="str">
        <f t="shared" si="120"/>
        <v>Wrestle</v>
      </c>
      <c r="CM77" s="72" t="b">
        <f t="shared" si="121"/>
        <v>0</v>
      </c>
      <c r="CN77" s="72" t="str">
        <f t="shared" si="122"/>
        <v>Wrestle</v>
      </c>
      <c r="CO77" s="72" t="str">
        <f t="shared" si="123"/>
        <v>Wrestle</v>
      </c>
      <c r="CP77" s="72" t="str">
        <f t="shared" si="124"/>
        <v>Wrestle</v>
      </c>
      <c r="CQ77" s="72" t="b">
        <f t="shared" si="125"/>
        <v>0</v>
      </c>
      <c r="CR77" s="72" t="str">
        <f t="shared" si="126"/>
        <v>Wrestle</v>
      </c>
      <c r="CS77" s="72" t="str">
        <f t="shared" si="127"/>
        <v>Wrestle</v>
      </c>
      <c r="CT77" s="72" t="str">
        <f t="shared" si="128"/>
        <v>Wrestle</v>
      </c>
      <c r="CU77" s="72" t="str">
        <f t="shared" si="129"/>
        <v>Wrestle</v>
      </c>
      <c r="CV77" s="72" t="b">
        <f t="shared" si="130"/>
        <v>0</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160000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7"/>
      <c r="CF78" s="253"/>
      <c r="CG78" s="256" t="b">
        <f t="shared" si="115"/>
        <v>0</v>
      </c>
      <c r="CH78" s="256" t="str">
        <f t="shared" si="116"/>
        <v>Catch</v>
      </c>
      <c r="CI78" s="72" t="str">
        <f t="shared" si="117"/>
        <v>Catch</v>
      </c>
      <c r="CJ78" s="72" t="str">
        <f t="shared" si="118"/>
        <v>Catch</v>
      </c>
      <c r="CK78" s="72" t="str">
        <f t="shared" si="119"/>
        <v>Catch</v>
      </c>
      <c r="CL78" s="72" t="str">
        <f t="shared" si="120"/>
        <v>Catch</v>
      </c>
      <c r="CM78" s="72" t="b">
        <f t="shared" si="121"/>
        <v>0</v>
      </c>
      <c r="CN78" s="72" t="str">
        <f t="shared" si="122"/>
        <v>Catch</v>
      </c>
      <c r="CO78" s="72" t="str">
        <f t="shared" si="123"/>
        <v>Catch</v>
      </c>
      <c r="CP78" s="72" t="str">
        <f t="shared" si="124"/>
        <v>Catch</v>
      </c>
      <c r="CQ78" s="72" t="b">
        <f t="shared" si="125"/>
        <v>0</v>
      </c>
      <c r="CR78" s="72" t="str">
        <f t="shared" si="126"/>
        <v>Catch</v>
      </c>
      <c r="CS78" s="72" t="str">
        <f t="shared" si="127"/>
        <v>Catch</v>
      </c>
      <c r="CT78" s="72" t="str">
        <f t="shared" si="128"/>
        <v>Catch</v>
      </c>
      <c r="CU78" s="72" t="str">
        <f t="shared" si="129"/>
        <v>Catch</v>
      </c>
      <c r="CV78" s="72" t="b">
        <f t="shared" si="130"/>
        <v>0</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7"/>
      <c r="CF79" s="253"/>
      <c r="CG79" s="256" t="b">
        <f t="shared" si="115"/>
        <v>0</v>
      </c>
      <c r="CH79" s="256" t="str">
        <f t="shared" si="116"/>
        <v>Diving Catch</v>
      </c>
      <c r="CI79" s="72" t="str">
        <f t="shared" si="117"/>
        <v>Diving Catch</v>
      </c>
      <c r="CJ79" s="72" t="str">
        <f t="shared" si="118"/>
        <v>Diving Catch</v>
      </c>
      <c r="CK79" s="72" t="str">
        <f t="shared" si="119"/>
        <v>Diving Catch</v>
      </c>
      <c r="CL79" s="72" t="str">
        <f t="shared" si="120"/>
        <v>Diving Catch</v>
      </c>
      <c r="CM79" s="72" t="b">
        <f t="shared" si="121"/>
        <v>0</v>
      </c>
      <c r="CN79" s="72" t="str">
        <f t="shared" si="122"/>
        <v>Diving Catch</v>
      </c>
      <c r="CO79" s="72" t="str">
        <f t="shared" si="123"/>
        <v>Diving Catch</v>
      </c>
      <c r="CP79" s="72" t="str">
        <f t="shared" si="124"/>
        <v>Diving Catch</v>
      </c>
      <c r="CQ79" s="72" t="b">
        <f t="shared" si="125"/>
        <v>0</v>
      </c>
      <c r="CR79" s="72" t="str">
        <f t="shared" si="126"/>
        <v>Diving Catch</v>
      </c>
      <c r="CS79" s="72" t="str">
        <f t="shared" si="127"/>
        <v>Diving Catch</v>
      </c>
      <c r="CT79" s="72" t="str">
        <f t="shared" si="128"/>
        <v>Diving Catch</v>
      </c>
      <c r="CU79" s="72" t="str">
        <f t="shared" si="129"/>
        <v>Diving Catch</v>
      </c>
      <c r="CV79" s="72" t="b">
        <f t="shared" si="130"/>
        <v>0</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7"/>
      <c r="CF80" s="253"/>
      <c r="CG80" s="256" t="b">
        <f t="shared" si="115"/>
        <v>0</v>
      </c>
      <c r="CH80" s="256" t="str">
        <f t="shared" si="116"/>
        <v>Diving Tackle</v>
      </c>
      <c r="CI80" s="72" t="str">
        <f t="shared" si="117"/>
        <v>Diving Tackle</v>
      </c>
      <c r="CJ80" s="72" t="str">
        <f t="shared" si="118"/>
        <v>Diving Tackle</v>
      </c>
      <c r="CK80" s="72" t="str">
        <f t="shared" si="119"/>
        <v>Diving Tackle</v>
      </c>
      <c r="CL80" s="72" t="str">
        <f t="shared" si="120"/>
        <v>Diving Tackle</v>
      </c>
      <c r="CM80" s="72" t="b">
        <f t="shared" si="121"/>
        <v>0</v>
      </c>
      <c r="CN80" s="72" t="str">
        <f t="shared" si="122"/>
        <v>Diving Tackle</v>
      </c>
      <c r="CO80" s="72" t="str">
        <f t="shared" si="123"/>
        <v>Diving Tackle</v>
      </c>
      <c r="CP80" s="72" t="str">
        <f t="shared" si="124"/>
        <v>Diving Tackle</v>
      </c>
      <c r="CQ80" s="72" t="b">
        <f t="shared" si="125"/>
        <v>0</v>
      </c>
      <c r="CR80" s="72" t="str">
        <f t="shared" si="126"/>
        <v>Diving Tackle</v>
      </c>
      <c r="CS80" s="72" t="str">
        <f t="shared" si="127"/>
        <v>Diving Tackle</v>
      </c>
      <c r="CT80" s="72" t="str">
        <f t="shared" si="128"/>
        <v>Diving Tackle</v>
      </c>
      <c r="CU80" s="72" t="str">
        <f t="shared" si="129"/>
        <v>Diving Tackle</v>
      </c>
      <c r="CV80" s="72" t="b">
        <f t="shared" si="130"/>
        <v>0</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7"/>
      <c r="CF81" s="253"/>
      <c r="CG81" s="256" t="b">
        <f t="shared" si="115"/>
        <v>0</v>
      </c>
      <c r="CH81" s="256" t="str">
        <f t="shared" si="116"/>
        <v>Dodge</v>
      </c>
      <c r="CI81" s="72" t="str">
        <f t="shared" si="117"/>
        <v>Dodge</v>
      </c>
      <c r="CJ81" s="72" t="str">
        <f t="shared" si="118"/>
        <v>Dodge</v>
      </c>
      <c r="CK81" s="72" t="str">
        <f t="shared" si="119"/>
        <v>Dodge</v>
      </c>
      <c r="CL81" s="72" t="str">
        <f t="shared" si="120"/>
        <v>Dodge</v>
      </c>
      <c r="CM81" s="72" t="b">
        <f t="shared" si="121"/>
        <v>0</v>
      </c>
      <c r="CN81" s="72" t="str">
        <f t="shared" si="122"/>
        <v>Dodge</v>
      </c>
      <c r="CO81" s="72" t="str">
        <f t="shared" si="123"/>
        <v>Dodge</v>
      </c>
      <c r="CP81" s="72" t="str">
        <f t="shared" si="124"/>
        <v>Dodge</v>
      </c>
      <c r="CQ81" s="72" t="b">
        <f t="shared" si="125"/>
        <v>0</v>
      </c>
      <c r="CR81" s="72" t="str">
        <f t="shared" si="126"/>
        <v>Dodge</v>
      </c>
      <c r="CS81" s="72" t="str">
        <f t="shared" si="127"/>
        <v>Dodge</v>
      </c>
      <c r="CT81" s="72" t="str">
        <f t="shared" si="128"/>
        <v>Dodge</v>
      </c>
      <c r="CU81" s="72" t="str">
        <f t="shared" si="129"/>
        <v>Dodge</v>
      </c>
      <c r="CV81" s="72" t="b">
        <f t="shared" si="130"/>
        <v>0</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7"/>
      <c r="CF82" s="253"/>
      <c r="CG82" s="256" t="b">
        <f t="shared" si="115"/>
        <v>0</v>
      </c>
      <c r="CH82" s="256" t="str">
        <f t="shared" si="116"/>
        <v>Defensive</v>
      </c>
      <c r="CI82" s="72" t="str">
        <f t="shared" si="117"/>
        <v>Defensive</v>
      </c>
      <c r="CJ82" s="72" t="str">
        <f t="shared" si="118"/>
        <v>Defensive</v>
      </c>
      <c r="CK82" s="72" t="str">
        <f t="shared" si="119"/>
        <v>Defensive</v>
      </c>
      <c r="CL82" s="72" t="str">
        <f t="shared" si="120"/>
        <v>Defensive</v>
      </c>
      <c r="CM82" s="72" t="b">
        <f t="shared" si="121"/>
        <v>0</v>
      </c>
      <c r="CN82" s="72" t="str">
        <f t="shared" si="122"/>
        <v>Defensive</v>
      </c>
      <c r="CO82" s="72" t="str">
        <f t="shared" si="123"/>
        <v>Defensive</v>
      </c>
      <c r="CP82" s="72" t="str">
        <f t="shared" si="124"/>
        <v>Defensive</v>
      </c>
      <c r="CQ82" s="72" t="b">
        <f t="shared" si="125"/>
        <v>0</v>
      </c>
      <c r="CR82" s="72" t="str">
        <f t="shared" si="126"/>
        <v>Defensive</v>
      </c>
      <c r="CS82" s="72" t="str">
        <f t="shared" si="127"/>
        <v>Defensive</v>
      </c>
      <c r="CT82" s="72" t="str">
        <f t="shared" si="128"/>
        <v>Defensive</v>
      </c>
      <c r="CU82" s="72" t="str">
        <f t="shared" si="129"/>
        <v>Defensive</v>
      </c>
      <c r="CV82" s="72" t="b">
        <f t="shared" si="130"/>
        <v>0</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7"/>
      <c r="CF83" s="253"/>
      <c r="CG83" s="256" t="b">
        <f t="shared" si="115"/>
        <v>0</v>
      </c>
      <c r="CH83" s="256" t="str">
        <f t="shared" si="116"/>
        <v>Jump Up</v>
      </c>
      <c r="CI83" s="72" t="str">
        <f t="shared" si="117"/>
        <v>Jump Up</v>
      </c>
      <c r="CJ83" s="72" t="str">
        <f t="shared" si="118"/>
        <v>Jump Up</v>
      </c>
      <c r="CK83" s="72" t="str">
        <f t="shared" si="119"/>
        <v>Jump Up</v>
      </c>
      <c r="CL83" s="72" t="str">
        <f t="shared" si="120"/>
        <v>Jump Up</v>
      </c>
      <c r="CM83" s="72" t="b">
        <f t="shared" si="121"/>
        <v>0</v>
      </c>
      <c r="CN83" s="72" t="str">
        <f t="shared" si="122"/>
        <v>Jump Up</v>
      </c>
      <c r="CO83" s="72" t="str">
        <f t="shared" si="123"/>
        <v>Jump Up</v>
      </c>
      <c r="CP83" s="72" t="str">
        <f t="shared" si="124"/>
        <v>Jump Up</v>
      </c>
      <c r="CQ83" s="72" t="b">
        <f t="shared" si="125"/>
        <v>0</v>
      </c>
      <c r="CR83" s="72" t="str">
        <f t="shared" si="126"/>
        <v>Jump Up</v>
      </c>
      <c r="CS83" s="72" t="str">
        <f t="shared" si="127"/>
        <v>Jump Up</v>
      </c>
      <c r="CT83" s="72" t="str">
        <f t="shared" si="128"/>
        <v>Jump Up</v>
      </c>
      <c r="CU83" s="72" t="str">
        <f t="shared" si="129"/>
        <v>Jump Up</v>
      </c>
      <c r="CV83" s="72" t="b">
        <f t="shared" si="130"/>
        <v>0</v>
      </c>
      <c r="CW83" s="30"/>
      <c r="CX83" s="30"/>
      <c r="CY83" s="30"/>
      <c r="CZ83" s="28"/>
      <c r="DA83" s="30"/>
      <c r="DB83" s="30"/>
    </row>
    <row r="84" spans="1:106" ht="15" hidden="1" customHeight="1">
      <c r="A84" s="28"/>
      <c r="B84" s="391"/>
      <c r="C84" s="368"/>
      <c r="D84" s="368"/>
      <c r="E84" s="368"/>
      <c r="F84" s="36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7" t="s">
        <v>245</v>
      </c>
      <c r="CF84" s="253"/>
      <c r="CG84" s="256" t="b">
        <f t="shared" si="115"/>
        <v>0</v>
      </c>
      <c r="CH84" s="256" t="str">
        <f t="shared" si="116"/>
        <v>Leap</v>
      </c>
      <c r="CI84" s="72" t="str">
        <f t="shared" si="117"/>
        <v>Leap</v>
      </c>
      <c r="CJ84" s="72" t="str">
        <f t="shared" si="118"/>
        <v>Leap</v>
      </c>
      <c r="CK84" s="72" t="str">
        <f t="shared" si="119"/>
        <v>Leap</v>
      </c>
      <c r="CL84" s="72" t="str">
        <f t="shared" si="120"/>
        <v>Leap</v>
      </c>
      <c r="CM84" s="72" t="b">
        <f t="shared" si="121"/>
        <v>0</v>
      </c>
      <c r="CN84" s="72" t="str">
        <f t="shared" si="122"/>
        <v>Leap</v>
      </c>
      <c r="CO84" s="72" t="str">
        <f t="shared" si="123"/>
        <v>Leap</v>
      </c>
      <c r="CP84" s="72" t="str">
        <f t="shared" si="124"/>
        <v>Leap</v>
      </c>
      <c r="CQ84" s="72" t="b">
        <f t="shared" si="125"/>
        <v>0</v>
      </c>
      <c r="CR84" s="72" t="str">
        <f t="shared" si="126"/>
        <v>Leap</v>
      </c>
      <c r="CS84" s="72" t="str">
        <f t="shared" si="127"/>
        <v>Leap</v>
      </c>
      <c r="CT84" s="72" t="str">
        <f t="shared" si="128"/>
        <v>Leap</v>
      </c>
      <c r="CU84" s="72" t="str">
        <f t="shared" si="129"/>
        <v>Leap</v>
      </c>
      <c r="CV84" s="72" t="b">
        <f t="shared" si="130"/>
        <v>0</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7"/>
      <c r="CF85" s="253"/>
      <c r="CG85" s="256" t="b">
        <f t="shared" si="115"/>
        <v>0</v>
      </c>
      <c r="CH85" s="256"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b">
        <f t="shared" si="121"/>
        <v>0</v>
      </c>
      <c r="CN85" s="72" t="str">
        <f t="shared" si="122"/>
        <v>Safe Pair of Hands</v>
      </c>
      <c r="CO85" s="72" t="str">
        <f t="shared" si="123"/>
        <v>Safe Pair of Hands</v>
      </c>
      <c r="CP85" s="72" t="str">
        <f t="shared" si="124"/>
        <v>Safe Pair of Hands</v>
      </c>
      <c r="CQ85" s="72" t="b">
        <f t="shared" si="125"/>
        <v>0</v>
      </c>
      <c r="CR85" s="72" t="str">
        <f t="shared" si="126"/>
        <v>Safe Pair of Hands</v>
      </c>
      <c r="CS85" s="72" t="str">
        <f t="shared" si="127"/>
        <v>Safe Pair of Hands</v>
      </c>
      <c r="CT85" s="72" t="str">
        <f t="shared" si="128"/>
        <v>Safe Pair of Hands</v>
      </c>
      <c r="CU85" s="72" t="str">
        <f t="shared" si="129"/>
        <v>Safe Pair of Hands</v>
      </c>
      <c r="CV85" s="72" t="b">
        <f t="shared" si="130"/>
        <v>0</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7"/>
      <c r="CF86" s="253"/>
      <c r="CG86" s="256" t="b">
        <f t="shared" si="115"/>
        <v>0</v>
      </c>
      <c r="CH86" s="256" t="str">
        <f t="shared" si="116"/>
        <v>Sidestep</v>
      </c>
      <c r="CI86" s="72" t="str">
        <f t="shared" si="117"/>
        <v>Sidestep</v>
      </c>
      <c r="CJ86" s="72" t="str">
        <f t="shared" si="118"/>
        <v>Sidestep</v>
      </c>
      <c r="CK86" s="72" t="str">
        <f t="shared" si="119"/>
        <v>Sidestep</v>
      </c>
      <c r="CL86" s="72" t="str">
        <f t="shared" si="120"/>
        <v>Sidestep</v>
      </c>
      <c r="CM86" s="72" t="b">
        <f t="shared" si="121"/>
        <v>0</v>
      </c>
      <c r="CN86" s="72" t="str">
        <f t="shared" si="122"/>
        <v>Sidestep</v>
      </c>
      <c r="CO86" s="72" t="str">
        <f t="shared" si="123"/>
        <v>Sidestep</v>
      </c>
      <c r="CP86" s="72" t="str">
        <f t="shared" si="124"/>
        <v>Sidestep</v>
      </c>
      <c r="CQ86" s="72" t="b">
        <f t="shared" si="125"/>
        <v>0</v>
      </c>
      <c r="CR86" s="72" t="str">
        <f t="shared" si="126"/>
        <v>Sidestep</v>
      </c>
      <c r="CS86" s="72" t="str">
        <f t="shared" si="127"/>
        <v>Sidestep</v>
      </c>
      <c r="CT86" s="72" t="str">
        <f t="shared" si="128"/>
        <v>Sidestep</v>
      </c>
      <c r="CU86" s="72" t="str">
        <f t="shared" si="129"/>
        <v>Sidestep</v>
      </c>
      <c r="CV86" s="72" t="b">
        <f t="shared" si="130"/>
        <v>0</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7"/>
      <c r="CF87" s="253"/>
      <c r="CG87" s="256" t="b">
        <f t="shared" si="115"/>
        <v>0</v>
      </c>
      <c r="CH87" s="256" t="str">
        <f t="shared" si="116"/>
        <v>Sneaky Git</v>
      </c>
      <c r="CI87" s="72" t="str">
        <f t="shared" si="117"/>
        <v>Sneaky Git</v>
      </c>
      <c r="CJ87" s="72" t="str">
        <f t="shared" si="118"/>
        <v>Sneaky Git</v>
      </c>
      <c r="CK87" s="72" t="str">
        <f t="shared" si="119"/>
        <v>Sneaky Git</v>
      </c>
      <c r="CL87" s="72" t="str">
        <f t="shared" si="120"/>
        <v>Sneaky Git</v>
      </c>
      <c r="CM87" s="72" t="b">
        <f t="shared" si="121"/>
        <v>0</v>
      </c>
      <c r="CN87" s="72" t="str">
        <f t="shared" si="122"/>
        <v>Sneaky Git</v>
      </c>
      <c r="CO87" s="72" t="str">
        <f t="shared" si="123"/>
        <v>Sneaky Git</v>
      </c>
      <c r="CP87" s="72" t="str">
        <f t="shared" si="124"/>
        <v>Sneaky Git</v>
      </c>
      <c r="CQ87" s="72" t="b">
        <f t="shared" si="125"/>
        <v>0</v>
      </c>
      <c r="CR87" s="72" t="str">
        <f t="shared" si="126"/>
        <v>Sneaky Git</v>
      </c>
      <c r="CS87" s="72" t="str">
        <f t="shared" si="127"/>
        <v>Sneaky Git</v>
      </c>
      <c r="CT87" s="72" t="str">
        <f t="shared" si="128"/>
        <v>Sneaky Git</v>
      </c>
      <c r="CU87" s="72" t="str">
        <f t="shared" si="129"/>
        <v>Sneaky Git</v>
      </c>
      <c r="CV87" s="72" t="b">
        <f t="shared" si="130"/>
        <v>0</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7"/>
      <c r="CF88" s="253"/>
      <c r="CG88" s="256" t="b">
        <f t="shared" si="115"/>
        <v>0</v>
      </c>
      <c r="CH88" s="256" t="str">
        <f t="shared" si="116"/>
        <v>Sprint</v>
      </c>
      <c r="CI88" s="72" t="str">
        <f t="shared" si="117"/>
        <v>Sprint</v>
      </c>
      <c r="CJ88" s="72" t="str">
        <f t="shared" si="118"/>
        <v>Sprint</v>
      </c>
      <c r="CK88" s="72" t="str">
        <f t="shared" si="119"/>
        <v>Sprint</v>
      </c>
      <c r="CL88" s="72" t="str">
        <f t="shared" si="120"/>
        <v>Sprint</v>
      </c>
      <c r="CM88" s="72" t="b">
        <f t="shared" si="121"/>
        <v>0</v>
      </c>
      <c r="CN88" s="72" t="str">
        <f t="shared" si="122"/>
        <v>Sprint</v>
      </c>
      <c r="CO88" s="72" t="str">
        <f t="shared" si="123"/>
        <v>Sprint</v>
      </c>
      <c r="CP88" s="72" t="str">
        <f t="shared" si="124"/>
        <v>Sprint</v>
      </c>
      <c r="CQ88" s="72" t="b">
        <f t="shared" si="125"/>
        <v>0</v>
      </c>
      <c r="CR88" s="72" t="str">
        <f t="shared" si="126"/>
        <v>Sprint</v>
      </c>
      <c r="CS88" s="72" t="str">
        <f t="shared" si="127"/>
        <v>Sprint</v>
      </c>
      <c r="CT88" s="72" t="str">
        <f t="shared" si="128"/>
        <v>Sprint</v>
      </c>
      <c r="CU88" s="72" t="str">
        <f t="shared" si="129"/>
        <v>Sprint</v>
      </c>
      <c r="CV88" s="72" t="b">
        <f t="shared" si="130"/>
        <v>0</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7"/>
      <c r="CF89" s="253"/>
      <c r="CG89" s="256" t="b">
        <f t="shared" si="115"/>
        <v>0</v>
      </c>
      <c r="CH89" s="256" t="str">
        <f t="shared" si="116"/>
        <v>Sure Feet</v>
      </c>
      <c r="CI89" s="72" t="str">
        <f t="shared" si="117"/>
        <v>Sure Feet</v>
      </c>
      <c r="CJ89" s="72" t="str">
        <f t="shared" si="118"/>
        <v>Sure Feet</v>
      </c>
      <c r="CK89" s="72" t="str">
        <f t="shared" si="119"/>
        <v>Sure Feet</v>
      </c>
      <c r="CL89" s="72" t="str">
        <f t="shared" si="120"/>
        <v>Sure Feet</v>
      </c>
      <c r="CM89" s="72" t="b">
        <f t="shared" si="121"/>
        <v>0</v>
      </c>
      <c r="CN89" s="72" t="str">
        <f t="shared" si="122"/>
        <v>Sure Feet</v>
      </c>
      <c r="CO89" s="72" t="str">
        <f t="shared" si="123"/>
        <v>Sure Feet</v>
      </c>
      <c r="CP89" s="72" t="str">
        <f t="shared" si="124"/>
        <v>Sure Feet</v>
      </c>
      <c r="CQ89" s="72" t="b">
        <f t="shared" si="125"/>
        <v>0</v>
      </c>
      <c r="CR89" s="72" t="str">
        <f t="shared" si="126"/>
        <v>Sure Feet</v>
      </c>
      <c r="CS89" s="72" t="str">
        <f t="shared" si="127"/>
        <v>Sure Feet</v>
      </c>
      <c r="CT89" s="72" t="str">
        <f t="shared" si="128"/>
        <v>Sure Feet</v>
      </c>
      <c r="CU89" s="72" t="str">
        <f t="shared" si="129"/>
        <v>Sure Feet</v>
      </c>
      <c r="CV89" s="72" t="b">
        <f t="shared" si="130"/>
        <v>0</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7"/>
      <c r="CF90" s="253"/>
      <c r="CG90" s="256" t="b">
        <f t="shared" si="115"/>
        <v>0</v>
      </c>
      <c r="CH90" s="256" t="str">
        <f t="shared" si="116"/>
        <v>Arm Bar</v>
      </c>
      <c r="CI90" s="72" t="str">
        <f t="shared" si="117"/>
        <v>Arm Bar</v>
      </c>
      <c r="CJ90" s="72" t="str">
        <f t="shared" si="118"/>
        <v>Arm Bar</v>
      </c>
      <c r="CK90" s="72" t="str">
        <f t="shared" si="119"/>
        <v>Arm Bar</v>
      </c>
      <c r="CL90" s="72" t="str">
        <f t="shared" si="120"/>
        <v>Accurate</v>
      </c>
      <c r="CM90" s="72" t="b">
        <f t="shared" si="121"/>
        <v>0</v>
      </c>
      <c r="CN90" s="72" t="str">
        <f t="shared" si="122"/>
        <v>Accurate</v>
      </c>
      <c r="CO90" s="72" t="str">
        <f t="shared" si="123"/>
        <v>Accurate</v>
      </c>
      <c r="CP90" s="72" t="str">
        <f t="shared" si="124"/>
        <v>Accurate</v>
      </c>
      <c r="CQ90" s="72" t="b">
        <f t="shared" si="125"/>
        <v>0</v>
      </c>
      <c r="CR90" s="72" t="str">
        <f t="shared" si="126"/>
        <v>Accurate</v>
      </c>
      <c r="CS90" s="72" t="str">
        <f t="shared" si="127"/>
        <v>Arm Bar</v>
      </c>
      <c r="CT90" s="72" t="str">
        <f t="shared" si="128"/>
        <v>Arm Bar</v>
      </c>
      <c r="CU90" s="72" t="str">
        <f t="shared" si="129"/>
        <v>Arm Bar</v>
      </c>
      <c r="CV90" s="72" t="b">
        <f t="shared" si="130"/>
        <v>0</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7"/>
      <c r="CF91" s="253"/>
      <c r="CG91" s="256" t="b">
        <f t="shared" si="115"/>
        <v>0</v>
      </c>
      <c r="CH91" s="256" t="str">
        <f t="shared" si="116"/>
        <v>Brawler</v>
      </c>
      <c r="CI91" s="72" t="str">
        <f t="shared" si="117"/>
        <v>Brawler</v>
      </c>
      <c r="CJ91" s="72" t="str">
        <f t="shared" si="118"/>
        <v>Brawler</v>
      </c>
      <c r="CK91" s="72" t="str">
        <f t="shared" si="119"/>
        <v>Brawler</v>
      </c>
      <c r="CL91" s="72" t="str">
        <f t="shared" si="120"/>
        <v>Cannoneer</v>
      </c>
      <c r="CM91" s="72" t="b">
        <f t="shared" si="121"/>
        <v>0</v>
      </c>
      <c r="CN91" s="72" t="str">
        <f t="shared" si="122"/>
        <v>Cannoneer</v>
      </c>
      <c r="CO91" s="72" t="str">
        <f t="shared" si="123"/>
        <v>Cannoneer</v>
      </c>
      <c r="CP91" s="72" t="str">
        <f t="shared" si="124"/>
        <v>Cannoneer</v>
      </c>
      <c r="CQ91" s="72" t="b">
        <f t="shared" si="125"/>
        <v>0</v>
      </c>
      <c r="CR91" s="72" t="str">
        <f t="shared" si="126"/>
        <v>Cannoneer</v>
      </c>
      <c r="CS91" s="72" t="str">
        <f t="shared" si="127"/>
        <v>Brawler</v>
      </c>
      <c r="CT91" s="72" t="str">
        <f t="shared" si="128"/>
        <v>Brawler</v>
      </c>
      <c r="CU91" s="72" t="str">
        <f t="shared" si="129"/>
        <v>Brawler</v>
      </c>
      <c r="CV91" s="72" t="b">
        <f t="shared" si="130"/>
        <v>0</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7"/>
      <c r="CF92" s="253"/>
      <c r="CG92" s="256" t="b">
        <f t="shared" si="115"/>
        <v>0</v>
      </c>
      <c r="CH92" s="256" t="str">
        <f t="shared" si="116"/>
        <v>Break Tackle</v>
      </c>
      <c r="CI92" s="72" t="str">
        <f t="shared" si="117"/>
        <v>Break Tackle</v>
      </c>
      <c r="CJ92" s="72" t="str">
        <f t="shared" si="118"/>
        <v>Break Tackle</v>
      </c>
      <c r="CK92" s="72" t="str">
        <f t="shared" si="119"/>
        <v>Break Tackle</v>
      </c>
      <c r="CL92" s="72" t="str">
        <f t="shared" si="120"/>
        <v>Cloud Burster</v>
      </c>
      <c r="CM92" s="72" t="b">
        <f t="shared" si="121"/>
        <v>0</v>
      </c>
      <c r="CN92" s="72" t="str">
        <f t="shared" si="122"/>
        <v>Cloud Burster</v>
      </c>
      <c r="CO92" s="72" t="str">
        <f t="shared" si="123"/>
        <v>Cloud Burster</v>
      </c>
      <c r="CP92" s="72" t="str">
        <f t="shared" si="124"/>
        <v>Cloud Burster</v>
      </c>
      <c r="CQ92" s="72" t="b">
        <f t="shared" si="125"/>
        <v>0</v>
      </c>
      <c r="CR92" s="72" t="str">
        <f t="shared" si="126"/>
        <v>Cloud Burster</v>
      </c>
      <c r="CS92" s="72" t="str">
        <f t="shared" si="127"/>
        <v>Break Tackle</v>
      </c>
      <c r="CT92" s="72" t="str">
        <f t="shared" si="128"/>
        <v>Break Tackle</v>
      </c>
      <c r="CU92" s="72" t="str">
        <f t="shared" si="129"/>
        <v>Break Tackle</v>
      </c>
      <c r="CV92" s="72" t="b">
        <f t="shared" si="130"/>
        <v>0</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7"/>
      <c r="CF93" s="253"/>
      <c r="CG93" s="256" t="b">
        <f t="shared" si="115"/>
        <v>0</v>
      </c>
      <c r="CH93" s="256" t="str">
        <f t="shared" si="116"/>
        <v>Grab</v>
      </c>
      <c r="CI93" s="72" t="str">
        <f t="shared" si="117"/>
        <v>Grab</v>
      </c>
      <c r="CJ93" s="72" t="str">
        <f t="shared" si="118"/>
        <v>Grab</v>
      </c>
      <c r="CK93" s="72" t="str">
        <f t="shared" si="119"/>
        <v>Grab</v>
      </c>
      <c r="CL93" s="72" t="str">
        <f t="shared" si="120"/>
        <v>Dump-Off</v>
      </c>
      <c r="CM93" s="72" t="b">
        <f t="shared" si="121"/>
        <v>0</v>
      </c>
      <c r="CN93" s="72" t="str">
        <f t="shared" si="122"/>
        <v>Dump-Off</v>
      </c>
      <c r="CO93" s="72" t="str">
        <f t="shared" si="123"/>
        <v>Dump-Off</v>
      </c>
      <c r="CP93" s="72" t="str">
        <f t="shared" si="124"/>
        <v>Dump-Off</v>
      </c>
      <c r="CQ93" s="72" t="b">
        <f t="shared" si="125"/>
        <v>0</v>
      </c>
      <c r="CR93" s="72" t="str">
        <f t="shared" si="126"/>
        <v>Dump-Off</v>
      </c>
      <c r="CS93" s="72" t="str">
        <f t="shared" si="127"/>
        <v>Grab</v>
      </c>
      <c r="CT93" s="72" t="str">
        <f t="shared" si="128"/>
        <v>Grab</v>
      </c>
      <c r="CU93" s="72" t="str">
        <f t="shared" si="129"/>
        <v>Grab</v>
      </c>
      <c r="CV93" s="72" t="b">
        <f t="shared" si="130"/>
        <v>0</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7"/>
      <c r="CF94" s="253"/>
      <c r="CG94" s="256" t="b">
        <f t="shared" si="115"/>
        <v>0</v>
      </c>
      <c r="CH94" s="256" t="str">
        <f t="shared" si="116"/>
        <v>Guard</v>
      </c>
      <c r="CI94" s="72" t="str">
        <f t="shared" si="117"/>
        <v>Guard</v>
      </c>
      <c r="CJ94" s="72" t="str">
        <f t="shared" si="118"/>
        <v>Guard</v>
      </c>
      <c r="CK94" s="72" t="str">
        <f t="shared" si="119"/>
        <v>Guard</v>
      </c>
      <c r="CL94" s="72" t="str">
        <f t="shared" si="120"/>
        <v>Fumblerooskie</v>
      </c>
      <c r="CM94" s="72" t="b">
        <f t="shared" si="121"/>
        <v>0</v>
      </c>
      <c r="CN94" s="72" t="str">
        <f t="shared" si="122"/>
        <v>Fumblerooskie</v>
      </c>
      <c r="CO94" s="72" t="str">
        <f t="shared" si="123"/>
        <v>Fumblerooskie</v>
      </c>
      <c r="CP94" s="72" t="str">
        <f t="shared" si="124"/>
        <v>Fumblerooskie</v>
      </c>
      <c r="CQ94" s="72" t="b">
        <f t="shared" si="125"/>
        <v>0</v>
      </c>
      <c r="CR94" s="72" t="str">
        <f t="shared" si="126"/>
        <v>Fumblerooskie</v>
      </c>
      <c r="CS94" s="72" t="str">
        <f t="shared" si="127"/>
        <v>Guard</v>
      </c>
      <c r="CT94" s="72" t="str">
        <f t="shared" si="128"/>
        <v>Guard</v>
      </c>
      <c r="CU94" s="72" t="str">
        <f t="shared" si="129"/>
        <v>Guard</v>
      </c>
      <c r="CV94" s="72" t="b">
        <f t="shared" si="130"/>
        <v>0</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7"/>
      <c r="CF95" s="253"/>
      <c r="CG95" s="256" t="b">
        <f t="shared" si="115"/>
        <v>0</v>
      </c>
      <c r="CH95" s="256" t="str">
        <f t="shared" si="116"/>
        <v>Juggernaut</v>
      </c>
      <c r="CI95" s="72" t="str">
        <f t="shared" si="117"/>
        <v>Juggernaut</v>
      </c>
      <c r="CJ95" s="72" t="str">
        <f t="shared" si="118"/>
        <v>Juggernaut</v>
      </c>
      <c r="CK95" s="72" t="str">
        <f t="shared" si="119"/>
        <v>Juggernaut</v>
      </c>
      <c r="CL95" s="72" t="str">
        <f t="shared" si="120"/>
        <v>Hail Mary Pass</v>
      </c>
      <c r="CM95" s="72" t="b">
        <f t="shared" si="121"/>
        <v>0</v>
      </c>
      <c r="CN95" s="72" t="str">
        <f t="shared" si="122"/>
        <v>Hail Mary Pass</v>
      </c>
      <c r="CO95" s="72" t="str">
        <f t="shared" si="123"/>
        <v>Hail Mary Pass</v>
      </c>
      <c r="CP95" s="72" t="str">
        <f t="shared" si="124"/>
        <v>Hail Mary Pass</v>
      </c>
      <c r="CQ95" s="72" t="b">
        <f t="shared" si="125"/>
        <v>0</v>
      </c>
      <c r="CR95" s="72" t="str">
        <f t="shared" si="126"/>
        <v>Hail Mary Pass</v>
      </c>
      <c r="CS95" s="72" t="str">
        <f t="shared" si="127"/>
        <v>Juggernaut</v>
      </c>
      <c r="CT95" s="72" t="str">
        <f t="shared" si="128"/>
        <v>Juggernaut</v>
      </c>
      <c r="CU95" s="72" t="str">
        <f t="shared" si="129"/>
        <v>Juggernaut</v>
      </c>
      <c r="CV95" s="72" t="b">
        <f t="shared" si="130"/>
        <v>0</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7"/>
      <c r="CF96" s="253"/>
      <c r="CG96" s="256" t="b">
        <f t="shared" si="115"/>
        <v>0</v>
      </c>
      <c r="CH96" s="256" t="str">
        <f t="shared" si="116"/>
        <v>Mighty Blow (+1)</v>
      </c>
      <c r="CI96" s="72" t="str">
        <f t="shared" si="117"/>
        <v>Mighty Blow (+1)</v>
      </c>
      <c r="CJ96" s="72" t="str">
        <f t="shared" si="118"/>
        <v>Mighty Blow (+1)</v>
      </c>
      <c r="CK96" s="72" t="str">
        <f t="shared" si="119"/>
        <v>Mighty Blow (+1)</v>
      </c>
      <c r="CL96" s="72" t="str">
        <f t="shared" si="120"/>
        <v>Leader</v>
      </c>
      <c r="CM96" s="72" t="b">
        <f t="shared" si="121"/>
        <v>0</v>
      </c>
      <c r="CN96" s="72" t="str">
        <f t="shared" si="122"/>
        <v>Leader</v>
      </c>
      <c r="CO96" s="72" t="str">
        <f t="shared" si="123"/>
        <v>Leader</v>
      </c>
      <c r="CP96" s="72" t="str">
        <f t="shared" si="124"/>
        <v>Leader</v>
      </c>
      <c r="CQ96" s="72" t="b">
        <f t="shared" si="125"/>
        <v>0</v>
      </c>
      <c r="CR96" s="72" t="str">
        <f t="shared" si="126"/>
        <v>Leader</v>
      </c>
      <c r="CS96" s="72" t="str">
        <f t="shared" si="127"/>
        <v>Mighty Blow (+1)</v>
      </c>
      <c r="CT96" s="72" t="str">
        <f t="shared" si="128"/>
        <v>Mighty Blow (+1)</v>
      </c>
      <c r="CU96" s="72" t="str">
        <f t="shared" si="129"/>
        <v>Mighty Blow (+1)</v>
      </c>
      <c r="CV96" s="72" t="b">
        <f t="shared" si="130"/>
        <v>0</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7"/>
      <c r="CF97" s="253"/>
      <c r="CG97" s="256" t="b">
        <f t="shared" si="115"/>
        <v>0</v>
      </c>
      <c r="CH97" s="256" t="str">
        <f t="shared" si="116"/>
        <v>Multiple Blocks</v>
      </c>
      <c r="CI97" s="72" t="str">
        <f t="shared" si="117"/>
        <v>Multiple Blocks</v>
      </c>
      <c r="CJ97" s="72" t="str">
        <f t="shared" si="118"/>
        <v>Multiple Blocks</v>
      </c>
      <c r="CK97" s="72" t="str">
        <f t="shared" si="119"/>
        <v>Multiple Blocks</v>
      </c>
      <c r="CL97" s="72" t="str">
        <f t="shared" si="120"/>
        <v>Nerves of Steel</v>
      </c>
      <c r="CM97" s="72" t="b">
        <f t="shared" si="121"/>
        <v>0</v>
      </c>
      <c r="CN97" s="72" t="str">
        <f t="shared" si="122"/>
        <v>Nerves of Steel</v>
      </c>
      <c r="CO97" s="72" t="str">
        <f t="shared" si="123"/>
        <v>Nerves of Steel</v>
      </c>
      <c r="CP97" s="72" t="str">
        <f t="shared" si="124"/>
        <v>Nerves of Steel</v>
      </c>
      <c r="CQ97" s="72" t="b">
        <f t="shared" si="125"/>
        <v>0</v>
      </c>
      <c r="CR97" s="72" t="str">
        <f t="shared" si="126"/>
        <v>Nerves of Steel</v>
      </c>
      <c r="CS97" s="72" t="str">
        <f t="shared" si="127"/>
        <v>Multiple Blocks</v>
      </c>
      <c r="CT97" s="72" t="str">
        <f t="shared" si="128"/>
        <v>Multiple Blocks</v>
      </c>
      <c r="CU97" s="72" t="str">
        <f t="shared" si="129"/>
        <v>Multiple Blocks</v>
      </c>
      <c r="CV97" s="72" t="b">
        <f t="shared" si="130"/>
        <v>0</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7"/>
      <c r="CF98" s="253"/>
      <c r="CG98" s="256" t="b">
        <f t="shared" si="115"/>
        <v>0</v>
      </c>
      <c r="CH98" s="256" t="str">
        <f t="shared" si="116"/>
        <v>Pile Diver</v>
      </c>
      <c r="CI98" s="72" t="str">
        <f t="shared" si="117"/>
        <v>Pile Diver</v>
      </c>
      <c r="CJ98" s="72" t="str">
        <f t="shared" si="118"/>
        <v>Pile Diver</v>
      </c>
      <c r="CK98" s="72" t="str">
        <f t="shared" si="119"/>
        <v>Pile Diver</v>
      </c>
      <c r="CL98" s="72" t="str">
        <f t="shared" si="120"/>
        <v>On the Ball</v>
      </c>
      <c r="CM98" s="72" t="b">
        <f t="shared" si="121"/>
        <v>0</v>
      </c>
      <c r="CN98" s="72" t="str">
        <f t="shared" si="122"/>
        <v>On the Ball</v>
      </c>
      <c r="CO98" s="72" t="str">
        <f t="shared" si="123"/>
        <v>On the Ball</v>
      </c>
      <c r="CP98" s="72" t="str">
        <f t="shared" si="124"/>
        <v>On the Ball</v>
      </c>
      <c r="CQ98" s="72" t="b">
        <f t="shared" si="125"/>
        <v>0</v>
      </c>
      <c r="CR98" s="72" t="str">
        <f t="shared" si="126"/>
        <v>On the Ball</v>
      </c>
      <c r="CS98" s="72" t="str">
        <f t="shared" si="127"/>
        <v>Pile Diver</v>
      </c>
      <c r="CT98" s="72" t="str">
        <f t="shared" si="128"/>
        <v>Pile Diver</v>
      </c>
      <c r="CU98" s="72" t="str">
        <f t="shared" si="129"/>
        <v>Pile Diver</v>
      </c>
      <c r="CV98" s="72" t="b">
        <f t="shared" si="130"/>
        <v>0</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7"/>
      <c r="CF99" s="253"/>
      <c r="CG99" s="256" t="b">
        <f t="shared" si="115"/>
        <v>0</v>
      </c>
      <c r="CH99" s="256" t="str">
        <f t="shared" si="116"/>
        <v>Stand Firm</v>
      </c>
      <c r="CI99" s="72" t="str">
        <f t="shared" si="117"/>
        <v>Stand Firm</v>
      </c>
      <c r="CJ99" s="72" t="str">
        <f t="shared" si="118"/>
        <v>Stand Firm</v>
      </c>
      <c r="CK99" s="72" t="str">
        <f t="shared" si="119"/>
        <v>Stand Firm</v>
      </c>
      <c r="CL99" s="72" t="str">
        <f t="shared" si="120"/>
        <v>Pass</v>
      </c>
      <c r="CM99" s="72" t="b">
        <f t="shared" si="121"/>
        <v>0</v>
      </c>
      <c r="CN99" s="72" t="str">
        <f t="shared" si="122"/>
        <v>Pass</v>
      </c>
      <c r="CO99" s="72" t="str">
        <f t="shared" si="123"/>
        <v>Pass</v>
      </c>
      <c r="CP99" s="72" t="str">
        <f t="shared" si="124"/>
        <v>Pass</v>
      </c>
      <c r="CQ99" s="72" t="b">
        <f t="shared" si="125"/>
        <v>0</v>
      </c>
      <c r="CR99" s="72" t="str">
        <f t="shared" si="126"/>
        <v>Pass</v>
      </c>
      <c r="CS99" s="72" t="str">
        <f t="shared" si="127"/>
        <v>Stand Firm</v>
      </c>
      <c r="CT99" s="72" t="str">
        <f t="shared" si="128"/>
        <v>Stand Firm</v>
      </c>
      <c r="CU99" s="72" t="str">
        <f t="shared" si="129"/>
        <v>Stand Firm</v>
      </c>
      <c r="CV99" s="72" t="b">
        <f t="shared" si="130"/>
        <v>0</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7"/>
      <c r="CF100" s="253"/>
      <c r="CG100" s="256" t="b">
        <f t="shared" si="115"/>
        <v>0</v>
      </c>
      <c r="CH100" s="256" t="str">
        <f t="shared" si="116"/>
        <v>Strong Arm</v>
      </c>
      <c r="CI100" s="72" t="str">
        <f t="shared" si="117"/>
        <v>Strong Arm</v>
      </c>
      <c r="CJ100" s="72" t="str">
        <f t="shared" si="118"/>
        <v>Strong Arm</v>
      </c>
      <c r="CK100" s="72" t="str">
        <f t="shared" si="119"/>
        <v>Strong Arm</v>
      </c>
      <c r="CL100" s="72" t="str">
        <f t="shared" si="120"/>
        <v>Running Pass</v>
      </c>
      <c r="CM100" s="72" t="b">
        <f t="shared" si="121"/>
        <v>0</v>
      </c>
      <c r="CN100" s="72" t="str">
        <f t="shared" si="122"/>
        <v>Running Pass</v>
      </c>
      <c r="CO100" s="72" t="str">
        <f t="shared" si="123"/>
        <v>Running Pass</v>
      </c>
      <c r="CP100" s="72" t="str">
        <f t="shared" si="124"/>
        <v>Running Pass</v>
      </c>
      <c r="CQ100" s="72" t="b">
        <f t="shared" si="125"/>
        <v>0</v>
      </c>
      <c r="CR100" s="72" t="str">
        <f t="shared" si="126"/>
        <v>Running Pass</v>
      </c>
      <c r="CS100" s="72" t="str">
        <f t="shared" si="127"/>
        <v>Strong Arm</v>
      </c>
      <c r="CT100" s="72" t="str">
        <f t="shared" si="128"/>
        <v>Strong Arm</v>
      </c>
      <c r="CU100" s="72" t="str">
        <f t="shared" si="129"/>
        <v>Strong Arm</v>
      </c>
      <c r="CV100" s="72" t="b">
        <f t="shared" si="130"/>
        <v>0</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7"/>
      <c r="CF101" s="253"/>
      <c r="CG101" s="256" t="b">
        <f t="shared" si="115"/>
        <v>0</v>
      </c>
      <c r="CH101" s="256" t="str">
        <f t="shared" si="116"/>
        <v>Thick Skull</v>
      </c>
      <c r="CI101" s="72" t="str">
        <f t="shared" si="117"/>
        <v>Thick Skull</v>
      </c>
      <c r="CJ101" s="72" t="str">
        <f t="shared" si="118"/>
        <v>Thick Skull</v>
      </c>
      <c r="CK101" s="72" t="str">
        <f t="shared" si="119"/>
        <v>Thick Skull</v>
      </c>
      <c r="CL101" s="72" t="str">
        <f t="shared" si="120"/>
        <v>Safe Pass</v>
      </c>
      <c r="CM101" s="72" t="b">
        <f t="shared" si="121"/>
        <v>0</v>
      </c>
      <c r="CN101" s="72" t="str">
        <f t="shared" si="122"/>
        <v>Safe Pass</v>
      </c>
      <c r="CO101" s="72" t="str">
        <f t="shared" si="123"/>
        <v>Safe Pass</v>
      </c>
      <c r="CP101" s="72" t="str">
        <f t="shared" si="124"/>
        <v>Safe Pass</v>
      </c>
      <c r="CQ101" s="72" t="b">
        <f t="shared" si="125"/>
        <v>0</v>
      </c>
      <c r="CR101" s="72" t="str">
        <f t="shared" si="126"/>
        <v>Safe Pass</v>
      </c>
      <c r="CS101" s="72" t="str">
        <f t="shared" si="127"/>
        <v>Thick Skull</v>
      </c>
      <c r="CT101" s="72" t="str">
        <f t="shared" si="128"/>
        <v>Thick Skull</v>
      </c>
      <c r="CU101" s="72" t="str">
        <f t="shared" si="129"/>
        <v>Thick Skull</v>
      </c>
      <c r="CV101" s="72" t="b">
        <f t="shared" si="130"/>
        <v>0</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7"/>
      <c r="CF102" s="253"/>
      <c r="CG102" s="256" t="b">
        <f t="shared" si="115"/>
        <v>0</v>
      </c>
      <c r="CH102" s="256" t="str">
        <f t="shared" si="116"/>
        <v/>
      </c>
      <c r="CI102" s="72" t="str">
        <f t="shared" si="117"/>
        <v/>
      </c>
      <c r="CJ102" s="72" t="str">
        <f t="shared" si="118"/>
        <v/>
      </c>
      <c r="CK102" s="72" t="str">
        <f t="shared" si="119"/>
        <v/>
      </c>
      <c r="CL102" s="72" t="str">
        <f t="shared" si="120"/>
        <v>Arm Bar</v>
      </c>
      <c r="CM102" s="72" t="b">
        <f t="shared" si="121"/>
        <v>0</v>
      </c>
      <c r="CN102" s="72" t="str">
        <f t="shared" si="122"/>
        <v>Arm Bar</v>
      </c>
      <c r="CO102" s="72" t="str">
        <f t="shared" si="123"/>
        <v>Arm Bar</v>
      </c>
      <c r="CP102" s="72" t="str">
        <f t="shared" si="124"/>
        <v>Arm Bar</v>
      </c>
      <c r="CQ102" s="72" t="b">
        <f t="shared" si="125"/>
        <v>0</v>
      </c>
      <c r="CR102" s="72" t="str">
        <f t="shared" si="126"/>
        <v>Arm Bar</v>
      </c>
      <c r="CS102" s="72" t="str">
        <f t="shared" si="127"/>
        <v/>
      </c>
      <c r="CT102" s="72" t="str">
        <f t="shared" si="128"/>
        <v/>
      </c>
      <c r="CU102" s="72" t="str">
        <f t="shared" si="129"/>
        <v/>
      </c>
      <c r="CV102" s="72" t="b">
        <f t="shared" si="130"/>
        <v>0</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7"/>
      <c r="CF103" s="253"/>
      <c r="CG103" s="256" t="b">
        <f t="shared" si="115"/>
        <v>0</v>
      </c>
      <c r="CH103" s="256" t="str">
        <f t="shared" si="116"/>
        <v/>
      </c>
      <c r="CI103" s="72" t="str">
        <f t="shared" si="117"/>
        <v/>
      </c>
      <c r="CJ103" s="72" t="str">
        <f t="shared" si="118"/>
        <v/>
      </c>
      <c r="CK103" s="72" t="str">
        <f t="shared" si="119"/>
        <v/>
      </c>
      <c r="CL103" s="72" t="str">
        <f t="shared" si="120"/>
        <v>Brawler</v>
      </c>
      <c r="CM103" s="72" t="b">
        <f t="shared" si="121"/>
        <v>0</v>
      </c>
      <c r="CN103" s="72" t="str">
        <f t="shared" si="122"/>
        <v>Brawler</v>
      </c>
      <c r="CO103" s="72" t="str">
        <f t="shared" si="123"/>
        <v>Brawler</v>
      </c>
      <c r="CP103" s="72" t="str">
        <f t="shared" si="124"/>
        <v>Brawler</v>
      </c>
      <c r="CQ103" s="72" t="b">
        <f t="shared" si="125"/>
        <v>0</v>
      </c>
      <c r="CR103" s="72" t="str">
        <f t="shared" si="126"/>
        <v>Brawler</v>
      </c>
      <c r="CS103" s="72" t="str">
        <f t="shared" si="127"/>
        <v/>
      </c>
      <c r="CT103" s="72" t="str">
        <f t="shared" si="128"/>
        <v/>
      </c>
      <c r="CU103" s="72" t="str">
        <f t="shared" si="129"/>
        <v/>
      </c>
      <c r="CV103" s="72" t="b">
        <f t="shared" si="130"/>
        <v>0</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7"/>
      <c r="CF104" s="253"/>
      <c r="CG104" s="256" t="b">
        <f t="shared" si="115"/>
        <v>0</v>
      </c>
      <c r="CH104" s="256" t="str">
        <f t="shared" si="116"/>
        <v/>
      </c>
      <c r="CI104" s="72" t="str">
        <f t="shared" si="117"/>
        <v/>
      </c>
      <c r="CJ104" s="72" t="str">
        <f t="shared" si="118"/>
        <v/>
      </c>
      <c r="CK104" s="72" t="str">
        <f t="shared" si="119"/>
        <v/>
      </c>
      <c r="CL104" s="72" t="str">
        <f t="shared" si="120"/>
        <v>Break Tackle</v>
      </c>
      <c r="CM104" s="72" t="b">
        <f t="shared" si="121"/>
        <v>0</v>
      </c>
      <c r="CN104" s="72" t="str">
        <f t="shared" si="122"/>
        <v>Break Tackle</v>
      </c>
      <c r="CO104" s="72" t="str">
        <f t="shared" si="123"/>
        <v>Break Tackle</v>
      </c>
      <c r="CP104" s="72" t="str">
        <f t="shared" si="124"/>
        <v>Break Tackle</v>
      </c>
      <c r="CQ104" s="72" t="b">
        <f t="shared" si="125"/>
        <v>0</v>
      </c>
      <c r="CR104" s="72" t="str">
        <f t="shared" si="126"/>
        <v>Break Tackle</v>
      </c>
      <c r="CS104" s="72" t="str">
        <f t="shared" si="127"/>
        <v/>
      </c>
      <c r="CT104" s="72" t="str">
        <f t="shared" si="128"/>
        <v/>
      </c>
      <c r="CU104" s="72" t="str">
        <f t="shared" si="129"/>
        <v/>
      </c>
      <c r="CV104" s="72" t="b">
        <f t="shared" si="130"/>
        <v>0</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7"/>
      <c r="CF105" s="253"/>
      <c r="CG105" s="256" t="b">
        <f t="shared" si="115"/>
        <v>0</v>
      </c>
      <c r="CH105" s="256" t="str">
        <f t="shared" si="116"/>
        <v/>
      </c>
      <c r="CI105" s="72" t="str">
        <f t="shared" si="117"/>
        <v/>
      </c>
      <c r="CJ105" s="72" t="str">
        <f t="shared" si="118"/>
        <v/>
      </c>
      <c r="CK105" s="72" t="str">
        <f t="shared" si="119"/>
        <v/>
      </c>
      <c r="CL105" s="72" t="str">
        <f t="shared" si="120"/>
        <v>Grab</v>
      </c>
      <c r="CM105" s="72" t="b">
        <f t="shared" si="121"/>
        <v>0</v>
      </c>
      <c r="CN105" s="72" t="str">
        <f t="shared" si="122"/>
        <v>Grab</v>
      </c>
      <c r="CO105" s="72" t="str">
        <f t="shared" si="123"/>
        <v>Grab</v>
      </c>
      <c r="CP105" s="72" t="str">
        <f t="shared" si="124"/>
        <v>Grab</v>
      </c>
      <c r="CQ105" s="72" t="b">
        <f t="shared" si="125"/>
        <v>0</v>
      </c>
      <c r="CR105" s="72" t="str">
        <f t="shared" si="126"/>
        <v>Grab</v>
      </c>
      <c r="CS105" s="72" t="str">
        <f t="shared" si="127"/>
        <v/>
      </c>
      <c r="CT105" s="72" t="str">
        <f t="shared" si="128"/>
        <v/>
      </c>
      <c r="CU105" s="72" t="str">
        <f t="shared" si="129"/>
        <v/>
      </c>
      <c r="CV105" s="72" t="b">
        <f t="shared" si="130"/>
        <v>0</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7"/>
      <c r="CF106" s="253"/>
      <c r="CG106" s="256" t="b">
        <f t="shared" si="115"/>
        <v>0</v>
      </c>
      <c r="CH106" s="256" t="str">
        <f t="shared" si="116"/>
        <v/>
      </c>
      <c r="CI106" s="72" t="str">
        <f t="shared" si="117"/>
        <v/>
      </c>
      <c r="CJ106" s="72" t="str">
        <f t="shared" si="118"/>
        <v/>
      </c>
      <c r="CK106" s="72" t="str">
        <f t="shared" si="119"/>
        <v/>
      </c>
      <c r="CL106" s="72" t="str">
        <f t="shared" si="120"/>
        <v>Guard</v>
      </c>
      <c r="CM106" s="72" t="b">
        <f t="shared" si="121"/>
        <v>0</v>
      </c>
      <c r="CN106" s="72" t="str">
        <f t="shared" si="122"/>
        <v>Guard</v>
      </c>
      <c r="CO106" s="72" t="str">
        <f t="shared" si="123"/>
        <v>Guard</v>
      </c>
      <c r="CP106" s="72" t="str">
        <f t="shared" si="124"/>
        <v>Guard</v>
      </c>
      <c r="CQ106" s="72" t="b">
        <f t="shared" si="125"/>
        <v>0</v>
      </c>
      <c r="CR106" s="72" t="str">
        <f t="shared" si="126"/>
        <v>Guard</v>
      </c>
      <c r="CS106" s="72" t="str">
        <f t="shared" si="127"/>
        <v/>
      </c>
      <c r="CT106" s="72" t="str">
        <f t="shared" si="128"/>
        <v/>
      </c>
      <c r="CU106" s="72" t="str">
        <f t="shared" si="129"/>
        <v/>
      </c>
      <c r="CV106" s="72" t="b">
        <f t="shared" si="130"/>
        <v>0</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7"/>
      <c r="CF107" s="253"/>
      <c r="CG107" s="256" t="b">
        <f t="shared" si="115"/>
        <v>0</v>
      </c>
      <c r="CH107" s="256" t="str">
        <f t="shared" si="116"/>
        <v/>
      </c>
      <c r="CI107" s="72" t="str">
        <f t="shared" si="117"/>
        <v/>
      </c>
      <c r="CJ107" s="72" t="str">
        <f t="shared" si="118"/>
        <v/>
      </c>
      <c r="CK107" s="72" t="str">
        <f t="shared" si="119"/>
        <v/>
      </c>
      <c r="CL107" s="72" t="str">
        <f t="shared" si="120"/>
        <v>Juggernaut</v>
      </c>
      <c r="CM107" s="72" t="b">
        <f t="shared" si="121"/>
        <v>0</v>
      </c>
      <c r="CN107" s="72" t="str">
        <f t="shared" si="122"/>
        <v>Juggernaut</v>
      </c>
      <c r="CO107" s="72" t="str">
        <f t="shared" si="123"/>
        <v>Juggernaut</v>
      </c>
      <c r="CP107" s="72" t="str">
        <f t="shared" si="124"/>
        <v>Juggernaut</v>
      </c>
      <c r="CQ107" s="72" t="b">
        <f t="shared" si="125"/>
        <v>0</v>
      </c>
      <c r="CR107" s="72" t="str">
        <f t="shared" si="126"/>
        <v>Juggernaut</v>
      </c>
      <c r="CS107" s="72" t="str">
        <f t="shared" si="127"/>
        <v/>
      </c>
      <c r="CT107" s="72" t="str">
        <f t="shared" si="128"/>
        <v/>
      </c>
      <c r="CU107" s="72" t="str">
        <f t="shared" si="129"/>
        <v/>
      </c>
      <c r="CV107" s="72" t="b">
        <f t="shared" si="130"/>
        <v>0</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7"/>
      <c r="CF108" s="253"/>
      <c r="CG108" s="256" t="b">
        <f t="shared" si="115"/>
        <v>0</v>
      </c>
      <c r="CH108" s="256" t="str">
        <f t="shared" si="116"/>
        <v/>
      </c>
      <c r="CI108" s="72" t="str">
        <f t="shared" si="117"/>
        <v/>
      </c>
      <c r="CJ108" s="72" t="str">
        <f t="shared" si="118"/>
        <v/>
      </c>
      <c r="CK108" s="72" t="str">
        <f t="shared" si="119"/>
        <v/>
      </c>
      <c r="CL108" s="72" t="str">
        <f t="shared" si="120"/>
        <v>Mighty Blow (+1)</v>
      </c>
      <c r="CM108" s="72" t="b">
        <f t="shared" si="121"/>
        <v>0</v>
      </c>
      <c r="CN108" s="72" t="str">
        <f t="shared" si="122"/>
        <v>Mighty Blow (+1)</v>
      </c>
      <c r="CO108" s="72" t="str">
        <f t="shared" si="123"/>
        <v>Mighty Blow (+1)</v>
      </c>
      <c r="CP108" s="72" t="str">
        <f t="shared" si="124"/>
        <v>Mighty Blow (+1)</v>
      </c>
      <c r="CQ108" s="72" t="b">
        <f t="shared" si="125"/>
        <v>0</v>
      </c>
      <c r="CR108" s="72" t="str">
        <f t="shared" si="126"/>
        <v>Mighty Blow (+1)</v>
      </c>
      <c r="CS108" s="72" t="str">
        <f t="shared" si="127"/>
        <v/>
      </c>
      <c r="CT108" s="72" t="str">
        <f t="shared" si="128"/>
        <v/>
      </c>
      <c r="CU108" s="72" t="str">
        <f t="shared" si="129"/>
        <v/>
      </c>
      <c r="CV108" s="72" t="b">
        <f t="shared" si="130"/>
        <v>0</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7"/>
      <c r="CF109" s="253"/>
      <c r="CG109" s="256" t="b">
        <f t="shared" si="115"/>
        <v>0</v>
      </c>
      <c r="CH109" s="256" t="str">
        <f t="shared" si="116"/>
        <v/>
      </c>
      <c r="CI109" s="72" t="str">
        <f t="shared" si="117"/>
        <v/>
      </c>
      <c r="CJ109" s="72" t="str">
        <f t="shared" si="118"/>
        <v/>
      </c>
      <c r="CK109" s="72" t="str">
        <f t="shared" si="119"/>
        <v/>
      </c>
      <c r="CL109" s="72" t="str">
        <f t="shared" si="120"/>
        <v>Multiple Blocks</v>
      </c>
      <c r="CM109" s="72" t="b">
        <f t="shared" si="121"/>
        <v>0</v>
      </c>
      <c r="CN109" s="72" t="str">
        <f t="shared" si="122"/>
        <v>Multiple Blocks</v>
      </c>
      <c r="CO109" s="72" t="str">
        <f t="shared" si="123"/>
        <v>Multiple Blocks</v>
      </c>
      <c r="CP109" s="72" t="str">
        <f t="shared" si="124"/>
        <v>Multiple Blocks</v>
      </c>
      <c r="CQ109" s="72" t="b">
        <f t="shared" si="125"/>
        <v>0</v>
      </c>
      <c r="CR109" s="72" t="str">
        <f t="shared" si="126"/>
        <v>Multiple Blocks</v>
      </c>
      <c r="CS109" s="72" t="str">
        <f t="shared" si="127"/>
        <v/>
      </c>
      <c r="CT109" s="72" t="str">
        <f t="shared" si="128"/>
        <v/>
      </c>
      <c r="CU109" s="72" t="str">
        <f t="shared" si="129"/>
        <v/>
      </c>
      <c r="CV109" s="72" t="b">
        <f t="shared" si="130"/>
        <v>0</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7"/>
      <c r="CF110" s="253"/>
      <c r="CG110" s="256" t="b">
        <f t="shared" si="115"/>
        <v>0</v>
      </c>
      <c r="CH110" s="256" t="str">
        <f t="shared" si="116"/>
        <v/>
      </c>
      <c r="CI110" s="72" t="str">
        <f t="shared" si="117"/>
        <v/>
      </c>
      <c r="CJ110" s="72" t="str">
        <f t="shared" si="118"/>
        <v/>
      </c>
      <c r="CK110" s="72" t="str">
        <f t="shared" si="119"/>
        <v/>
      </c>
      <c r="CL110" s="72" t="str">
        <f t="shared" si="120"/>
        <v>Pile Diver</v>
      </c>
      <c r="CM110" s="72" t="b">
        <f t="shared" si="121"/>
        <v>0</v>
      </c>
      <c r="CN110" s="72" t="str">
        <f t="shared" si="122"/>
        <v>Pile Diver</v>
      </c>
      <c r="CO110" s="72" t="str">
        <f t="shared" si="123"/>
        <v>Pile Diver</v>
      </c>
      <c r="CP110" s="72" t="str">
        <f t="shared" si="124"/>
        <v>Pile Diver</v>
      </c>
      <c r="CQ110" s="72" t="b">
        <f t="shared" si="125"/>
        <v>0</v>
      </c>
      <c r="CR110" s="72" t="str">
        <f t="shared" si="126"/>
        <v>Pile Diver</v>
      </c>
      <c r="CS110" s="72" t="str">
        <f t="shared" si="127"/>
        <v/>
      </c>
      <c r="CT110" s="72" t="str">
        <f t="shared" si="128"/>
        <v/>
      </c>
      <c r="CU110" s="72" t="str">
        <f t="shared" si="129"/>
        <v/>
      </c>
      <c r="CV110" s="72" t="b">
        <f t="shared" si="130"/>
        <v>0</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7"/>
      <c r="CF111" s="253"/>
      <c r="CG111" s="256" t="b">
        <f t="shared" si="115"/>
        <v>0</v>
      </c>
      <c r="CH111" s="256" t="str">
        <f t="shared" si="116"/>
        <v/>
      </c>
      <c r="CI111" s="72" t="str">
        <f t="shared" si="117"/>
        <v/>
      </c>
      <c r="CJ111" s="72" t="str">
        <f t="shared" si="118"/>
        <v/>
      </c>
      <c r="CK111" s="72" t="str">
        <f t="shared" si="119"/>
        <v/>
      </c>
      <c r="CL111" s="72" t="str">
        <f t="shared" si="120"/>
        <v>Stand Firm</v>
      </c>
      <c r="CM111" s="72" t="b">
        <f t="shared" si="121"/>
        <v>0</v>
      </c>
      <c r="CN111" s="72" t="str">
        <f t="shared" si="122"/>
        <v>Stand Firm</v>
      </c>
      <c r="CO111" s="72" t="str">
        <f t="shared" si="123"/>
        <v>Stand Firm</v>
      </c>
      <c r="CP111" s="72" t="str">
        <f t="shared" si="124"/>
        <v>Stand Firm</v>
      </c>
      <c r="CQ111" s="72" t="b">
        <f t="shared" si="125"/>
        <v>0</v>
      </c>
      <c r="CR111" s="72" t="str">
        <f t="shared" si="126"/>
        <v>Stand Firm</v>
      </c>
      <c r="CS111" s="72" t="str">
        <f t="shared" si="127"/>
        <v/>
      </c>
      <c r="CT111" s="72" t="str">
        <f t="shared" si="128"/>
        <v/>
      </c>
      <c r="CU111" s="72" t="str">
        <f t="shared" si="129"/>
        <v/>
      </c>
      <c r="CV111" s="72" t="b">
        <f t="shared" si="130"/>
        <v>0</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7"/>
      <c r="CF112" s="253"/>
      <c r="CG112" s="256" t="b">
        <f t="shared" si="115"/>
        <v>0</v>
      </c>
      <c r="CH112" s="256" t="str">
        <f t="shared" si="116"/>
        <v/>
      </c>
      <c r="CI112" s="72" t="str">
        <f t="shared" si="117"/>
        <v/>
      </c>
      <c r="CJ112" s="72" t="str">
        <f t="shared" si="118"/>
        <v/>
      </c>
      <c r="CK112" s="72" t="str">
        <f t="shared" si="119"/>
        <v/>
      </c>
      <c r="CL112" s="72" t="str">
        <f t="shared" si="120"/>
        <v>Strong Arm</v>
      </c>
      <c r="CM112" s="72" t="b">
        <f t="shared" si="121"/>
        <v>0</v>
      </c>
      <c r="CN112" s="72" t="str">
        <f t="shared" si="122"/>
        <v>Strong Arm</v>
      </c>
      <c r="CO112" s="72" t="str">
        <f t="shared" si="123"/>
        <v>Strong Arm</v>
      </c>
      <c r="CP112" s="72" t="str">
        <f t="shared" si="124"/>
        <v>Strong Arm</v>
      </c>
      <c r="CQ112" s="72" t="b">
        <f t="shared" si="125"/>
        <v>0</v>
      </c>
      <c r="CR112" s="72" t="str">
        <f t="shared" si="126"/>
        <v>Strong Arm</v>
      </c>
      <c r="CS112" s="72" t="str">
        <f t="shared" si="127"/>
        <v/>
      </c>
      <c r="CT112" s="72" t="str">
        <f t="shared" si="128"/>
        <v/>
      </c>
      <c r="CU112" s="72" t="str">
        <f t="shared" si="129"/>
        <v/>
      </c>
      <c r="CV112" s="72" t="b">
        <f t="shared" si="130"/>
        <v>0</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7"/>
      <c r="CF113" s="253"/>
      <c r="CG113" s="256" t="b">
        <f t="shared" si="115"/>
        <v>0</v>
      </c>
      <c r="CH113" s="256" t="str">
        <f t="shared" si="116"/>
        <v/>
      </c>
      <c r="CI113" s="72" t="str">
        <f t="shared" si="117"/>
        <v/>
      </c>
      <c r="CJ113" s="72" t="str">
        <f t="shared" si="118"/>
        <v/>
      </c>
      <c r="CK113" s="72" t="str">
        <f t="shared" si="119"/>
        <v/>
      </c>
      <c r="CL113" s="72" t="str">
        <f t="shared" si="120"/>
        <v>Thick Skull</v>
      </c>
      <c r="CM113" s="72" t="b">
        <f t="shared" si="121"/>
        <v>0</v>
      </c>
      <c r="CN113" s="72" t="str">
        <f t="shared" si="122"/>
        <v>Thick Skull</v>
      </c>
      <c r="CO113" s="72" t="str">
        <f t="shared" si="123"/>
        <v>Thick Skull</v>
      </c>
      <c r="CP113" s="72" t="str">
        <f t="shared" si="124"/>
        <v>Thick Skull</v>
      </c>
      <c r="CQ113" s="72" t="b">
        <f t="shared" si="125"/>
        <v>0</v>
      </c>
      <c r="CR113" s="72" t="str">
        <f t="shared" si="126"/>
        <v>Thick Skull</v>
      </c>
      <c r="CS113" s="72" t="str">
        <f t="shared" si="127"/>
        <v/>
      </c>
      <c r="CT113" s="72" t="str">
        <f t="shared" si="128"/>
        <v/>
      </c>
      <c r="CU113" s="72" t="str">
        <f t="shared" si="129"/>
        <v/>
      </c>
      <c r="CV113" s="72" t="b">
        <f t="shared" si="130"/>
        <v>0</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7"/>
      <c r="CF114" s="253"/>
      <c r="CG114" s="256" t="b">
        <f t="shared" si="115"/>
        <v>0</v>
      </c>
      <c r="CH114" s="256" t="str">
        <f t="shared" si="116"/>
        <v/>
      </c>
      <c r="CI114" s="72" t="str">
        <f t="shared" si="117"/>
        <v/>
      </c>
      <c r="CJ114" s="72" t="str">
        <f t="shared" si="118"/>
        <v/>
      </c>
      <c r="CK114" s="72" t="str">
        <f t="shared" si="119"/>
        <v/>
      </c>
      <c r="CL114" s="72" t="str">
        <f t="shared" si="120"/>
        <v/>
      </c>
      <c r="CM114" s="72" t="b">
        <f t="shared" si="121"/>
        <v>0</v>
      </c>
      <c r="CN114" s="72" t="str">
        <f t="shared" si="122"/>
        <v/>
      </c>
      <c r="CO114" s="72" t="str">
        <f t="shared" si="123"/>
        <v/>
      </c>
      <c r="CP114" s="72" t="str">
        <f t="shared" si="124"/>
        <v/>
      </c>
      <c r="CQ114" s="72" t="b">
        <f t="shared" si="125"/>
        <v>0</v>
      </c>
      <c r="CR114" s="72" t="str">
        <f t="shared" si="126"/>
        <v/>
      </c>
      <c r="CS114" s="72" t="str">
        <f t="shared" si="127"/>
        <v/>
      </c>
      <c r="CT114" s="72" t="str">
        <f t="shared" si="128"/>
        <v/>
      </c>
      <c r="CU114" s="72" t="str">
        <f t="shared" si="129"/>
        <v/>
      </c>
      <c r="CV114" s="72" t="b">
        <f t="shared" si="130"/>
        <v>0</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7"/>
      <c r="CF115" s="253"/>
      <c r="CG115" s="256" t="b">
        <f t="shared" si="115"/>
        <v>0</v>
      </c>
      <c r="CH115" s="256" t="str">
        <f t="shared" si="116"/>
        <v/>
      </c>
      <c r="CI115" s="72" t="str">
        <f t="shared" si="117"/>
        <v/>
      </c>
      <c r="CJ115" s="72" t="str">
        <f t="shared" si="118"/>
        <v/>
      </c>
      <c r="CK115" s="72" t="str">
        <f t="shared" si="119"/>
        <v/>
      </c>
      <c r="CL115" s="72" t="str">
        <f t="shared" si="120"/>
        <v/>
      </c>
      <c r="CM115" s="72" t="b">
        <f t="shared" si="121"/>
        <v>0</v>
      </c>
      <c r="CN115" s="72" t="str">
        <f t="shared" si="122"/>
        <v/>
      </c>
      <c r="CO115" s="72" t="str">
        <f t="shared" si="123"/>
        <v/>
      </c>
      <c r="CP115" s="72" t="str">
        <f t="shared" si="124"/>
        <v/>
      </c>
      <c r="CQ115" s="72" t="b">
        <f t="shared" si="125"/>
        <v>0</v>
      </c>
      <c r="CR115" s="72" t="str">
        <f t="shared" si="126"/>
        <v/>
      </c>
      <c r="CS115" s="72" t="str">
        <f t="shared" si="127"/>
        <v/>
      </c>
      <c r="CT115" s="72" t="str">
        <f t="shared" si="128"/>
        <v/>
      </c>
      <c r="CU115" s="72" t="str">
        <f t="shared" si="129"/>
        <v/>
      </c>
      <c r="CV115" s="72" t="b">
        <f t="shared" si="130"/>
        <v>0</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7"/>
      <c r="CF116" s="253"/>
      <c r="CG116" s="256" t="b">
        <f t="shared" si="115"/>
        <v>0</v>
      </c>
      <c r="CH116" s="256" t="str">
        <f t="shared" si="116"/>
        <v/>
      </c>
      <c r="CI116" s="72" t="str">
        <f t="shared" si="117"/>
        <v/>
      </c>
      <c r="CJ116" s="72" t="str">
        <f t="shared" si="118"/>
        <v/>
      </c>
      <c r="CK116" s="72" t="str">
        <f t="shared" si="119"/>
        <v/>
      </c>
      <c r="CL116" s="72" t="str">
        <f t="shared" si="120"/>
        <v/>
      </c>
      <c r="CM116" s="72" t="b">
        <f t="shared" si="121"/>
        <v>0</v>
      </c>
      <c r="CN116" s="72" t="str">
        <f t="shared" si="122"/>
        <v/>
      </c>
      <c r="CO116" s="72" t="str">
        <f t="shared" si="123"/>
        <v/>
      </c>
      <c r="CP116" s="72" t="str">
        <f t="shared" si="124"/>
        <v/>
      </c>
      <c r="CQ116" s="72" t="b">
        <f t="shared" si="125"/>
        <v>0</v>
      </c>
      <c r="CR116" s="72" t="str">
        <f t="shared" si="126"/>
        <v/>
      </c>
      <c r="CS116" s="72" t="str">
        <f t="shared" si="127"/>
        <v/>
      </c>
      <c r="CT116" s="72" t="str">
        <f t="shared" si="128"/>
        <v/>
      </c>
      <c r="CU116" s="72" t="str">
        <f t="shared" si="129"/>
        <v/>
      </c>
      <c r="CV116" s="72" t="b">
        <f t="shared" si="130"/>
        <v>0</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7"/>
      <c r="CF117" s="253"/>
      <c r="CG117" s="256" t="b">
        <f t="shared" si="115"/>
        <v>0</v>
      </c>
      <c r="CH117" s="256" t="str">
        <f t="shared" si="116"/>
        <v/>
      </c>
      <c r="CI117" s="72" t="str">
        <f t="shared" si="117"/>
        <v/>
      </c>
      <c r="CJ117" s="72" t="str">
        <f t="shared" si="118"/>
        <v/>
      </c>
      <c r="CK117" s="72" t="str">
        <f t="shared" si="119"/>
        <v/>
      </c>
      <c r="CL117" s="72" t="str">
        <f t="shared" si="120"/>
        <v/>
      </c>
      <c r="CM117" s="72" t="b">
        <f t="shared" si="121"/>
        <v>0</v>
      </c>
      <c r="CN117" s="72" t="str">
        <f t="shared" si="122"/>
        <v/>
      </c>
      <c r="CO117" s="72" t="str">
        <f t="shared" si="123"/>
        <v/>
      </c>
      <c r="CP117" s="72" t="str">
        <f t="shared" si="124"/>
        <v/>
      </c>
      <c r="CQ117" s="72" t="b">
        <f t="shared" si="125"/>
        <v>0</v>
      </c>
      <c r="CR117" s="72" t="str">
        <f t="shared" si="126"/>
        <v/>
      </c>
      <c r="CS117" s="72" t="str">
        <f t="shared" si="127"/>
        <v/>
      </c>
      <c r="CT117" s="72" t="str">
        <f t="shared" si="128"/>
        <v/>
      </c>
      <c r="CU117" s="72" t="str">
        <f t="shared" si="129"/>
        <v/>
      </c>
      <c r="CV117" s="72" t="b">
        <f t="shared" si="130"/>
        <v>0</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7"/>
      <c r="CF118" s="253"/>
      <c r="CG118" s="256" t="b">
        <f t="shared" si="115"/>
        <v>0</v>
      </c>
      <c r="CH118" s="256" t="str">
        <f t="shared" si="116"/>
        <v/>
      </c>
      <c r="CI118" s="72" t="str">
        <f t="shared" si="117"/>
        <v/>
      </c>
      <c r="CJ118" s="72" t="str">
        <f t="shared" si="118"/>
        <v/>
      </c>
      <c r="CK118" s="72" t="str">
        <f t="shared" si="119"/>
        <v/>
      </c>
      <c r="CL118" s="72" t="str">
        <f t="shared" si="120"/>
        <v/>
      </c>
      <c r="CM118" s="72" t="b">
        <f t="shared" si="121"/>
        <v>0</v>
      </c>
      <c r="CN118" s="72" t="str">
        <f t="shared" si="122"/>
        <v/>
      </c>
      <c r="CO118" s="72" t="str">
        <f t="shared" si="123"/>
        <v/>
      </c>
      <c r="CP118" s="72" t="str">
        <f t="shared" si="124"/>
        <v/>
      </c>
      <c r="CQ118" s="72" t="b">
        <f t="shared" si="125"/>
        <v>0</v>
      </c>
      <c r="CR118" s="72" t="str">
        <f t="shared" si="126"/>
        <v/>
      </c>
      <c r="CS118" s="72" t="str">
        <f t="shared" si="127"/>
        <v/>
      </c>
      <c r="CT118" s="72" t="str">
        <f t="shared" si="128"/>
        <v/>
      </c>
      <c r="CU118" s="72" t="str">
        <f t="shared" si="129"/>
        <v/>
      </c>
      <c r="CV118" s="72" t="b">
        <f t="shared" si="130"/>
        <v>0</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7"/>
      <c r="CF119" s="253"/>
      <c r="CG119" s="256" t="b">
        <f t="shared" si="115"/>
        <v>0</v>
      </c>
      <c r="CH119" s="256" t="str">
        <f t="shared" si="116"/>
        <v/>
      </c>
      <c r="CI119" s="72" t="str">
        <f t="shared" si="117"/>
        <v/>
      </c>
      <c r="CJ119" s="72" t="str">
        <f t="shared" si="118"/>
        <v/>
      </c>
      <c r="CK119" s="72" t="str">
        <f t="shared" si="119"/>
        <v/>
      </c>
      <c r="CL119" s="72" t="str">
        <f t="shared" si="120"/>
        <v/>
      </c>
      <c r="CM119" s="72" t="b">
        <f t="shared" si="121"/>
        <v>0</v>
      </c>
      <c r="CN119" s="72" t="str">
        <f t="shared" si="122"/>
        <v/>
      </c>
      <c r="CO119" s="72" t="str">
        <f t="shared" si="123"/>
        <v/>
      </c>
      <c r="CP119" s="72" t="str">
        <f t="shared" si="124"/>
        <v/>
      </c>
      <c r="CQ119" s="72" t="b">
        <f t="shared" si="125"/>
        <v>0</v>
      </c>
      <c r="CR119" s="72" t="str">
        <f t="shared" si="126"/>
        <v/>
      </c>
      <c r="CS119" s="72" t="str">
        <f t="shared" si="127"/>
        <v/>
      </c>
      <c r="CT119" s="72" t="str">
        <f t="shared" si="128"/>
        <v/>
      </c>
      <c r="CU119" s="72" t="str">
        <f t="shared" si="129"/>
        <v/>
      </c>
      <c r="CV119" s="72" t="b">
        <f t="shared" si="130"/>
        <v>0</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7"/>
      <c r="CF120" s="253"/>
      <c r="CG120" s="256" t="b">
        <f t="shared" si="115"/>
        <v>0</v>
      </c>
      <c r="CH120" s="256" t="str">
        <f t="shared" si="116"/>
        <v/>
      </c>
      <c r="CI120" s="72" t="str">
        <f t="shared" si="117"/>
        <v/>
      </c>
      <c r="CJ120" s="72" t="str">
        <f t="shared" si="118"/>
        <v/>
      </c>
      <c r="CK120" s="72" t="str">
        <f t="shared" si="119"/>
        <v/>
      </c>
      <c r="CL120" s="72" t="str">
        <f t="shared" si="120"/>
        <v/>
      </c>
      <c r="CM120" s="72" t="b">
        <f t="shared" si="121"/>
        <v>0</v>
      </c>
      <c r="CN120" s="72" t="str">
        <f t="shared" si="122"/>
        <v/>
      </c>
      <c r="CO120" s="72" t="str">
        <f t="shared" si="123"/>
        <v/>
      </c>
      <c r="CP120" s="72" t="str">
        <f t="shared" si="124"/>
        <v/>
      </c>
      <c r="CQ120" s="72" t="b">
        <f t="shared" si="125"/>
        <v>0</v>
      </c>
      <c r="CR120" s="72" t="str">
        <f t="shared" si="126"/>
        <v/>
      </c>
      <c r="CS120" s="72" t="str">
        <f t="shared" si="127"/>
        <v/>
      </c>
      <c r="CT120" s="72" t="str">
        <f t="shared" si="128"/>
        <v/>
      </c>
      <c r="CU120" s="72" t="str">
        <f t="shared" si="129"/>
        <v/>
      </c>
      <c r="CV120" s="72" t="b">
        <f t="shared" si="130"/>
        <v>0</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7"/>
      <c r="CF121" s="253"/>
      <c r="CG121" s="256" t="b">
        <f t="shared" si="115"/>
        <v>0</v>
      </c>
      <c r="CH121" s="256" t="str">
        <f t="shared" si="116"/>
        <v/>
      </c>
      <c r="CI121" s="72" t="str">
        <f t="shared" si="117"/>
        <v/>
      </c>
      <c r="CJ121" s="72" t="str">
        <f t="shared" si="118"/>
        <v/>
      </c>
      <c r="CK121" s="72" t="str">
        <f t="shared" si="119"/>
        <v/>
      </c>
      <c r="CL121" s="72" t="str">
        <f t="shared" si="120"/>
        <v/>
      </c>
      <c r="CM121" s="72" t="b">
        <f t="shared" si="121"/>
        <v>0</v>
      </c>
      <c r="CN121" s="72" t="str">
        <f t="shared" si="122"/>
        <v/>
      </c>
      <c r="CO121" s="72" t="str">
        <f t="shared" si="123"/>
        <v/>
      </c>
      <c r="CP121" s="72" t="str">
        <f t="shared" si="124"/>
        <v/>
      </c>
      <c r="CQ121" s="72" t="b">
        <f t="shared" si="125"/>
        <v>0</v>
      </c>
      <c r="CR121" s="72" t="str">
        <f t="shared" si="126"/>
        <v/>
      </c>
      <c r="CS121" s="72" t="str">
        <f t="shared" si="127"/>
        <v/>
      </c>
      <c r="CT121" s="72" t="str">
        <f t="shared" si="128"/>
        <v/>
      </c>
      <c r="CU121" s="72" t="str">
        <f t="shared" si="129"/>
        <v/>
      </c>
      <c r="CV121" s="72" t="b">
        <f t="shared" si="130"/>
        <v>0</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7"/>
      <c r="CF122" s="253"/>
      <c r="CG122" s="256" t="b">
        <f t="shared" si="115"/>
        <v>0</v>
      </c>
      <c r="CH122" s="256" t="str">
        <f t="shared" si="116"/>
        <v/>
      </c>
      <c r="CI122" s="72" t="str">
        <f t="shared" si="117"/>
        <v/>
      </c>
      <c r="CJ122" s="72" t="str">
        <f t="shared" si="118"/>
        <v/>
      </c>
      <c r="CK122" s="72" t="str">
        <f t="shared" si="119"/>
        <v/>
      </c>
      <c r="CL122" s="72" t="str">
        <f t="shared" si="120"/>
        <v/>
      </c>
      <c r="CM122" s="72" t="b">
        <f t="shared" si="121"/>
        <v>0</v>
      </c>
      <c r="CN122" s="72" t="str">
        <f t="shared" si="122"/>
        <v/>
      </c>
      <c r="CO122" s="72" t="str">
        <f t="shared" si="123"/>
        <v/>
      </c>
      <c r="CP122" s="72" t="str">
        <f t="shared" si="124"/>
        <v/>
      </c>
      <c r="CQ122" s="72" t="b">
        <f t="shared" si="125"/>
        <v>0</v>
      </c>
      <c r="CR122" s="72" t="str">
        <f t="shared" si="126"/>
        <v/>
      </c>
      <c r="CS122" s="72" t="str">
        <f t="shared" si="127"/>
        <v/>
      </c>
      <c r="CT122" s="72" t="str">
        <f t="shared" si="128"/>
        <v/>
      </c>
      <c r="CU122" s="72" t="str">
        <f t="shared" si="129"/>
        <v/>
      </c>
      <c r="CV122" s="72" t="b">
        <f t="shared" si="130"/>
        <v>0</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7"/>
      <c r="CF123" s="253"/>
      <c r="CG123" s="256" t="b">
        <f t="shared" si="115"/>
        <v>0</v>
      </c>
      <c r="CH123" s="256" t="str">
        <f t="shared" si="116"/>
        <v/>
      </c>
      <c r="CI123" s="72" t="str">
        <f t="shared" si="117"/>
        <v/>
      </c>
      <c r="CJ123" s="72" t="str">
        <f t="shared" si="118"/>
        <v/>
      </c>
      <c r="CK123" s="72" t="str">
        <f t="shared" si="119"/>
        <v/>
      </c>
      <c r="CL123" s="72" t="str">
        <f t="shared" si="120"/>
        <v/>
      </c>
      <c r="CM123" s="72" t="b">
        <f t="shared" si="121"/>
        <v>0</v>
      </c>
      <c r="CN123" s="72" t="str">
        <f t="shared" si="122"/>
        <v/>
      </c>
      <c r="CO123" s="72" t="str">
        <f t="shared" si="123"/>
        <v/>
      </c>
      <c r="CP123" s="72" t="str">
        <f t="shared" si="124"/>
        <v/>
      </c>
      <c r="CQ123" s="72" t="b">
        <f t="shared" si="125"/>
        <v>0</v>
      </c>
      <c r="CR123" s="72" t="str">
        <f t="shared" si="126"/>
        <v/>
      </c>
      <c r="CS123" s="72" t="str">
        <f t="shared" si="127"/>
        <v/>
      </c>
      <c r="CT123" s="72" t="str">
        <f t="shared" si="128"/>
        <v/>
      </c>
      <c r="CU123" s="72" t="str">
        <f t="shared" si="129"/>
        <v/>
      </c>
      <c r="CV123" s="72" t="b">
        <f t="shared" si="130"/>
        <v>0</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7"/>
      <c r="CF124" s="253"/>
      <c r="CG124" s="256" t="b">
        <f t="shared" si="115"/>
        <v>0</v>
      </c>
      <c r="CH124" s="256" t="str">
        <f t="shared" si="116"/>
        <v/>
      </c>
      <c r="CI124" s="72" t="str">
        <f t="shared" si="117"/>
        <v/>
      </c>
      <c r="CJ124" s="72" t="str">
        <f t="shared" si="118"/>
        <v/>
      </c>
      <c r="CK124" s="72" t="str">
        <f t="shared" si="119"/>
        <v/>
      </c>
      <c r="CL124" s="72" t="str">
        <f t="shared" si="120"/>
        <v/>
      </c>
      <c r="CM124" s="72" t="b">
        <f t="shared" si="121"/>
        <v>0</v>
      </c>
      <c r="CN124" s="72" t="str">
        <f t="shared" si="122"/>
        <v/>
      </c>
      <c r="CO124" s="72" t="str">
        <f t="shared" si="123"/>
        <v/>
      </c>
      <c r="CP124" s="72" t="str">
        <f t="shared" si="124"/>
        <v/>
      </c>
      <c r="CQ124" s="72" t="b">
        <f t="shared" si="125"/>
        <v>0</v>
      </c>
      <c r="CR124" s="72" t="str">
        <f t="shared" si="126"/>
        <v/>
      </c>
      <c r="CS124" s="72" t="str">
        <f t="shared" si="127"/>
        <v/>
      </c>
      <c r="CT124" s="72" t="str">
        <f t="shared" si="128"/>
        <v/>
      </c>
      <c r="CU124" s="72" t="str">
        <f t="shared" si="129"/>
        <v/>
      </c>
      <c r="CV124" s="72" t="b">
        <f t="shared" si="130"/>
        <v>0</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3"/>
      <c r="CF125" s="253"/>
      <c r="CG125" s="256" t="b">
        <f t="shared" si="115"/>
        <v>0</v>
      </c>
      <c r="CH125" s="256" t="str">
        <f t="shared" si="116"/>
        <v/>
      </c>
      <c r="CI125" s="72" t="str">
        <f t="shared" si="117"/>
        <v/>
      </c>
      <c r="CJ125" s="72" t="str">
        <f t="shared" si="118"/>
        <v/>
      </c>
      <c r="CK125" s="72" t="str">
        <f t="shared" si="119"/>
        <v/>
      </c>
      <c r="CL125" s="72" t="str">
        <f t="shared" si="120"/>
        <v/>
      </c>
      <c r="CM125" s="72" t="b">
        <f t="shared" si="121"/>
        <v>0</v>
      </c>
      <c r="CN125" s="72" t="str">
        <f t="shared" si="122"/>
        <v/>
      </c>
      <c r="CO125" s="72" t="str">
        <f t="shared" si="123"/>
        <v/>
      </c>
      <c r="CP125" s="72" t="str">
        <f t="shared" si="124"/>
        <v/>
      </c>
      <c r="CQ125" s="72" t="b">
        <f t="shared" si="125"/>
        <v>0</v>
      </c>
      <c r="CR125" s="72" t="str">
        <f t="shared" si="126"/>
        <v/>
      </c>
      <c r="CS125" s="72" t="str">
        <f t="shared" si="127"/>
        <v/>
      </c>
      <c r="CT125" s="72" t="str">
        <f t="shared" si="128"/>
        <v/>
      </c>
      <c r="CU125" s="72" t="str">
        <f t="shared" si="129"/>
        <v/>
      </c>
      <c r="CV125" s="72" t="b">
        <f t="shared" si="130"/>
        <v>0</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3"/>
      <c r="CF126" s="253"/>
      <c r="CG126" s="256" t="b">
        <f t="shared" si="115"/>
        <v>0</v>
      </c>
      <c r="CH126" s="256" t="str">
        <f t="shared" si="116"/>
        <v/>
      </c>
      <c r="CI126" s="72" t="str">
        <f t="shared" si="117"/>
        <v/>
      </c>
      <c r="CJ126" s="72" t="str">
        <f t="shared" si="118"/>
        <v/>
      </c>
      <c r="CK126" s="72" t="str">
        <f t="shared" si="119"/>
        <v/>
      </c>
      <c r="CL126" s="72" t="str">
        <f t="shared" si="120"/>
        <v/>
      </c>
      <c r="CM126" s="72" t="b">
        <f t="shared" si="121"/>
        <v>0</v>
      </c>
      <c r="CN126" s="72" t="str">
        <f t="shared" si="122"/>
        <v/>
      </c>
      <c r="CO126" s="72" t="str">
        <f t="shared" si="123"/>
        <v/>
      </c>
      <c r="CP126" s="72" t="str">
        <f t="shared" si="124"/>
        <v/>
      </c>
      <c r="CQ126" s="72" t="b">
        <f t="shared" si="125"/>
        <v>0</v>
      </c>
      <c r="CR126" s="72" t="str">
        <f t="shared" si="126"/>
        <v/>
      </c>
      <c r="CS126" s="72" t="str">
        <f t="shared" si="127"/>
        <v/>
      </c>
      <c r="CT126" s="72" t="str">
        <f t="shared" si="128"/>
        <v/>
      </c>
      <c r="CU126" s="72" t="str">
        <f t="shared" si="129"/>
        <v/>
      </c>
      <c r="CV126" s="28"/>
      <c r="CW126" s="28" t="str">
        <f t="shared" ref="CW126:CW143" si="199">IFERROR((IF($CO$57="M",BW126,IF($CO$57="PM",BY126,IF($CO$57="P",BU126,IF($CO$57="FULL",BS126))))),"")</f>
        <v/>
      </c>
      <c r="CX126" s="28"/>
      <c r="CY126" s="28" t="str">
        <f t="shared" ref="CY126:CY143" si="200">IFERROR((IF($CP$57="M",BW126,IF($CP$57="PM",BY126,IF($CP$57="P",BU126,IF($CP$57="FULL",BS126))))),"")</f>
        <v/>
      </c>
      <c r="CZ126" s="28"/>
      <c r="DA126" s="28" t="b">
        <f t="shared" ref="DA126:DA143" si="201">IFERROR((IF($CQ$57="M",BW126,IF($CQ$57="PM",BY126,IF($CQ$57="P",BU126,IF($CQ$57="FULL",BS126))))),"")</f>
        <v>0</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3"/>
      <c r="CF127" s="253"/>
      <c r="CG127" s="256" t="b">
        <f t="shared" si="115"/>
        <v>0</v>
      </c>
      <c r="CH127" s="256" t="str">
        <f t="shared" si="116"/>
        <v/>
      </c>
      <c r="CI127" s="72" t="str">
        <f t="shared" si="117"/>
        <v/>
      </c>
      <c r="CJ127" s="72" t="str">
        <f t="shared" si="118"/>
        <v/>
      </c>
      <c r="CK127" s="72" t="str">
        <f t="shared" si="119"/>
        <v/>
      </c>
      <c r="CL127" s="72" t="str">
        <f t="shared" si="120"/>
        <v/>
      </c>
      <c r="CM127" s="72" t="b">
        <f t="shared" si="121"/>
        <v>0</v>
      </c>
      <c r="CN127" s="72" t="str">
        <f t="shared" si="122"/>
        <v/>
      </c>
      <c r="CO127" s="72" t="str">
        <f t="shared" si="123"/>
        <v/>
      </c>
      <c r="CP127" s="72" t="str">
        <f t="shared" si="124"/>
        <v/>
      </c>
      <c r="CQ127" s="72" t="b">
        <f t="shared" si="125"/>
        <v>0</v>
      </c>
      <c r="CR127" s="72" t="str">
        <f t="shared" si="126"/>
        <v/>
      </c>
      <c r="CS127" s="72" t="str">
        <f t="shared" si="127"/>
        <v/>
      </c>
      <c r="CT127" s="72" t="str">
        <f t="shared" si="128"/>
        <v/>
      </c>
      <c r="CU127" s="72" t="str">
        <f t="shared" si="129"/>
        <v/>
      </c>
      <c r="CV127" s="28"/>
      <c r="CW127" s="28" t="str">
        <f t="shared" si="199"/>
        <v/>
      </c>
      <c r="CX127" s="28"/>
      <c r="CY127" s="28" t="str">
        <f t="shared" si="200"/>
        <v/>
      </c>
      <c r="CZ127" s="28"/>
      <c r="DA127" s="28" t="b">
        <f t="shared" si="201"/>
        <v>0</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3"/>
      <c r="CF128" s="253"/>
      <c r="CG128" s="256" t="b">
        <f t="shared" si="115"/>
        <v>0</v>
      </c>
      <c r="CH128" s="256" t="str">
        <f t="shared" si="116"/>
        <v/>
      </c>
      <c r="CI128" s="72" t="str">
        <f t="shared" si="117"/>
        <v/>
      </c>
      <c r="CJ128" s="72" t="str">
        <f t="shared" si="118"/>
        <v/>
      </c>
      <c r="CK128" s="72" t="str">
        <f t="shared" si="119"/>
        <v/>
      </c>
      <c r="CL128" s="72" t="str">
        <f t="shared" si="120"/>
        <v/>
      </c>
      <c r="CM128" s="72" t="b">
        <f t="shared" si="121"/>
        <v>0</v>
      </c>
      <c r="CN128" s="72" t="str">
        <f t="shared" si="122"/>
        <v/>
      </c>
      <c r="CO128" s="72" t="str">
        <f t="shared" si="123"/>
        <v/>
      </c>
      <c r="CP128" s="72" t="str">
        <f t="shared" si="124"/>
        <v/>
      </c>
      <c r="CQ128" s="72" t="b">
        <f t="shared" si="125"/>
        <v>0</v>
      </c>
      <c r="CR128" s="72" t="str">
        <f t="shared" si="126"/>
        <v/>
      </c>
      <c r="CS128" s="72" t="str">
        <f t="shared" si="127"/>
        <v/>
      </c>
      <c r="CT128" s="72" t="str">
        <f t="shared" si="128"/>
        <v/>
      </c>
      <c r="CU128" s="72" t="str">
        <f t="shared" si="129"/>
        <v/>
      </c>
      <c r="CV128" s="28"/>
      <c r="CW128" s="28" t="str">
        <f t="shared" si="199"/>
        <v/>
      </c>
      <c r="CX128" s="28"/>
      <c r="CY128" s="28" t="str">
        <f t="shared" si="200"/>
        <v/>
      </c>
      <c r="CZ128" s="28"/>
      <c r="DA128" s="28" t="b">
        <f t="shared" si="201"/>
        <v>0</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3"/>
      <c r="CF129" s="253"/>
      <c r="CG129" s="256" t="b">
        <f t="shared" si="115"/>
        <v>0</v>
      </c>
      <c r="CH129" s="256" t="str">
        <f t="shared" si="116"/>
        <v/>
      </c>
      <c r="CI129" s="72" t="str">
        <f t="shared" si="117"/>
        <v/>
      </c>
      <c r="CJ129" s="72" t="str">
        <f t="shared" si="118"/>
        <v/>
      </c>
      <c r="CK129" s="72" t="str">
        <f t="shared" si="119"/>
        <v/>
      </c>
      <c r="CL129" s="72" t="str">
        <f t="shared" si="120"/>
        <v/>
      </c>
      <c r="CM129" s="72" t="b">
        <f t="shared" si="121"/>
        <v>0</v>
      </c>
      <c r="CN129" s="72" t="str">
        <f t="shared" si="122"/>
        <v/>
      </c>
      <c r="CO129" s="72" t="str">
        <f t="shared" si="123"/>
        <v/>
      </c>
      <c r="CP129" s="72" t="str">
        <f t="shared" si="124"/>
        <v/>
      </c>
      <c r="CQ129" s="72" t="b">
        <f t="shared" si="125"/>
        <v>0</v>
      </c>
      <c r="CR129" s="72" t="str">
        <f t="shared" si="126"/>
        <v/>
      </c>
      <c r="CS129" s="72" t="str">
        <f t="shared" si="127"/>
        <v/>
      </c>
      <c r="CT129" s="72" t="str">
        <f t="shared" si="128"/>
        <v/>
      </c>
      <c r="CU129" s="72" t="str">
        <f t="shared" si="129"/>
        <v/>
      </c>
      <c r="CV129" s="28"/>
      <c r="CW129" s="28" t="str">
        <f t="shared" si="199"/>
        <v/>
      </c>
      <c r="CX129" s="28"/>
      <c r="CY129" s="28" t="str">
        <f t="shared" si="200"/>
        <v/>
      </c>
      <c r="CZ129" s="28"/>
      <c r="DA129" s="28" t="b">
        <f t="shared" si="201"/>
        <v>0</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3"/>
      <c r="CF130" s="253"/>
      <c r="CG130" s="256" t="b">
        <f t="shared" si="115"/>
        <v>0</v>
      </c>
      <c r="CH130" s="256" t="str">
        <f t="shared" si="116"/>
        <v/>
      </c>
      <c r="CI130" s="72" t="str">
        <f t="shared" si="117"/>
        <v/>
      </c>
      <c r="CJ130" s="72" t="str">
        <f t="shared" si="118"/>
        <v/>
      </c>
      <c r="CK130" s="72" t="str">
        <f t="shared" si="119"/>
        <v/>
      </c>
      <c r="CL130" s="72" t="str">
        <f t="shared" si="120"/>
        <v/>
      </c>
      <c r="CM130" s="72" t="b">
        <f t="shared" si="121"/>
        <v>0</v>
      </c>
      <c r="CN130" s="72" t="str">
        <f t="shared" si="122"/>
        <v/>
      </c>
      <c r="CO130" s="72" t="str">
        <f t="shared" si="123"/>
        <v/>
      </c>
      <c r="CP130" s="72" t="str">
        <f t="shared" si="124"/>
        <v/>
      </c>
      <c r="CQ130" s="72" t="b">
        <f t="shared" si="125"/>
        <v>0</v>
      </c>
      <c r="CR130" s="72" t="str">
        <f t="shared" si="126"/>
        <v/>
      </c>
      <c r="CS130" s="72" t="str">
        <f t="shared" si="127"/>
        <v/>
      </c>
      <c r="CT130" s="72" t="str">
        <f t="shared" si="128"/>
        <v/>
      </c>
      <c r="CU130" s="72" t="str">
        <f t="shared" si="129"/>
        <v/>
      </c>
      <c r="CV130" s="28"/>
      <c r="CW130" s="28" t="str">
        <f t="shared" si="199"/>
        <v/>
      </c>
      <c r="CX130" s="28"/>
      <c r="CY130" s="28" t="str">
        <f t="shared" si="200"/>
        <v/>
      </c>
      <c r="CZ130" s="28"/>
      <c r="DA130" s="28" t="b">
        <f t="shared" si="201"/>
        <v>0</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3"/>
      <c r="CF131" s="253"/>
      <c r="CG131" s="256" t="b">
        <f t="shared" si="115"/>
        <v>0</v>
      </c>
      <c r="CH131" s="256" t="str">
        <f t="shared" si="116"/>
        <v/>
      </c>
      <c r="CI131" s="72" t="str">
        <f t="shared" si="117"/>
        <v/>
      </c>
      <c r="CJ131" s="72" t="str">
        <f t="shared" si="118"/>
        <v/>
      </c>
      <c r="CK131" s="72" t="str">
        <f t="shared" si="119"/>
        <v/>
      </c>
      <c r="CL131" s="72" t="str">
        <f t="shared" si="120"/>
        <v/>
      </c>
      <c r="CM131" s="72" t="b">
        <f t="shared" si="121"/>
        <v>0</v>
      </c>
      <c r="CN131" s="72" t="str">
        <f t="shared" si="122"/>
        <v/>
      </c>
      <c r="CO131" s="72" t="str">
        <f t="shared" si="123"/>
        <v/>
      </c>
      <c r="CP131" s="72" t="str">
        <f t="shared" si="124"/>
        <v/>
      </c>
      <c r="CQ131" s="72" t="b">
        <f t="shared" si="125"/>
        <v>0</v>
      </c>
      <c r="CR131" s="72" t="str">
        <f t="shared" si="126"/>
        <v/>
      </c>
      <c r="CS131" s="72" t="str">
        <f t="shared" si="127"/>
        <v/>
      </c>
      <c r="CT131" s="72" t="str">
        <f t="shared" si="128"/>
        <v/>
      </c>
      <c r="CU131" s="72" t="str">
        <f t="shared" si="129"/>
        <v/>
      </c>
      <c r="CV131" s="28"/>
      <c r="CW131" s="28" t="str">
        <f t="shared" si="199"/>
        <v/>
      </c>
      <c r="CX131" s="28"/>
      <c r="CY131" s="28" t="str">
        <f t="shared" si="200"/>
        <v/>
      </c>
      <c r="CZ131" s="28"/>
      <c r="DA131" s="28" t="b">
        <f t="shared" si="201"/>
        <v>0</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3"/>
      <c r="CF132" s="253"/>
      <c r="CG132" s="256" t="b">
        <f t="shared" si="115"/>
        <v>0</v>
      </c>
      <c r="CH132" s="256" t="str">
        <f t="shared" si="116"/>
        <v/>
      </c>
      <c r="CI132" s="72" t="str">
        <f t="shared" si="117"/>
        <v/>
      </c>
      <c r="CJ132" s="72" t="str">
        <f t="shared" si="118"/>
        <v/>
      </c>
      <c r="CK132" s="72" t="str">
        <f t="shared" si="119"/>
        <v/>
      </c>
      <c r="CL132" s="72" t="str">
        <f t="shared" si="120"/>
        <v/>
      </c>
      <c r="CM132" s="72" t="b">
        <f t="shared" si="121"/>
        <v>0</v>
      </c>
      <c r="CN132" s="72" t="str">
        <f t="shared" si="122"/>
        <v/>
      </c>
      <c r="CO132" s="72" t="str">
        <f t="shared" si="123"/>
        <v/>
      </c>
      <c r="CP132" s="72" t="str">
        <f t="shared" si="124"/>
        <v/>
      </c>
      <c r="CQ132" s="72" t="b">
        <f t="shared" si="125"/>
        <v>0</v>
      </c>
      <c r="CR132" s="72" t="str">
        <f t="shared" si="126"/>
        <v/>
      </c>
      <c r="CS132" s="72" t="str">
        <f t="shared" si="127"/>
        <v/>
      </c>
      <c r="CT132" s="72" t="str">
        <f t="shared" si="128"/>
        <v/>
      </c>
      <c r="CU132" s="72" t="str">
        <f t="shared" si="129"/>
        <v/>
      </c>
      <c r="CV132" s="28"/>
      <c r="CW132" s="28" t="str">
        <f t="shared" si="199"/>
        <v/>
      </c>
      <c r="CX132" s="28"/>
      <c r="CY132" s="28" t="str">
        <f t="shared" si="200"/>
        <v/>
      </c>
      <c r="CZ132" s="28"/>
      <c r="DA132" s="28" t="b">
        <f t="shared" si="201"/>
        <v>0</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3"/>
      <c r="CF133" s="253"/>
      <c r="CG133" s="256" t="b">
        <f t="shared" si="115"/>
        <v>0</v>
      </c>
      <c r="CH133" s="256" t="str">
        <f t="shared" si="116"/>
        <v/>
      </c>
      <c r="CI133" s="72" t="str">
        <f t="shared" si="117"/>
        <v/>
      </c>
      <c r="CJ133" s="72" t="str">
        <f t="shared" si="118"/>
        <v/>
      </c>
      <c r="CK133" s="72" t="str">
        <f t="shared" si="119"/>
        <v/>
      </c>
      <c r="CL133" s="72" t="str">
        <f t="shared" si="120"/>
        <v/>
      </c>
      <c r="CM133" s="72" t="b">
        <f t="shared" si="121"/>
        <v>0</v>
      </c>
      <c r="CN133" s="72" t="str">
        <f t="shared" si="122"/>
        <v/>
      </c>
      <c r="CO133" s="72" t="str">
        <f t="shared" si="123"/>
        <v/>
      </c>
      <c r="CP133" s="72" t="str">
        <f t="shared" si="124"/>
        <v/>
      </c>
      <c r="CQ133" s="72" t="b">
        <f t="shared" si="125"/>
        <v>0</v>
      </c>
      <c r="CR133" s="72" t="str">
        <f t="shared" si="126"/>
        <v/>
      </c>
      <c r="CS133" s="72" t="str">
        <f t="shared" si="127"/>
        <v/>
      </c>
      <c r="CT133" s="72" t="str">
        <f t="shared" si="128"/>
        <v/>
      </c>
      <c r="CU133" s="72" t="str">
        <f t="shared" si="129"/>
        <v/>
      </c>
      <c r="CV133" s="28"/>
      <c r="CW133" s="28" t="str">
        <f t="shared" si="199"/>
        <v/>
      </c>
      <c r="CX133" s="28"/>
      <c r="CY133" s="28" t="str">
        <f t="shared" si="200"/>
        <v/>
      </c>
      <c r="CZ133" s="28"/>
      <c r="DA133" s="28" t="b">
        <f t="shared" si="201"/>
        <v>0</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3"/>
      <c r="CG134" s="256" t="b">
        <f t="shared" si="115"/>
        <v>0</v>
      </c>
      <c r="CH134" s="256" t="str">
        <f t="shared" si="116"/>
        <v/>
      </c>
      <c r="CI134" s="72" t="str">
        <f t="shared" si="117"/>
        <v/>
      </c>
      <c r="CJ134" s="72" t="str">
        <f t="shared" si="118"/>
        <v/>
      </c>
      <c r="CK134" s="72" t="str">
        <f t="shared" si="119"/>
        <v/>
      </c>
      <c r="CL134" s="72" t="str">
        <f t="shared" si="120"/>
        <v/>
      </c>
      <c r="CM134" s="72" t="b">
        <f t="shared" si="121"/>
        <v>0</v>
      </c>
      <c r="CN134" s="72" t="str">
        <f t="shared" si="122"/>
        <v/>
      </c>
      <c r="CO134" s="72" t="str">
        <f t="shared" si="123"/>
        <v/>
      </c>
      <c r="CP134" s="72" t="str">
        <f t="shared" si="124"/>
        <v/>
      </c>
      <c r="CQ134" s="72" t="b">
        <f t="shared" si="125"/>
        <v>0</v>
      </c>
      <c r="CR134" s="72" t="str">
        <f t="shared" si="126"/>
        <v/>
      </c>
      <c r="CS134" s="72" t="str">
        <f t="shared" si="127"/>
        <v/>
      </c>
      <c r="CT134" s="72" t="str">
        <f t="shared" si="128"/>
        <v/>
      </c>
      <c r="CU134" s="72" t="str">
        <f t="shared" si="129"/>
        <v/>
      </c>
      <c r="CV134" s="28"/>
      <c r="CW134" s="28" t="str">
        <f t="shared" si="199"/>
        <v/>
      </c>
      <c r="CX134" s="28"/>
      <c r="CY134" s="28" t="str">
        <f t="shared" si="200"/>
        <v/>
      </c>
      <c r="CZ134" s="28"/>
      <c r="DA134" s="28" t="b">
        <f t="shared" si="201"/>
        <v>0</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3"/>
      <c r="CG135" s="256" t="b">
        <f t="shared" si="115"/>
        <v>0</v>
      </c>
      <c r="CH135" s="256" t="str">
        <f t="shared" si="116"/>
        <v/>
      </c>
      <c r="CI135" s="72" t="str">
        <f t="shared" si="117"/>
        <v/>
      </c>
      <c r="CJ135" s="72" t="str">
        <f t="shared" si="118"/>
        <v/>
      </c>
      <c r="CK135" s="72" t="str">
        <f t="shared" si="119"/>
        <v/>
      </c>
      <c r="CL135" s="72" t="str">
        <f t="shared" si="120"/>
        <v/>
      </c>
      <c r="CM135" s="72" t="b">
        <f t="shared" si="121"/>
        <v>0</v>
      </c>
      <c r="CN135" s="72" t="str">
        <f t="shared" si="122"/>
        <v/>
      </c>
      <c r="CO135" s="72" t="str">
        <f t="shared" si="123"/>
        <v/>
      </c>
      <c r="CP135" s="72" t="str">
        <f t="shared" si="124"/>
        <v/>
      </c>
      <c r="CQ135" s="72" t="b">
        <f t="shared" si="125"/>
        <v>0</v>
      </c>
      <c r="CR135" s="72" t="str">
        <f t="shared" si="126"/>
        <v/>
      </c>
      <c r="CS135" s="72" t="str">
        <f t="shared" si="127"/>
        <v/>
      </c>
      <c r="CT135" s="72" t="str">
        <f t="shared" si="128"/>
        <v/>
      </c>
      <c r="CU135" s="72" t="str">
        <f t="shared" si="129"/>
        <v/>
      </c>
      <c r="CV135" s="28"/>
      <c r="CW135" s="28" t="str">
        <f t="shared" si="199"/>
        <v/>
      </c>
      <c r="CX135" s="28"/>
      <c r="CY135" s="28" t="str">
        <f t="shared" si="200"/>
        <v/>
      </c>
      <c r="CZ135" s="28"/>
      <c r="DA135" s="28" t="b">
        <f t="shared" si="201"/>
        <v>0</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3"/>
      <c r="CG136" s="256" t="b">
        <f t="shared" si="115"/>
        <v>0</v>
      </c>
      <c r="CH136" s="256" t="str">
        <f t="shared" si="116"/>
        <v/>
      </c>
      <c r="CI136" s="72" t="str">
        <f t="shared" si="117"/>
        <v/>
      </c>
      <c r="CJ136" s="72" t="str">
        <f t="shared" si="118"/>
        <v/>
      </c>
      <c r="CK136" s="72" t="str">
        <f t="shared" si="119"/>
        <v/>
      </c>
      <c r="CL136" s="72" t="str">
        <f t="shared" si="120"/>
        <v/>
      </c>
      <c r="CM136" s="72" t="b">
        <f t="shared" si="121"/>
        <v>0</v>
      </c>
      <c r="CN136" s="72" t="str">
        <f t="shared" si="122"/>
        <v/>
      </c>
      <c r="CO136" s="72" t="str">
        <f t="shared" si="123"/>
        <v/>
      </c>
      <c r="CP136" s="72" t="str">
        <f t="shared" si="124"/>
        <v/>
      </c>
      <c r="CQ136" s="72" t="b">
        <f t="shared" si="125"/>
        <v>0</v>
      </c>
      <c r="CR136" s="72" t="str">
        <f t="shared" si="126"/>
        <v/>
      </c>
      <c r="CS136" s="72" t="str">
        <f t="shared" si="127"/>
        <v/>
      </c>
      <c r="CT136" s="72" t="str">
        <f t="shared" si="128"/>
        <v/>
      </c>
      <c r="CU136" s="72" t="str">
        <f t="shared" si="129"/>
        <v/>
      </c>
      <c r="CV136" s="28"/>
      <c r="CW136" s="28" t="str">
        <f t="shared" si="199"/>
        <v/>
      </c>
      <c r="CX136" s="28"/>
      <c r="CY136" s="28" t="str">
        <f t="shared" si="200"/>
        <v/>
      </c>
      <c r="CZ136" s="28"/>
      <c r="DA136" s="28" t="b">
        <f t="shared" si="201"/>
        <v>0</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3"/>
      <c r="CG137" s="256" t="b">
        <f t="shared" si="115"/>
        <v>0</v>
      </c>
      <c r="CH137" s="256" t="str">
        <f t="shared" si="116"/>
        <v/>
      </c>
      <c r="CI137" s="72" t="str">
        <f t="shared" si="117"/>
        <v/>
      </c>
      <c r="CJ137" s="72" t="str">
        <f t="shared" si="118"/>
        <v/>
      </c>
      <c r="CK137" s="72" t="str">
        <f t="shared" si="119"/>
        <v/>
      </c>
      <c r="CL137" s="72" t="str">
        <f t="shared" si="120"/>
        <v/>
      </c>
      <c r="CM137" s="72" t="b">
        <f t="shared" si="121"/>
        <v>0</v>
      </c>
      <c r="CN137" s="72" t="str">
        <f t="shared" si="122"/>
        <v/>
      </c>
      <c r="CO137" s="72" t="str">
        <f t="shared" si="123"/>
        <v/>
      </c>
      <c r="CP137" s="72" t="str">
        <f t="shared" si="124"/>
        <v/>
      </c>
      <c r="CQ137" s="72" t="b">
        <f t="shared" si="125"/>
        <v>0</v>
      </c>
      <c r="CR137" s="72" t="str">
        <f t="shared" si="126"/>
        <v/>
      </c>
      <c r="CS137" s="72" t="str">
        <f t="shared" si="127"/>
        <v/>
      </c>
      <c r="CT137" s="72" t="str">
        <f t="shared" si="128"/>
        <v/>
      </c>
      <c r="CU137" s="72" t="str">
        <f t="shared" si="129"/>
        <v/>
      </c>
      <c r="CV137" s="28"/>
      <c r="CW137" s="28" t="str">
        <f t="shared" si="199"/>
        <v/>
      </c>
      <c r="CX137" s="28"/>
      <c r="CY137" s="28" t="str">
        <f t="shared" si="200"/>
        <v/>
      </c>
      <c r="CZ137" s="28"/>
      <c r="DA137" s="28" t="b">
        <f t="shared" si="201"/>
        <v>0</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3"/>
      <c r="CG138" s="256" t="b">
        <f t="shared" si="115"/>
        <v>0</v>
      </c>
      <c r="CH138" s="256">
        <f t="shared" si="116"/>
        <v>0</v>
      </c>
      <c r="CI138" s="72">
        <f t="shared" si="117"/>
        <v>0</v>
      </c>
      <c r="CJ138" s="72">
        <f t="shared" si="118"/>
        <v>0</v>
      </c>
      <c r="CK138" s="72">
        <f t="shared" si="119"/>
        <v>0</v>
      </c>
      <c r="CL138" s="72">
        <f t="shared" si="120"/>
        <v>0</v>
      </c>
      <c r="CM138" s="72" t="b">
        <f t="shared" si="121"/>
        <v>0</v>
      </c>
      <c r="CN138" s="72">
        <f t="shared" si="122"/>
        <v>0</v>
      </c>
      <c r="CO138" s="72">
        <f t="shared" si="123"/>
        <v>0</v>
      </c>
      <c r="CP138" s="72">
        <f t="shared" si="124"/>
        <v>0</v>
      </c>
      <c r="CQ138" s="72" t="b">
        <f t="shared" si="125"/>
        <v>0</v>
      </c>
      <c r="CR138" s="72">
        <f t="shared" si="126"/>
        <v>0</v>
      </c>
      <c r="CS138" s="72">
        <f t="shared" si="127"/>
        <v>0</v>
      </c>
      <c r="CT138" s="72">
        <f t="shared" si="128"/>
        <v>0</v>
      </c>
      <c r="CU138" s="72">
        <f t="shared" si="129"/>
        <v>0</v>
      </c>
      <c r="CV138" s="28"/>
      <c r="CW138" s="28">
        <f t="shared" si="199"/>
        <v>0</v>
      </c>
      <c r="CX138" s="28"/>
      <c r="CY138" s="28">
        <f t="shared" si="200"/>
        <v>0</v>
      </c>
      <c r="CZ138" s="28"/>
      <c r="DA138" s="28" t="b">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3"/>
      <c r="CG139" s="256" t="b">
        <f t="shared" si="115"/>
        <v>0</v>
      </c>
      <c r="CH139" s="256">
        <f t="shared" si="116"/>
        <v>0</v>
      </c>
      <c r="CI139" s="72">
        <f t="shared" si="117"/>
        <v>0</v>
      </c>
      <c r="CJ139" s="72">
        <f t="shared" si="118"/>
        <v>0</v>
      </c>
      <c r="CK139" s="72">
        <f t="shared" si="119"/>
        <v>0</v>
      </c>
      <c r="CL139" s="72">
        <f t="shared" si="120"/>
        <v>0</v>
      </c>
      <c r="CM139" s="72" t="b">
        <f t="shared" si="121"/>
        <v>0</v>
      </c>
      <c r="CN139" s="72">
        <f t="shared" si="122"/>
        <v>0</v>
      </c>
      <c r="CO139" s="72">
        <f t="shared" si="123"/>
        <v>0</v>
      </c>
      <c r="CP139" s="72">
        <f t="shared" si="124"/>
        <v>0</v>
      </c>
      <c r="CQ139" s="72" t="b">
        <f t="shared" si="125"/>
        <v>0</v>
      </c>
      <c r="CR139" s="72">
        <f t="shared" si="126"/>
        <v>0</v>
      </c>
      <c r="CS139" s="72">
        <f t="shared" si="127"/>
        <v>0</v>
      </c>
      <c r="CT139" s="72">
        <f t="shared" si="128"/>
        <v>0</v>
      </c>
      <c r="CU139" s="72">
        <f t="shared" si="129"/>
        <v>0</v>
      </c>
      <c r="CV139" s="28"/>
      <c r="CW139" s="28">
        <f t="shared" si="199"/>
        <v>0</v>
      </c>
      <c r="CX139" s="28"/>
      <c r="CY139" s="28">
        <f t="shared" si="200"/>
        <v>0</v>
      </c>
      <c r="CZ139" s="28"/>
      <c r="DA139" s="28" t="b">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3"/>
      <c r="CG140" s="256" t="b">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t="b">
        <f t="shared" ref="CS140:CS143" si="217">IFERROR((IF($CM$57="M",BW140,IF($CM$57="PM",BY140,IF($CM$57="P",BU140,IF($CM$57="FULL",BS140))))),"")</f>
        <v>0</v>
      </c>
      <c r="CT140" s="28"/>
      <c r="CU140" s="28">
        <f t="shared" ref="CU140:CU143" si="218">IFERROR((IF($CN$57="M",BW140,IF($CN$57="PM",BY140,IF($CN$57="P",BU140,IF($CN$57="FULL",BS140))))),"")</f>
        <v>0</v>
      </c>
      <c r="CV140" s="28"/>
      <c r="CW140" s="28">
        <f t="shared" si="199"/>
        <v>0</v>
      </c>
      <c r="CX140" s="28"/>
      <c r="CY140" s="28">
        <f t="shared" si="200"/>
        <v>0</v>
      </c>
      <c r="CZ140" s="28"/>
      <c r="DA140" s="28" t="b">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3"/>
      <c r="CG141" s="253"/>
      <c r="CH141" s="27"/>
      <c r="CI141" s="28"/>
      <c r="CJ141" s="28"/>
      <c r="CK141" s="72">
        <f t="shared" si="213"/>
        <v>0</v>
      </c>
      <c r="CL141" s="30"/>
      <c r="CM141" s="72">
        <f t="shared" si="214"/>
        <v>0</v>
      </c>
      <c r="CN141" s="30"/>
      <c r="CO141" s="72">
        <f t="shared" si="215"/>
        <v>0</v>
      </c>
      <c r="CP141" s="28"/>
      <c r="CQ141" s="28">
        <f t="shared" si="216"/>
        <v>0</v>
      </c>
      <c r="CR141" s="28"/>
      <c r="CS141" s="28" t="b">
        <f t="shared" si="217"/>
        <v>0</v>
      </c>
      <c r="CT141" s="28"/>
      <c r="CU141" s="28">
        <f t="shared" si="218"/>
        <v>0</v>
      </c>
      <c r="CV141" s="28"/>
      <c r="CW141" s="28">
        <f t="shared" si="199"/>
        <v>0</v>
      </c>
      <c r="CX141" s="28"/>
      <c r="CY141" s="28">
        <f t="shared" si="200"/>
        <v>0</v>
      </c>
      <c r="CZ141" s="28"/>
      <c r="DA141" s="28" t="b">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3"/>
      <c r="CG142" s="253"/>
      <c r="CH142" s="27"/>
      <c r="CI142" s="28"/>
      <c r="CJ142" s="28"/>
      <c r="CK142" s="72">
        <f t="shared" si="213"/>
        <v>0</v>
      </c>
      <c r="CL142" s="30"/>
      <c r="CM142" s="72">
        <f t="shared" si="214"/>
        <v>0</v>
      </c>
      <c r="CN142" s="30"/>
      <c r="CO142" s="72">
        <f t="shared" si="215"/>
        <v>0</v>
      </c>
      <c r="CP142" s="28"/>
      <c r="CQ142" s="28">
        <f t="shared" si="216"/>
        <v>0</v>
      </c>
      <c r="CR142" s="28"/>
      <c r="CS142" s="28" t="b">
        <f t="shared" si="217"/>
        <v>0</v>
      </c>
      <c r="CT142" s="28"/>
      <c r="CU142" s="28">
        <f t="shared" si="218"/>
        <v>0</v>
      </c>
      <c r="CV142" s="28"/>
      <c r="CW142" s="28">
        <f t="shared" si="199"/>
        <v>0</v>
      </c>
      <c r="CX142" s="28"/>
      <c r="CY142" s="28">
        <f t="shared" si="200"/>
        <v>0</v>
      </c>
      <c r="CZ142" s="28"/>
      <c r="DA142" s="28" t="b">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3"/>
      <c r="CG143" s="253"/>
      <c r="CH143" s="27"/>
      <c r="CI143" s="28"/>
      <c r="CJ143" s="28"/>
      <c r="CK143" s="72">
        <f t="shared" si="213"/>
        <v>0</v>
      </c>
      <c r="CL143" s="30"/>
      <c r="CM143" s="72">
        <f t="shared" si="214"/>
        <v>0</v>
      </c>
      <c r="CN143" s="30"/>
      <c r="CO143" s="72">
        <f t="shared" si="215"/>
        <v>0</v>
      </c>
      <c r="CP143" s="28"/>
      <c r="CQ143" s="28">
        <f t="shared" si="216"/>
        <v>0</v>
      </c>
      <c r="CR143" s="28"/>
      <c r="CS143" s="28" t="b">
        <f t="shared" si="217"/>
        <v>0</v>
      </c>
      <c r="CT143" s="28"/>
      <c r="CU143" s="28">
        <f t="shared" si="218"/>
        <v>0</v>
      </c>
      <c r="CV143" s="28"/>
      <c r="CW143" s="28">
        <f t="shared" si="199"/>
        <v>0</v>
      </c>
      <c r="CX143" s="28"/>
      <c r="CY143" s="28">
        <f t="shared" si="200"/>
        <v>0</v>
      </c>
      <c r="CZ143" s="28"/>
      <c r="DA143" s="28" t="b">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3"/>
      <c r="CG144" s="253"/>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3"/>
      <c r="CG145" s="253"/>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3"/>
      <c r="CG146" s="253"/>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A21:B32"/>
    <mergeCell ref="A33:E33"/>
    <mergeCell ref="A34:E34"/>
    <mergeCell ref="A35:A36"/>
    <mergeCell ref="B35:B36"/>
    <mergeCell ref="C35:D36"/>
    <mergeCell ref="E35:F36"/>
    <mergeCell ref="C37:D37"/>
    <mergeCell ref="E37:F37"/>
    <mergeCell ref="K38:L38"/>
    <mergeCell ref="M38:N38"/>
    <mergeCell ref="S38:T38"/>
    <mergeCell ref="J31:M31"/>
    <mergeCell ref="N31:Q31"/>
    <mergeCell ref="R31:V31"/>
    <mergeCell ref="J32:Q32"/>
    <mergeCell ref="R32:V32"/>
    <mergeCell ref="M35:N36"/>
    <mergeCell ref="O35:P36"/>
    <mergeCell ref="Q35:R36"/>
    <mergeCell ref="S35:T36"/>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s>
  <conditionalFormatting sqref="B37:AF52">
    <cfRule type="cellIs" dxfId="347" priority="9" operator="equal">
      <formula>0</formula>
    </cfRule>
  </conditionalFormatting>
  <conditionalFormatting sqref="AG37:AH52">
    <cfRule type="cellIs" dxfId="346" priority="10" operator="equal">
      <formula>0</formula>
    </cfRule>
  </conditionalFormatting>
  <conditionalFormatting sqref="B9 G9:H9">
    <cfRule type="expression" dxfId="345" priority="11">
      <formula>$AR$64="MNG"</formula>
    </cfRule>
  </conditionalFormatting>
  <conditionalFormatting sqref="B9 G9:H9">
    <cfRule type="cellIs" dxfId="344" priority="12" operator="equal">
      <formula>0</formula>
    </cfRule>
  </conditionalFormatting>
  <conditionalFormatting sqref="B10 G10:H10">
    <cfRule type="expression" dxfId="343" priority="13">
      <formula>$AR$65="MNG"</formula>
    </cfRule>
  </conditionalFormatting>
  <conditionalFormatting sqref="B10 G10:H10">
    <cfRule type="cellIs" dxfId="342" priority="14" operator="equal">
      <formula>0</formula>
    </cfRule>
  </conditionalFormatting>
  <conditionalFormatting sqref="G2:N19 O18:AM19">
    <cfRule type="cellIs" dxfId="341" priority="15" operator="equal">
      <formula>0</formula>
    </cfRule>
  </conditionalFormatting>
  <conditionalFormatting sqref="L2:N2 L3:M17 N3:N14 N16:N17">
    <cfRule type="cellIs" dxfId="340" priority="16" operator="equal">
      <formula>"0+"</formula>
    </cfRule>
  </conditionalFormatting>
  <conditionalFormatting sqref="W32">
    <cfRule type="cellIs" dxfId="339" priority="17" operator="equal">
      <formula>0</formula>
    </cfRule>
  </conditionalFormatting>
  <conditionalFormatting sqref="B3 G3:H3">
    <cfRule type="expression" dxfId="338" priority="18">
      <formula>#REF!="MNG"</formula>
    </cfRule>
  </conditionalFormatting>
  <conditionalFormatting sqref="B3 G3:H3">
    <cfRule type="cellIs" dxfId="337" priority="19" operator="equal">
      <formula>0</formula>
    </cfRule>
  </conditionalFormatting>
  <conditionalFormatting sqref="B4 G4:H4">
    <cfRule type="expression" dxfId="336" priority="20">
      <formula>#REF!="MNG"</formula>
    </cfRule>
  </conditionalFormatting>
  <conditionalFormatting sqref="B4 G4:H4">
    <cfRule type="cellIs" dxfId="335" priority="21" operator="equal">
      <formula>0</formula>
    </cfRule>
  </conditionalFormatting>
  <conditionalFormatting sqref="B5 G5:H5">
    <cfRule type="expression" dxfId="334" priority="22">
      <formula>$BJ$39="MNG"</formula>
    </cfRule>
  </conditionalFormatting>
  <conditionalFormatting sqref="B5 G5:H5">
    <cfRule type="cellIs" dxfId="333" priority="23" operator="equal">
      <formula>0</formula>
    </cfRule>
  </conditionalFormatting>
  <conditionalFormatting sqref="B11 G11:H11">
    <cfRule type="expression" dxfId="332" priority="24">
      <formula>$BJ$45="MNG"</formula>
    </cfRule>
  </conditionalFormatting>
  <conditionalFormatting sqref="B11 G11:H11">
    <cfRule type="cellIs" dxfId="331" priority="25" operator="equal">
      <formula>0</formula>
    </cfRule>
  </conditionalFormatting>
  <conditionalFormatting sqref="B12 G12:H12">
    <cfRule type="expression" dxfId="330" priority="26">
      <formula>$BJ$46="MNG"</formula>
    </cfRule>
  </conditionalFormatting>
  <conditionalFormatting sqref="B12 G12:H12">
    <cfRule type="cellIs" dxfId="329" priority="27" operator="equal">
      <formula>0</formula>
    </cfRule>
  </conditionalFormatting>
  <conditionalFormatting sqref="B13 G13:H13">
    <cfRule type="expression" dxfId="328" priority="28">
      <formula>$BJ$47="MNG"</formula>
    </cfRule>
  </conditionalFormatting>
  <conditionalFormatting sqref="B13 G13:H13">
    <cfRule type="cellIs" dxfId="327" priority="29" operator="equal">
      <formula>0</formula>
    </cfRule>
  </conditionalFormatting>
  <conditionalFormatting sqref="B14 G14:H14">
    <cfRule type="expression" dxfId="326" priority="30">
      <formula>$BJ$48="MNG"</formula>
    </cfRule>
  </conditionalFormatting>
  <conditionalFormatting sqref="B14 G14:H14">
    <cfRule type="cellIs" dxfId="325" priority="31" operator="equal">
      <formula>0</formula>
    </cfRule>
  </conditionalFormatting>
  <conditionalFormatting sqref="J3">
    <cfRule type="cellIs" dxfId="324" priority="32" operator="lessThan">
      <formula>W62</formula>
    </cfRule>
  </conditionalFormatting>
  <conditionalFormatting sqref="J3">
    <cfRule type="cellIs" dxfId="323" priority="33" operator="greaterThan">
      <formula>W62</formula>
    </cfRule>
  </conditionalFormatting>
  <conditionalFormatting sqref="J4">
    <cfRule type="cellIs" dxfId="322" priority="34" operator="lessThan">
      <formula>W63</formula>
    </cfRule>
  </conditionalFormatting>
  <conditionalFormatting sqref="J4">
    <cfRule type="cellIs" dxfId="321" priority="35" operator="greaterThan">
      <formula>W63</formula>
    </cfRule>
  </conditionalFormatting>
  <conditionalFormatting sqref="J5">
    <cfRule type="cellIs" dxfId="320" priority="36" operator="lessThan">
      <formula>W64</formula>
    </cfRule>
  </conditionalFormatting>
  <conditionalFormatting sqref="J5">
    <cfRule type="cellIs" dxfId="319" priority="37" operator="greaterThan">
      <formula>W64</formula>
    </cfRule>
  </conditionalFormatting>
  <conditionalFormatting sqref="J6">
    <cfRule type="cellIs" dxfId="318" priority="38" operator="lessThan">
      <formula>W65</formula>
    </cfRule>
  </conditionalFormatting>
  <conditionalFormatting sqref="J6">
    <cfRule type="cellIs" dxfId="317" priority="39" operator="greaterThan">
      <formula>W65</formula>
    </cfRule>
  </conditionalFormatting>
  <conditionalFormatting sqref="J7">
    <cfRule type="cellIs" dxfId="316" priority="40" operator="lessThan">
      <formula>W66</formula>
    </cfRule>
  </conditionalFormatting>
  <conditionalFormatting sqref="J7">
    <cfRule type="cellIs" dxfId="315" priority="41" operator="greaterThan">
      <formula>W66</formula>
    </cfRule>
  </conditionalFormatting>
  <conditionalFormatting sqref="J8">
    <cfRule type="cellIs" dxfId="314" priority="42" operator="lessThan">
      <formula>W67</formula>
    </cfRule>
  </conditionalFormatting>
  <conditionalFormatting sqref="J8">
    <cfRule type="cellIs" dxfId="313" priority="43" operator="greaterThan">
      <formula>W67</formula>
    </cfRule>
  </conditionalFormatting>
  <conditionalFormatting sqref="J9">
    <cfRule type="cellIs" dxfId="312" priority="44" operator="lessThan">
      <formula>W68</formula>
    </cfRule>
  </conditionalFormatting>
  <conditionalFormatting sqref="J9">
    <cfRule type="cellIs" dxfId="311" priority="45" operator="greaterThan">
      <formula>W68</formula>
    </cfRule>
  </conditionalFormatting>
  <conditionalFormatting sqref="J10">
    <cfRule type="cellIs" dxfId="310" priority="46" operator="lessThan">
      <formula>W69</formula>
    </cfRule>
  </conditionalFormatting>
  <conditionalFormatting sqref="J10">
    <cfRule type="cellIs" dxfId="309" priority="47" operator="greaterThan">
      <formula>W69</formula>
    </cfRule>
  </conditionalFormatting>
  <conditionalFormatting sqref="J11">
    <cfRule type="cellIs" dxfId="308" priority="48" operator="lessThan">
      <formula>W70</formula>
    </cfRule>
  </conditionalFormatting>
  <conditionalFormatting sqref="J11">
    <cfRule type="cellIs" dxfId="307" priority="49" operator="greaterThan">
      <formula>W70</formula>
    </cfRule>
  </conditionalFormatting>
  <conditionalFormatting sqref="J12">
    <cfRule type="cellIs" dxfId="306" priority="50" operator="lessThan">
      <formula>W71</formula>
    </cfRule>
  </conditionalFormatting>
  <conditionalFormatting sqref="J12">
    <cfRule type="cellIs" dxfId="305" priority="51" operator="greaterThan">
      <formula>W71</formula>
    </cfRule>
  </conditionalFormatting>
  <conditionalFormatting sqref="J13">
    <cfRule type="cellIs" dxfId="304" priority="52" operator="lessThan">
      <formula>W72</formula>
    </cfRule>
  </conditionalFormatting>
  <conditionalFormatting sqref="J13">
    <cfRule type="cellIs" dxfId="303" priority="53" operator="greaterThan">
      <formula>W72</formula>
    </cfRule>
  </conditionalFormatting>
  <conditionalFormatting sqref="J14">
    <cfRule type="cellIs" dxfId="302" priority="54" operator="lessThan">
      <formula>W73</formula>
    </cfRule>
  </conditionalFormatting>
  <conditionalFormatting sqref="J14">
    <cfRule type="cellIs" dxfId="301" priority="55" operator="greaterThan">
      <formula>W73</formula>
    </cfRule>
  </conditionalFormatting>
  <conditionalFormatting sqref="J16">
    <cfRule type="cellIs" dxfId="300" priority="56" operator="lessThan">
      <formula>W75</formula>
    </cfRule>
  </conditionalFormatting>
  <conditionalFormatting sqref="J16">
    <cfRule type="cellIs" dxfId="299" priority="57" operator="greaterThan">
      <formula>W75</formula>
    </cfRule>
  </conditionalFormatting>
  <conditionalFormatting sqref="J17">
    <cfRule type="cellIs" dxfId="298" priority="58" operator="lessThan">
      <formula>W76</formula>
    </cfRule>
  </conditionalFormatting>
  <conditionalFormatting sqref="J17">
    <cfRule type="cellIs" dxfId="297" priority="59" operator="greaterThan">
      <formula>W76</formula>
    </cfRule>
  </conditionalFormatting>
  <conditionalFormatting sqref="K3">
    <cfRule type="cellIs" dxfId="296" priority="60" operator="lessThan">
      <formula>X62</formula>
    </cfRule>
  </conditionalFormatting>
  <conditionalFormatting sqref="K3">
    <cfRule type="cellIs" dxfId="295" priority="61" operator="greaterThan">
      <formula>X62</formula>
    </cfRule>
  </conditionalFormatting>
  <conditionalFormatting sqref="N3">
    <cfRule type="cellIs" dxfId="294" priority="62" operator="equal">
      <formula>"0+"</formula>
    </cfRule>
  </conditionalFormatting>
  <conditionalFormatting sqref="N3">
    <cfRule type="expression" dxfId="293" priority="63">
      <formula>O62&lt;AA62</formula>
    </cfRule>
  </conditionalFormatting>
  <conditionalFormatting sqref="N3">
    <cfRule type="expression" dxfId="292" priority="64">
      <formula>O62&gt;AA62</formula>
    </cfRule>
  </conditionalFormatting>
  <conditionalFormatting sqref="K4">
    <cfRule type="cellIs" dxfId="291" priority="65" operator="lessThan">
      <formula>X63</formula>
    </cfRule>
  </conditionalFormatting>
  <conditionalFormatting sqref="K4">
    <cfRule type="cellIs" dxfId="290" priority="66" operator="greaterThan">
      <formula>X63</formula>
    </cfRule>
  </conditionalFormatting>
  <conditionalFormatting sqref="N4">
    <cfRule type="cellIs" dxfId="289" priority="67" operator="equal">
      <formula>"0+"</formula>
    </cfRule>
  </conditionalFormatting>
  <conditionalFormatting sqref="N4">
    <cfRule type="expression" dxfId="288" priority="68">
      <formula>O63&lt;AA63</formula>
    </cfRule>
  </conditionalFormatting>
  <conditionalFormatting sqref="N4">
    <cfRule type="expression" dxfId="287" priority="69">
      <formula>O63&gt;AA63</formula>
    </cfRule>
  </conditionalFormatting>
  <conditionalFormatting sqref="K5">
    <cfRule type="cellIs" dxfId="286" priority="70" operator="lessThan">
      <formula>X64</formula>
    </cfRule>
  </conditionalFormatting>
  <conditionalFormatting sqref="K5">
    <cfRule type="cellIs" dxfId="285" priority="71" operator="greaterThan">
      <formula>X64</formula>
    </cfRule>
  </conditionalFormatting>
  <conditionalFormatting sqref="N5">
    <cfRule type="cellIs" dxfId="284" priority="72" operator="equal">
      <formula>"0+"</formula>
    </cfRule>
  </conditionalFormatting>
  <conditionalFormatting sqref="N5">
    <cfRule type="expression" dxfId="283" priority="73">
      <formula>O64&lt;AA64</formula>
    </cfRule>
  </conditionalFormatting>
  <conditionalFormatting sqref="N5">
    <cfRule type="expression" dxfId="282" priority="74">
      <formula>O64&gt;AA64</formula>
    </cfRule>
  </conditionalFormatting>
  <conditionalFormatting sqref="K6">
    <cfRule type="cellIs" dxfId="281" priority="75" operator="lessThan">
      <formula>X65</formula>
    </cfRule>
  </conditionalFormatting>
  <conditionalFormatting sqref="K6">
    <cfRule type="cellIs" dxfId="280" priority="76" operator="greaterThan">
      <formula>X65</formula>
    </cfRule>
  </conditionalFormatting>
  <conditionalFormatting sqref="N6">
    <cfRule type="cellIs" dxfId="279" priority="77" operator="equal">
      <formula>"0+"</formula>
    </cfRule>
  </conditionalFormatting>
  <conditionalFormatting sqref="N6">
    <cfRule type="expression" dxfId="278" priority="78">
      <formula>O65&lt;AA65</formula>
    </cfRule>
  </conditionalFormatting>
  <conditionalFormatting sqref="N6">
    <cfRule type="expression" dxfId="277" priority="79">
      <formula>O65&gt;AA65</formula>
    </cfRule>
  </conditionalFormatting>
  <conditionalFormatting sqref="K7">
    <cfRule type="cellIs" dxfId="276" priority="80" operator="lessThan">
      <formula>X66</formula>
    </cfRule>
  </conditionalFormatting>
  <conditionalFormatting sqref="K7">
    <cfRule type="cellIs" dxfId="275" priority="81" operator="greaterThan">
      <formula>X66</formula>
    </cfRule>
  </conditionalFormatting>
  <conditionalFormatting sqref="N7">
    <cfRule type="cellIs" dxfId="274" priority="82" operator="equal">
      <formula>"0+"</formula>
    </cfRule>
  </conditionalFormatting>
  <conditionalFormatting sqref="N7">
    <cfRule type="expression" dxfId="273" priority="83">
      <formula>O66&lt;AA66</formula>
    </cfRule>
  </conditionalFormatting>
  <conditionalFormatting sqref="N7">
    <cfRule type="expression" dxfId="272" priority="84">
      <formula>O66&gt;AA66</formula>
    </cfRule>
  </conditionalFormatting>
  <conditionalFormatting sqref="K8">
    <cfRule type="cellIs" dxfId="271" priority="85" operator="lessThan">
      <formula>X67</formula>
    </cfRule>
  </conditionalFormatting>
  <conditionalFormatting sqref="K8">
    <cfRule type="cellIs" dxfId="270" priority="86" operator="greaterThan">
      <formula>X67</formula>
    </cfRule>
  </conditionalFormatting>
  <conditionalFormatting sqref="N8">
    <cfRule type="cellIs" dxfId="269" priority="87" operator="equal">
      <formula>"0+"</formula>
    </cfRule>
  </conditionalFormatting>
  <conditionalFormatting sqref="N8">
    <cfRule type="expression" dxfId="268" priority="88">
      <formula>O67&lt;AA67</formula>
    </cfRule>
  </conditionalFormatting>
  <conditionalFormatting sqref="N8">
    <cfRule type="expression" dxfId="267" priority="89">
      <formula>O67&gt;AA67</formula>
    </cfRule>
  </conditionalFormatting>
  <conditionalFormatting sqref="K9">
    <cfRule type="cellIs" dxfId="266" priority="90" operator="lessThan">
      <formula>X68</formula>
    </cfRule>
  </conditionalFormatting>
  <conditionalFormatting sqref="K9">
    <cfRule type="cellIs" dxfId="265" priority="91" operator="greaterThan">
      <formula>X68</formula>
    </cfRule>
  </conditionalFormatting>
  <conditionalFormatting sqref="N9">
    <cfRule type="cellIs" dxfId="264" priority="92" operator="equal">
      <formula>"0+"</formula>
    </cfRule>
  </conditionalFormatting>
  <conditionalFormatting sqref="N9">
    <cfRule type="expression" dxfId="263" priority="93">
      <formula>O68&lt;AA68</formula>
    </cfRule>
  </conditionalFormatting>
  <conditionalFormatting sqref="N9">
    <cfRule type="expression" dxfId="262" priority="94">
      <formula>O68&gt;AA68</formula>
    </cfRule>
  </conditionalFormatting>
  <conditionalFormatting sqref="K10">
    <cfRule type="cellIs" dxfId="261" priority="95" operator="lessThan">
      <formula>X69</formula>
    </cfRule>
  </conditionalFormatting>
  <conditionalFormatting sqref="K10">
    <cfRule type="cellIs" dxfId="260" priority="96" operator="greaterThan">
      <formula>X69</formula>
    </cfRule>
  </conditionalFormatting>
  <conditionalFormatting sqref="N10">
    <cfRule type="cellIs" dxfId="259" priority="97" operator="equal">
      <formula>"0+"</formula>
    </cfRule>
  </conditionalFormatting>
  <conditionalFormatting sqref="N10">
    <cfRule type="expression" dxfId="258" priority="98">
      <formula>O69&lt;AA69</formula>
    </cfRule>
  </conditionalFormatting>
  <conditionalFormatting sqref="N10">
    <cfRule type="expression" dxfId="257" priority="99">
      <formula>O69&gt;AA69</formula>
    </cfRule>
  </conditionalFormatting>
  <conditionalFormatting sqref="K11">
    <cfRule type="cellIs" dxfId="256" priority="100" operator="lessThan">
      <formula>X70</formula>
    </cfRule>
  </conditionalFormatting>
  <conditionalFormatting sqref="K11">
    <cfRule type="cellIs" dxfId="255" priority="101" operator="greaterThan">
      <formula>X70</formula>
    </cfRule>
  </conditionalFormatting>
  <conditionalFormatting sqref="N11">
    <cfRule type="cellIs" dxfId="254" priority="102" operator="equal">
      <formula>"0+"</formula>
    </cfRule>
  </conditionalFormatting>
  <conditionalFormatting sqref="N11">
    <cfRule type="expression" dxfId="253" priority="103">
      <formula>O70&lt;AA70</formula>
    </cfRule>
  </conditionalFormatting>
  <conditionalFormatting sqref="N11">
    <cfRule type="expression" dxfId="252" priority="104">
      <formula>O70&gt;AA70</formula>
    </cfRule>
  </conditionalFormatting>
  <conditionalFormatting sqref="K12">
    <cfRule type="cellIs" dxfId="251" priority="105" operator="lessThan">
      <formula>X71</formula>
    </cfRule>
  </conditionalFormatting>
  <conditionalFormatting sqref="K12">
    <cfRule type="cellIs" dxfId="250" priority="106" operator="greaterThan">
      <formula>X71</formula>
    </cfRule>
  </conditionalFormatting>
  <conditionalFormatting sqref="N12">
    <cfRule type="cellIs" dxfId="249" priority="107" operator="equal">
      <formula>"0+"</formula>
    </cfRule>
  </conditionalFormatting>
  <conditionalFormatting sqref="N12">
    <cfRule type="expression" dxfId="248" priority="108">
      <formula>O71&lt;AA71</formula>
    </cfRule>
  </conditionalFormatting>
  <conditionalFormatting sqref="N12">
    <cfRule type="expression" dxfId="247" priority="109">
      <formula>O71&gt;AA71</formula>
    </cfRule>
  </conditionalFormatting>
  <conditionalFormatting sqref="K13">
    <cfRule type="cellIs" dxfId="246" priority="110" operator="lessThan">
      <formula>X72</formula>
    </cfRule>
  </conditionalFormatting>
  <conditionalFormatting sqref="K13">
    <cfRule type="cellIs" dxfId="245" priority="111" operator="greaterThan">
      <formula>X72</formula>
    </cfRule>
  </conditionalFormatting>
  <conditionalFormatting sqref="N13">
    <cfRule type="cellIs" dxfId="244" priority="112" operator="equal">
      <formula>"0+"</formula>
    </cfRule>
  </conditionalFormatting>
  <conditionalFormatting sqref="N13">
    <cfRule type="expression" dxfId="243" priority="113">
      <formula>O72&lt;AA72</formula>
    </cfRule>
  </conditionalFormatting>
  <conditionalFormatting sqref="N13">
    <cfRule type="expression" dxfId="242" priority="114">
      <formula>O72&gt;AA72</formula>
    </cfRule>
  </conditionalFormatting>
  <conditionalFormatting sqref="K14">
    <cfRule type="cellIs" dxfId="241" priority="115" operator="lessThan">
      <formula>X73</formula>
    </cfRule>
  </conditionalFormatting>
  <conditionalFormatting sqref="K14">
    <cfRule type="cellIs" dxfId="240" priority="116" operator="greaterThan">
      <formula>X73</formula>
    </cfRule>
  </conditionalFormatting>
  <conditionalFormatting sqref="N14">
    <cfRule type="cellIs" dxfId="239" priority="117" operator="equal">
      <formula>"0+"</formula>
    </cfRule>
  </conditionalFormatting>
  <conditionalFormatting sqref="N14">
    <cfRule type="expression" dxfId="238" priority="118">
      <formula>O73&lt;AA73</formula>
    </cfRule>
  </conditionalFormatting>
  <conditionalFormatting sqref="N14">
    <cfRule type="expression" dxfId="237" priority="119">
      <formula>O73&gt;AA73</formula>
    </cfRule>
  </conditionalFormatting>
  <conditionalFormatting sqref="K16">
    <cfRule type="cellIs" dxfId="236" priority="120" operator="lessThan">
      <formula>X75</formula>
    </cfRule>
  </conditionalFormatting>
  <conditionalFormatting sqref="K16">
    <cfRule type="cellIs" dxfId="235" priority="121" operator="greaterThan">
      <formula>X75</formula>
    </cfRule>
  </conditionalFormatting>
  <conditionalFormatting sqref="N16">
    <cfRule type="cellIs" dxfId="234" priority="122" operator="equal">
      <formula>"0+"</formula>
    </cfRule>
  </conditionalFormatting>
  <conditionalFormatting sqref="N16">
    <cfRule type="expression" dxfId="233" priority="123">
      <formula>O75&lt;AA75</formula>
    </cfRule>
  </conditionalFormatting>
  <conditionalFormatting sqref="N16">
    <cfRule type="expression" dxfId="232" priority="124">
      <formula>O75&gt;AA75</formula>
    </cfRule>
  </conditionalFormatting>
  <conditionalFormatting sqref="K17">
    <cfRule type="cellIs" dxfId="231" priority="125" operator="lessThan">
      <formula>X76</formula>
    </cfRule>
  </conditionalFormatting>
  <conditionalFormatting sqref="K17">
    <cfRule type="cellIs" dxfId="230" priority="126" operator="greaterThan">
      <formula>X76</formula>
    </cfRule>
  </conditionalFormatting>
  <conditionalFormatting sqref="N17">
    <cfRule type="cellIs" dxfId="229" priority="127" operator="equal">
      <formula>"0+"</formula>
    </cfRule>
  </conditionalFormatting>
  <conditionalFormatting sqref="N17">
    <cfRule type="expression" dxfId="228" priority="128">
      <formula>O76&lt;AA76</formula>
    </cfRule>
  </conditionalFormatting>
  <conditionalFormatting sqref="N17">
    <cfRule type="expression" dxfId="227" priority="129">
      <formula>O76&gt;AA76</formula>
    </cfRule>
  </conditionalFormatting>
  <conditionalFormatting sqref="B3:AO3">
    <cfRule type="expression" dxfId="226" priority="130">
      <formula>$Z$3&lt;&gt;""</formula>
    </cfRule>
  </conditionalFormatting>
  <conditionalFormatting sqref="B4:AO4">
    <cfRule type="expression" dxfId="225" priority="131">
      <formula>$Z$4&lt;&gt;""</formula>
    </cfRule>
  </conditionalFormatting>
  <conditionalFormatting sqref="B5:AO5">
    <cfRule type="expression" dxfId="224" priority="132">
      <formula>$Z$5&lt;&gt;""</formula>
    </cfRule>
  </conditionalFormatting>
  <conditionalFormatting sqref="B6:AO6">
    <cfRule type="expression" dxfId="223" priority="133">
      <formula>$Z$6&lt;&gt;""</formula>
    </cfRule>
  </conditionalFormatting>
  <conditionalFormatting sqref="B7:AO7">
    <cfRule type="expression" dxfId="222" priority="134">
      <formula>$Z$7&lt;&gt;""</formula>
    </cfRule>
  </conditionalFormatting>
  <conditionalFormatting sqref="B8:AO8">
    <cfRule type="expression" dxfId="221" priority="135">
      <formula>$Z$8&lt;&gt;""</formula>
    </cfRule>
  </conditionalFormatting>
  <conditionalFormatting sqref="B9:AO9">
    <cfRule type="expression" dxfId="220" priority="136">
      <formula>$Z$9&lt;&gt;""</formula>
    </cfRule>
  </conditionalFormatting>
  <conditionalFormatting sqref="B10:AO10">
    <cfRule type="expression" dxfId="219" priority="137">
      <formula>$Z$10&lt;&gt;""</formula>
    </cfRule>
  </conditionalFormatting>
  <conditionalFormatting sqref="B11:AO11">
    <cfRule type="expression" dxfId="218" priority="138">
      <formula>$Z$11&lt;&gt;""</formula>
    </cfRule>
  </conditionalFormatting>
  <conditionalFormatting sqref="B12:AO12">
    <cfRule type="expression" dxfId="217" priority="139">
      <formula>$Z$12&lt;&gt;""</formula>
    </cfRule>
  </conditionalFormatting>
  <conditionalFormatting sqref="B13:AO13">
    <cfRule type="expression" dxfId="216" priority="140">
      <formula>$Z$13&lt;&gt;""</formula>
    </cfRule>
  </conditionalFormatting>
  <conditionalFormatting sqref="B14:AO14">
    <cfRule type="expression" dxfId="215" priority="141">
      <formula>$Z$14&lt;&gt;""</formula>
    </cfRule>
  </conditionalFormatting>
  <conditionalFormatting sqref="B16:AO16">
    <cfRule type="expression" dxfId="214" priority="142">
      <formula>$Z$16&lt;&gt;""</formula>
    </cfRule>
  </conditionalFormatting>
  <conditionalFormatting sqref="B17:AO17">
    <cfRule type="expression" dxfId="213" priority="143">
      <formula>$Z$17&lt;&gt;""</formula>
    </cfRule>
  </conditionalFormatting>
  <conditionalFormatting sqref="B6 G6:H6">
    <cfRule type="expression" dxfId="212" priority="144">
      <formula>$AR$61="MNG"</formula>
    </cfRule>
  </conditionalFormatting>
  <conditionalFormatting sqref="B6 G6:H6">
    <cfRule type="cellIs" dxfId="211" priority="145" operator="equal">
      <formula>0</formula>
    </cfRule>
  </conditionalFormatting>
  <conditionalFormatting sqref="B7 G7:H7">
    <cfRule type="expression" dxfId="210" priority="146">
      <formula>$AR$62="MNG"</formula>
    </cfRule>
  </conditionalFormatting>
  <conditionalFormatting sqref="B7 G7:H7">
    <cfRule type="cellIs" dxfId="209" priority="147" operator="equal">
      <formula>0</formula>
    </cfRule>
  </conditionalFormatting>
  <conditionalFormatting sqref="B8 G8:H8">
    <cfRule type="expression" dxfId="208" priority="148">
      <formula>$AR$63="MNG"</formula>
    </cfRule>
  </conditionalFormatting>
  <conditionalFormatting sqref="B8 G8:H8">
    <cfRule type="cellIs" dxfId="207" priority="149" operator="equal">
      <formula>0</formula>
    </cfRule>
  </conditionalFormatting>
  <conditionalFormatting sqref="X31:AA31">
    <cfRule type="expression" dxfId="206" priority="150">
      <formula>$Y$31=0</formula>
    </cfRule>
  </conditionalFormatting>
  <conditionalFormatting sqref="AB31:AC31">
    <cfRule type="expression" dxfId="205" priority="151">
      <formula>$Y$31=0</formula>
    </cfRule>
  </conditionalFormatting>
  <conditionalFormatting sqref="W31">
    <cfRule type="expression" dxfId="204" priority="152">
      <formula>$Y$31=0</formula>
    </cfRule>
  </conditionalFormatting>
  <conditionalFormatting sqref="AJ31:AM31">
    <cfRule type="expression" dxfId="203" priority="153">
      <formula>$AK$31=0</formula>
    </cfRule>
  </conditionalFormatting>
  <conditionalFormatting sqref="AI31">
    <cfRule type="expression" dxfId="202" priority="154">
      <formula>$AK$31=0</formula>
    </cfRule>
  </conditionalFormatting>
  <conditionalFormatting sqref="B2:AO2">
    <cfRule type="expression" dxfId="201" priority="155">
      <formula>$Z$2&lt;&gt;""</formula>
    </cfRule>
  </conditionalFormatting>
  <conditionalFormatting sqref="O2:O17">
    <cfRule type="cellIs" dxfId="200" priority="156" operator="equal">
      <formula>0&amp;BF2</formula>
    </cfRule>
  </conditionalFormatting>
  <conditionalFormatting sqref="O2:O17">
    <cfRule type="expression" dxfId="199" priority="157">
      <formula>AW2&lt;&gt;""</formula>
    </cfRule>
  </conditionalFormatting>
  <conditionalFormatting sqref="L2:L17">
    <cfRule type="expression" dxfId="198" priority="158">
      <formula>M61&gt;Y61</formula>
    </cfRule>
  </conditionalFormatting>
  <conditionalFormatting sqref="L2:L17">
    <cfRule type="expression" dxfId="197" priority="159">
      <formula>M61&lt;Y61</formula>
    </cfRule>
  </conditionalFormatting>
  <conditionalFormatting sqref="J2">
    <cfRule type="cellIs" dxfId="196" priority="160" operator="lessThan">
      <formula>W61</formula>
    </cfRule>
  </conditionalFormatting>
  <conditionalFormatting sqref="J2">
    <cfRule type="cellIs" dxfId="195" priority="161" operator="greaterThan">
      <formula>W61</formula>
    </cfRule>
  </conditionalFormatting>
  <conditionalFormatting sqref="K2">
    <cfRule type="cellIs" dxfId="194" priority="162" operator="lessThan">
      <formula>X61</formula>
    </cfRule>
  </conditionalFormatting>
  <conditionalFormatting sqref="K2">
    <cfRule type="cellIs" dxfId="193" priority="163" operator="greaterThan">
      <formula>X61</formula>
    </cfRule>
  </conditionalFormatting>
  <conditionalFormatting sqref="N2">
    <cfRule type="expression" dxfId="192" priority="164">
      <formula>O61&lt;AA61</formula>
    </cfRule>
  </conditionalFormatting>
  <conditionalFormatting sqref="N2">
    <cfRule type="expression" dxfId="191" priority="165">
      <formula>O61&gt;AA61</formula>
    </cfRule>
  </conditionalFormatting>
  <conditionalFormatting sqref="G18:I18">
    <cfRule type="expression" dxfId="190" priority="166">
      <formula>$C$18="Star Players"</formula>
    </cfRule>
  </conditionalFormatting>
  <conditionalFormatting sqref="G19:I19">
    <cfRule type="expression" dxfId="189" priority="167">
      <formula>$C$19="Star Players"</formula>
    </cfRule>
  </conditionalFormatting>
  <conditionalFormatting sqref="O18:AM18">
    <cfRule type="expression" dxfId="188" priority="168">
      <formula>$AS$18&lt;&gt;""</formula>
    </cfRule>
  </conditionalFormatting>
  <conditionalFormatting sqref="O19:AM19">
    <cfRule type="expression" dxfId="187" priority="169">
      <formula>$AS$19&lt;&gt;""</formula>
    </cfRule>
  </conditionalFormatting>
  <conditionalFormatting sqref="G15:H15 J15:K15 N15">
    <cfRule type="cellIs" dxfId="186" priority="170" operator="equal">
      <formula>0</formula>
    </cfRule>
  </conditionalFormatting>
  <conditionalFormatting sqref="N15">
    <cfRule type="cellIs" dxfId="185" priority="171" operator="equal">
      <formula>"0+"</formula>
    </cfRule>
  </conditionalFormatting>
  <conditionalFormatting sqref="J15">
    <cfRule type="cellIs" dxfId="184" priority="172" operator="lessThan">
      <formula>W74</formula>
    </cfRule>
  </conditionalFormatting>
  <conditionalFormatting sqref="J15">
    <cfRule type="cellIs" dxfId="183" priority="173" operator="greaterThan">
      <formula>W74</formula>
    </cfRule>
  </conditionalFormatting>
  <conditionalFormatting sqref="K15">
    <cfRule type="cellIs" dxfId="182" priority="174" operator="lessThan">
      <formula>X74</formula>
    </cfRule>
  </conditionalFormatting>
  <conditionalFormatting sqref="K15">
    <cfRule type="cellIs" dxfId="181" priority="175" operator="greaterThan">
      <formula>X74</formula>
    </cfRule>
  </conditionalFormatting>
  <conditionalFormatting sqref="N15">
    <cfRule type="cellIs" dxfId="180" priority="176" operator="equal">
      <formula>"0+"</formula>
    </cfRule>
  </conditionalFormatting>
  <conditionalFormatting sqref="N15">
    <cfRule type="expression" dxfId="179" priority="177">
      <formula>O74&lt;AA74</formula>
    </cfRule>
  </conditionalFormatting>
  <conditionalFormatting sqref="N15">
    <cfRule type="expression" dxfId="178" priority="178">
      <formula>O74&gt;AA74</formula>
    </cfRule>
  </conditionalFormatting>
  <conditionalFormatting sqref="B15:AO15">
    <cfRule type="expression" dxfId="177" priority="179">
      <formula>$Z$15&lt;&gt;""</formula>
    </cfRule>
  </conditionalFormatting>
  <conditionalFormatting sqref="AN18:AO19">
    <cfRule type="cellIs" dxfId="176" priority="180" operator="equal">
      <formula>0</formula>
    </cfRule>
  </conditionalFormatting>
  <conditionalFormatting sqref="M2:M17">
    <cfRule type="expression" dxfId="175" priority="181">
      <formula>N61&gt;Z61</formula>
    </cfRule>
  </conditionalFormatting>
  <conditionalFormatting sqref="M2:M17">
    <cfRule type="expression" dxfId="174" priority="182">
      <formula>N61&lt;Z61</formula>
    </cfRule>
  </conditionalFormatting>
  <conditionalFormatting sqref="AJ25:AM25">
    <cfRule type="expression" dxfId="173" priority="183">
      <formula>$AK$25=0</formula>
    </cfRule>
  </conditionalFormatting>
  <conditionalFormatting sqref="AJ26:AM26">
    <cfRule type="expression" dxfId="172" priority="184">
      <formula>$AK$26=0</formula>
    </cfRule>
  </conditionalFormatting>
  <conditionalFormatting sqref="AJ27:AM27">
    <cfRule type="expression" dxfId="171" priority="185">
      <formula>$AK$27=0</formula>
    </cfRule>
  </conditionalFormatting>
  <conditionalFormatting sqref="AJ28:AM28">
    <cfRule type="expression" dxfId="170" priority="186">
      <formula>$AK$28=0</formula>
    </cfRule>
  </conditionalFormatting>
  <conditionalFormatting sqref="AN25:AO25">
    <cfRule type="expression" dxfId="169" priority="187">
      <formula>$AK$25=0</formula>
    </cfRule>
  </conditionalFormatting>
  <conditionalFormatting sqref="AJ29:AM29">
    <cfRule type="expression" dxfId="168" priority="188">
      <formula>$AK$29=0</formula>
    </cfRule>
  </conditionalFormatting>
  <conditionalFormatting sqref="AN29:AO29">
    <cfRule type="expression" dxfId="167" priority="189">
      <formula>$AK$29=0</formula>
    </cfRule>
  </conditionalFormatting>
  <conditionalFormatting sqref="J18:N19">
    <cfRule type="cellIs" dxfId="166" priority="190" operator="equal">
      <formula>0</formula>
    </cfRule>
  </conditionalFormatting>
  <conditionalFormatting sqref="AN26:AO26">
    <cfRule type="expression" dxfId="165" priority="191">
      <formula>$AK$26=0</formula>
    </cfRule>
  </conditionalFormatting>
  <conditionalFormatting sqref="AN27:AO27">
    <cfRule type="expression" dxfId="164" priority="192">
      <formula>$AK$27=0</formula>
    </cfRule>
  </conditionalFormatting>
  <conditionalFormatting sqref="AN28:AO28">
    <cfRule type="expression" dxfId="163" priority="193">
      <formula>$AK$28=0</formula>
    </cfRule>
  </conditionalFormatting>
  <conditionalFormatting sqref="AN31:AO31">
    <cfRule type="expression" dxfId="162" priority="194">
      <formula>$AK$31=0</formula>
    </cfRule>
  </conditionalFormatting>
  <conditionalFormatting sqref="X22:AA22">
    <cfRule type="expression" dxfId="161" priority="195">
      <formula>$Y$22=0</formula>
    </cfRule>
  </conditionalFormatting>
  <conditionalFormatting sqref="AB22:AC22">
    <cfRule type="expression" dxfId="160" priority="196">
      <formula>$Y$22=0</formula>
    </cfRule>
  </conditionalFormatting>
  <conditionalFormatting sqref="AG38:AH38">
    <cfRule type="cellIs" dxfId="159" priority="197" operator="equal">
      <formula>0</formula>
    </cfRule>
  </conditionalFormatting>
  <conditionalFormatting sqref="AG39:AH39">
    <cfRule type="cellIs" dxfId="158" priority="198" operator="equal">
      <formula>0</formula>
    </cfRule>
  </conditionalFormatting>
  <conditionalFormatting sqref="AG40:AH40">
    <cfRule type="cellIs" dxfId="157" priority="199" operator="equal">
      <formula>0</formula>
    </cfRule>
  </conditionalFormatting>
  <conditionalFormatting sqref="AG41:AH41">
    <cfRule type="cellIs" dxfId="156" priority="200" operator="equal">
      <formula>0</formula>
    </cfRule>
  </conditionalFormatting>
  <conditionalFormatting sqref="AG42:AH42">
    <cfRule type="cellIs" dxfId="155" priority="201" operator="equal">
      <formula>0</formula>
    </cfRule>
  </conditionalFormatting>
  <conditionalFormatting sqref="AG43:AH43">
    <cfRule type="cellIs" dxfId="154" priority="202" operator="equal">
      <formula>0</formula>
    </cfRule>
  </conditionalFormatting>
  <conditionalFormatting sqref="AG44:AH44">
    <cfRule type="cellIs" dxfId="153" priority="203" operator="equal">
      <formula>0</formula>
    </cfRule>
  </conditionalFormatting>
  <conditionalFormatting sqref="AG45:AH45">
    <cfRule type="cellIs" dxfId="152" priority="204" operator="equal">
      <formula>0</formula>
    </cfRule>
  </conditionalFormatting>
  <conditionalFormatting sqref="AG46:AH46">
    <cfRule type="cellIs" dxfId="151" priority="205" operator="equal">
      <formula>0</formula>
    </cfRule>
  </conditionalFormatting>
  <conditionalFormatting sqref="AG47:AH47">
    <cfRule type="cellIs" dxfId="150" priority="206" operator="equal">
      <formula>0</formula>
    </cfRule>
  </conditionalFormatting>
  <conditionalFormatting sqref="AG48:AH48">
    <cfRule type="cellIs" dxfId="149" priority="207" operator="equal">
      <formula>0</formula>
    </cfRule>
  </conditionalFormatting>
  <conditionalFormatting sqref="AG49:AH49">
    <cfRule type="cellIs" dxfId="148" priority="208" operator="equal">
      <formula>0</formula>
    </cfRule>
  </conditionalFormatting>
  <conditionalFormatting sqref="AG50:AH50">
    <cfRule type="cellIs" dxfId="147" priority="209" operator="equal">
      <formula>0</formula>
    </cfRule>
  </conditionalFormatting>
  <conditionalFormatting sqref="AG51:AH51">
    <cfRule type="cellIs" dxfId="146" priority="210" operator="equal">
      <formula>0</formula>
    </cfRule>
  </conditionalFormatting>
  <conditionalFormatting sqref="AG52:AH52">
    <cfRule type="cellIs" dxfId="145" priority="211" operator="equal">
      <formula>0</formula>
    </cfRule>
  </conditionalFormatting>
  <conditionalFormatting sqref="I18">
    <cfRule type="cellIs" dxfId="144" priority="8" operator="equal">
      <formula>2</formula>
    </cfRule>
  </conditionalFormatting>
  <conditionalFormatting sqref="I19">
    <cfRule type="cellIs" dxfId="143" priority="7" operator="equal">
      <formula>2</formula>
    </cfRule>
  </conditionalFormatting>
  <conditionalFormatting sqref="G20:AM20">
    <cfRule type="cellIs" dxfId="142" priority="2" operator="equal">
      <formula>0</formula>
    </cfRule>
  </conditionalFormatting>
  <conditionalFormatting sqref="G20:I20">
    <cfRule type="expression" dxfId="141" priority="3">
      <formula>$C$19="Star Players"</formula>
    </cfRule>
  </conditionalFormatting>
  <conditionalFormatting sqref="O20:AM20">
    <cfRule type="expression" dxfId="140" priority="4">
      <formula>$AS$19&lt;&gt;""</formula>
    </cfRule>
  </conditionalFormatting>
  <conditionalFormatting sqref="AN20:AO20">
    <cfRule type="cellIs" dxfId="139" priority="5" operator="equal">
      <formula>0</formula>
    </cfRule>
  </conditionalFormatting>
  <conditionalFormatting sqref="J20:N20">
    <cfRule type="cellIs" dxfId="138" priority="6" operator="equal">
      <formula>0</formula>
    </cfRule>
  </conditionalFormatting>
  <conditionalFormatting sqref="I20">
    <cfRule type="cellIs" dxfId="137" priority="1" operator="equal">
      <formula>2</formula>
    </cfRule>
  </conditionalFormatting>
  <dataValidations count="40">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W21">
      <formula1>$AY$62:$AY$68</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A4" zoomScaleNormal="100" workbookViewId="0">
      <selection activeCell="AA22" sqref="AA22:AB22"/>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vinte</v>
      </c>
      <c r="B1" s="97" t="str">
        <f>IF(Roster!$J$25="Italiano","par.",(IF(Roster!$J$25="Español","emp.",(IF(Roster!$J$25="Deutsch","une.",(IF(Roster!$J$25="Français","nul","tied")))))))</f>
        <v>par.</v>
      </c>
      <c r="C1" s="98" t="str">
        <f>IF(Roster!$J$25="Italiano","perse",(IF(Roster!$J$25="Español","per.",(IF(Roster!$J$25="Deutsch","nie.",(IF(Roster!$J$25="Français","déf.","lost")))))))</f>
        <v>perse</v>
      </c>
      <c r="D1" s="444" t="str">
        <f>IF(Roster!$J$25="Italiano","STATISTICHE",(IF(Roster!$J$25="Español","ESTADÍSTICAS",(IF(Roster!$J$25="Deutsch","STATISTIK",(IF(Roster!$J$25="Français","STATISITQUES","STATISTICS")))))))</f>
        <v>STATISTICHE</v>
      </c>
      <c r="E1" s="445"/>
      <c r="F1" s="418" t="s">
        <v>1203</v>
      </c>
      <c r="G1" s="419"/>
      <c r="H1" s="422"/>
      <c r="I1" s="418" t="str">
        <f>IF(Roster!$J$25="Español","HER",(IF(Roster!$J$25="Deutsch","VER",(IF(Roster!$J$25="Français","BLES","CAS")))))</f>
        <v>CAS</v>
      </c>
      <c r="J1" s="419"/>
      <c r="K1" s="422"/>
      <c r="L1" s="418" t="str">
        <f>IF(Roster!$J$25="Español","HL",(IF(Roster!$J$25="Deutsch","SV",(IF(Roster!$J$25="Français","COM","BH")))))</f>
        <v>BH</v>
      </c>
      <c r="M1" s="419"/>
      <c r="N1" s="420"/>
      <c r="O1" s="421" t="str">
        <f>IF(Roster!$J$25="Español","HG",(IF(Roster!$J$25="Deutsch","BV",(IF(Roster!$J$25="Français","BS","SI")))))</f>
        <v>SI</v>
      </c>
      <c r="P1" s="419"/>
      <c r="Q1" s="420"/>
      <c r="R1" s="421" t="str">
        <f>IF(Roster!$J$25="Italiano","UCCISIONI",(IF(Roster!$J$25="Español","MUERTOS",(IF(Roster!$J$25="Deutsch","TOT",(IF(Roster!$J$25="Français","MORT","KILLS")))))))</f>
        <v>UCCISIONI</v>
      </c>
      <c r="S1" s="419"/>
      <c r="T1" s="422"/>
      <c r="U1" s="418" t="str">
        <f>IF(Roster!$J$25="Italiano","ESPULSI",(IF(Roster!$J$25="Español","EXPULSADOS",(IF(Roster!$J$25="Deutsch","VOM PLATZ G.",(IF(Roster!$J$25="Français","EXPULSÉ","SENT OFF")))))))</f>
        <v>ESPULSI</v>
      </c>
      <c r="V1" s="419"/>
      <c r="W1" s="422"/>
      <c r="X1" s="310" t="str">
        <f>IF(Roster!$J$25="Italiano","TIFOSI S.",(IF(Roster!$J$25="Español","FANS D.",(IF(Roster!$J$25="Deutsch","T. FANS",(IF(Roster!$J$25="Français","FANS D.","D. FANS")))))))</f>
        <v>TIFOSI S.</v>
      </c>
      <c r="Y1" s="310" t="str">
        <f>IF(Roster!$J$25="Italiano","RICOMPENSE",(IF(Roster!$J$25="Español","GANANCIAS",(IF(Roster!$J$25="Deutsch","GEWINNE",(IF(Roster!$J$25="Français","GAINS","WINNINGS")))))))</f>
        <v>RICOMPENSE</v>
      </c>
      <c r="Z1" s="310" t="str">
        <f>IF(Roster!$J$25="Italiano","PUNTI",(IF(Roster!$J$25="Español","PUNTOS",(IF(Roster!$J$25="Deutsch","PUNKTE","POINTS")))))</f>
        <v>PUNTI</v>
      </c>
      <c r="AA1" s="311" t="str">
        <f>IF(Roster!$J$25="Italiano","LEGA",(IF(Roster!$J$25="Español","LIGA",(IF(Roster!$J$25="Deutsch","LIGA",(IF(Roster!$J$25="Français","LIGUE","LEAGUE")))))))</f>
        <v>LEGA</v>
      </c>
      <c r="AB1" s="251"/>
      <c r="AC1" s="443"/>
      <c r="AD1" s="30"/>
      <c r="AE1" s="30"/>
      <c r="AF1" s="30"/>
      <c r="AG1" s="30"/>
      <c r="AH1" s="30"/>
      <c r="AI1" s="30"/>
    </row>
    <row r="2" spans="1:35" ht="12" customHeight="1" thickBot="1">
      <c r="A2" s="99">
        <f>COUNTIF(AI6:AI55,"1")</f>
        <v>6</v>
      </c>
      <c r="B2" s="100">
        <f>COUNTIF(AI6:AI55,"2")</f>
        <v>0</v>
      </c>
      <c r="C2" s="101">
        <f>COUNTIF(AI6:AI55,"3")</f>
        <v>3</v>
      </c>
      <c r="D2" s="446"/>
      <c r="E2" s="447"/>
      <c r="F2" s="102">
        <f>SUM(F6:F55)</f>
        <v>15</v>
      </c>
      <c r="G2" s="103" t="s">
        <v>253</v>
      </c>
      <c r="H2" s="104">
        <f t="shared" ref="H2:I2" si="0">SUM(H6:H55)</f>
        <v>9</v>
      </c>
      <c r="I2" s="105">
        <f t="shared" si="0"/>
        <v>19</v>
      </c>
      <c r="J2" s="103" t="s">
        <v>253</v>
      </c>
      <c r="K2" s="105">
        <f t="shared" ref="K2:L2" si="1">SUM(K6:K55)</f>
        <v>13</v>
      </c>
      <c r="L2" s="102">
        <f t="shared" si="1"/>
        <v>8</v>
      </c>
      <c r="M2" s="103" t="s">
        <v>253</v>
      </c>
      <c r="N2" s="105">
        <f t="shared" ref="N2:O2" si="2">SUM(N6:N55)</f>
        <v>3</v>
      </c>
      <c r="O2" s="106">
        <f t="shared" si="2"/>
        <v>8</v>
      </c>
      <c r="P2" s="103" t="s">
        <v>253</v>
      </c>
      <c r="Q2" s="105">
        <f t="shared" ref="Q2:R2" si="3">SUM(Q6:Q55)</f>
        <v>6</v>
      </c>
      <c r="R2" s="106">
        <f t="shared" si="3"/>
        <v>3</v>
      </c>
      <c r="S2" s="103" t="s">
        <v>253</v>
      </c>
      <c r="T2" s="104">
        <f t="shared" ref="T2:U2" si="4">SUM(T6:T55)</f>
        <v>4</v>
      </c>
      <c r="U2" s="102">
        <f t="shared" si="4"/>
        <v>0</v>
      </c>
      <c r="V2" s="103" t="s">
        <v>253</v>
      </c>
      <c r="W2" s="104">
        <f t="shared" ref="W2:Z2" si="5">SUM(W6:W55)</f>
        <v>0</v>
      </c>
      <c r="X2" s="107">
        <f t="shared" si="5"/>
        <v>3</v>
      </c>
      <c r="Y2" s="108">
        <f t="shared" si="5"/>
        <v>550000</v>
      </c>
      <c r="Z2" s="107">
        <f t="shared" si="5"/>
        <v>20</v>
      </c>
      <c r="AA2" s="311" t="str">
        <f>IF(Roster!$J$25="Italiano","TIFOSI S. LIBERO",(IF(Roster!$J$25="Español","FANS D. GRATIS",(IF(Roster!$J$25="Deutsch","KOSTENLOS T. FANS",(IF(Roster!$J$25="Français","GRATUIT FANS DÉVOUÉS","FREE D. FANS")))))))</f>
        <v>TIFOSI S. LIBERO</v>
      </c>
      <c r="AB2" s="251">
        <v>0</v>
      </c>
      <c r="AC2" s="443"/>
      <c r="AD2" s="30"/>
      <c r="AE2" s="77">
        <v>1</v>
      </c>
      <c r="AF2" s="30"/>
      <c r="AG2" s="30"/>
      <c r="AH2" s="77"/>
      <c r="AI2" s="30"/>
    </row>
    <row r="3" spans="1:35" ht="11.25" customHeight="1" thickBot="1">
      <c r="A3" s="109">
        <f t="shared" ref="A3:C3" si="6">IFERROR((A2/(COUNTA($F$6:$F$55))),0)</f>
        <v>0.66666666666666663</v>
      </c>
      <c r="B3" s="110">
        <f t="shared" si="6"/>
        <v>0</v>
      </c>
      <c r="C3" s="111">
        <f t="shared" si="6"/>
        <v>0.33333333333333331</v>
      </c>
      <c r="D3" s="448"/>
      <c r="E3" s="449"/>
      <c r="F3" s="112">
        <f>IFERROR((F2/(COUNTA($F$6:$F$55))),0)</f>
        <v>1.6666666666666667</v>
      </c>
      <c r="G3" s="113" t="s">
        <v>253</v>
      </c>
      <c r="H3" s="114">
        <f>IFERROR((H2/(COUNTA($H$6:$H$55))),0)</f>
        <v>1</v>
      </c>
      <c r="I3" s="115">
        <f>IFERROR((I2/(COUNTA($I$6:$I$55))),0)</f>
        <v>0.38</v>
      </c>
      <c r="J3" s="113" t="s">
        <v>253</v>
      </c>
      <c r="K3" s="114">
        <f>IFERROR((K2/(COUNTA($K$6:$K$55))),0)</f>
        <v>0.26</v>
      </c>
      <c r="L3" s="115">
        <f>IFERROR((L2/(COUNTA($L$6:$L$55))),0)</f>
        <v>1.6</v>
      </c>
      <c r="M3" s="113" t="s">
        <v>253</v>
      </c>
      <c r="N3" s="116">
        <f>IFERROR((N2/(COUNTA($N$6:$N$55))),0)</f>
        <v>1.5</v>
      </c>
      <c r="O3" s="115">
        <f>IFERROR((O2/(COUNTA($O$6:$O$55))),0)</f>
        <v>2</v>
      </c>
      <c r="P3" s="113" t="s">
        <v>253</v>
      </c>
      <c r="Q3" s="116">
        <f>IFERROR((Q2/(COUNTA($Q$6:$Q$55))),0)</f>
        <v>1.2</v>
      </c>
      <c r="R3" s="115">
        <f>IFERROR((R2/(COUNTA($R$6:$R$55))),0)</f>
        <v>1.5</v>
      </c>
      <c r="S3" s="113" t="s">
        <v>253</v>
      </c>
      <c r="T3" s="114">
        <f>IFERROR((T2/(COUNTA($T$6:$T$55))),0)</f>
        <v>1.3333333333333333</v>
      </c>
      <c r="U3" s="115">
        <f>IFERROR((U2/(COUNTA($U$6:$U$55))),0)</f>
        <v>0</v>
      </c>
      <c r="V3" s="113" t="s">
        <v>253</v>
      </c>
      <c r="W3" s="114">
        <f>IFERROR((W2/(COUNTA($W$6:$W$55))),0)</f>
        <v>0</v>
      </c>
      <c r="X3" s="117">
        <f>IFERROR((X2/(COUNTA($X$6:$X$55))),0)</f>
        <v>0.06</v>
      </c>
      <c r="Y3" s="118">
        <f>IFERROR((Y2/(COUNTA($Y$6:$Y$55))),0)</f>
        <v>61111.111111111109</v>
      </c>
      <c r="Z3" s="119">
        <f>IFERROR((Z2/(COUNTA($Z$6:$Z$55))),0)</f>
        <v>2.2222222222222223</v>
      </c>
      <c r="AA3" s="311" t="str">
        <f>IF(Roster!$J$25="Italiano","TESORERIA INIZIALI",(IF(Roster!$J$25="Español","TESORERÍA INICIAL",(IF(Roster!$J$25="Deutsch","ANFÄNGLICHER TEAMKASSE",(IF(Roster!$J$25="Français","INITIAL TRÉSORERIE","STARTINT TREASURY")))))))</f>
        <v>TESORERIA INIZIALI</v>
      </c>
      <c r="AB3" s="251">
        <v>1000000</v>
      </c>
      <c r="AC3" s="443"/>
      <c r="AD3" s="30"/>
      <c r="AE3" s="30"/>
      <c r="AF3" s="30"/>
      <c r="AG3" s="30"/>
      <c r="AH3" s="30"/>
      <c r="AI3" s="30"/>
    </row>
    <row r="4" spans="1:35" ht="7.5" customHeight="1" thickBot="1">
      <c r="A4" s="423"/>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5"/>
      <c r="AC4" s="443"/>
      <c r="AD4" s="30"/>
      <c r="AE4" s="30"/>
      <c r="AF4" s="30"/>
      <c r="AG4" s="30"/>
      <c r="AH4" s="30"/>
      <c r="AI4" s="30"/>
    </row>
    <row r="5" spans="1:35" ht="21" customHeight="1">
      <c r="A5" s="432">
        <v>0</v>
      </c>
      <c r="B5" s="433"/>
      <c r="C5" s="434"/>
      <c r="D5" s="307" t="str">
        <f>IF(Roster!$J$25="Italiano","AVVERSARIO",(IF(Roster!$J$25="Español","OPONENTE",(IF(Roster!$J$25="Deutsch","GEGNER",(IF(Roster!$J$25="Français","ADVERSAIRE","OPPONENT")))))))</f>
        <v>AVVERSARIO</v>
      </c>
      <c r="E5" s="308" t="str">
        <f>IF(Roster!$J$25="Italiano","RAZZA",(IF(Roster!$J$25="Español","RAZA",(IF(Roster!$J$25="Deutsch","RASSE",(IF(Roster!$J$25="Français","TYPE D'ÉQUIPE","RACE")))))))</f>
        <v>RAZZA</v>
      </c>
      <c r="F5" s="428" t="s">
        <v>1203</v>
      </c>
      <c r="G5" s="429"/>
      <c r="H5" s="427"/>
      <c r="I5" s="428" t="str">
        <f>IF(Roster!$J$25="Español","HER",(IF(Roster!$J$25="Deutsch","VER",(IF(Roster!$J$25="Français","BLES","CAS")))))</f>
        <v>CAS</v>
      </c>
      <c r="J5" s="429"/>
      <c r="K5" s="427"/>
      <c r="L5" s="418" t="str">
        <f>IF(Roster!$J$25="Español","HL",(IF(Roster!$J$25="Deutsch","SV",(IF(Roster!$J$25="Français","COM","BH")))))</f>
        <v>BH</v>
      </c>
      <c r="M5" s="429"/>
      <c r="N5" s="430"/>
      <c r="O5" s="421" t="str">
        <f>IF(Roster!$J$25="Español","HG",(IF(Roster!$J$25="Deutsch","BV",(IF(Roster!$J$25="Français","BS","SI")))))</f>
        <v>SI</v>
      </c>
      <c r="P5" s="429"/>
      <c r="Q5" s="430"/>
      <c r="R5" s="421" t="str">
        <f>IF(Roster!$J$25="Italiano","UCCISIONI",(IF(Roster!$J$25="Español","MUERTOS",(IF(Roster!$J$25="Deutsch","TOT",(IF(Roster!$J$25="Français","MORT","KILLS")))))))</f>
        <v>UCCISIONI</v>
      </c>
      <c r="S5" s="429"/>
      <c r="T5" s="427"/>
      <c r="U5" s="431" t="str">
        <f>IF(Roster!$J$25="Italiano","ESPULSI",(IF(Roster!$J$25="Español","EXPULSADOS",(IF(Roster!$J$25="Deutsch","VOM PLATZ G.",(IF(Roster!$J$25="Français","EXPULSÉ","SENT OFF")))))))</f>
        <v>ESPULSI</v>
      </c>
      <c r="V5" s="429"/>
      <c r="W5" s="427"/>
      <c r="X5" s="309" t="str">
        <f>IF(Roster!$J$25="Italiano","TIFOSI S.",(IF(Roster!$J$25="Español","FANS D.",(IF(Roster!$J$25="Deutsch","T. FANS",(IF(Roster!$J$25="Français","FANS D.","D. FANS")))))))</f>
        <v>TIFOSI S.</v>
      </c>
      <c r="Y5" s="309" t="str">
        <f>IF(Roster!$J$25="Italiano","RICOMPENSE",(IF(Roster!$J$25="Español","GANANCIAS",(IF(Roster!$J$25="Deutsch","GEWINNE",(IF(Roster!$J$25="Français","GAINS","WINNINGS")))))))</f>
        <v>RICOMPENSE</v>
      </c>
      <c r="Z5" s="309" t="str">
        <f>IF(Roster!$J$25="Italiano","PUNTI",(IF(Roster!$J$25="Español","PUNTOS",(IF(Roster!$J$25="Deutsch","PUNKTE","POINTS")))))</f>
        <v>PUNTI</v>
      </c>
      <c r="AA5" s="426" t="str">
        <f>IF(Roster!$J$25="Italiano","NOTE",(IF(Roster!$J$25="Español","NOTAS",(IF(Roster!$J$25="Deutsch","NOTIZEN","NOTES")))))</f>
        <v>NOTE</v>
      </c>
      <c r="AB5" s="427"/>
      <c r="AC5" s="443"/>
      <c r="AD5" s="120"/>
      <c r="AE5" s="121" t="s">
        <v>254</v>
      </c>
      <c r="AF5" s="121" t="s">
        <v>255</v>
      </c>
      <c r="AG5" s="121" t="s">
        <v>256</v>
      </c>
      <c r="AH5" s="120"/>
      <c r="AI5" s="120"/>
    </row>
    <row r="6" spans="1:35" ht="21" customHeight="1">
      <c r="A6" s="122">
        <v>1</v>
      </c>
      <c r="B6" s="414" t="str">
        <f>IF(Roster!$J$25="Español",(IF(F6&gt;0,(IF(F6&gt;H6,"ganado",(IF(F6=H6,"empatado",(IF(F6&lt;H6,"perdido","")))))),"")),(IF(F6&gt;0,(IF(F6&gt;H6,"won",(IF(F6=H6,"tied",(IF(F6&lt;H6,"lost","")))))),"")))</f>
        <v>won</v>
      </c>
      <c r="C6" s="415"/>
      <c r="D6" s="272" t="s">
        <v>1348</v>
      </c>
      <c r="E6" s="165" t="s">
        <v>53</v>
      </c>
      <c r="F6" s="156">
        <v>3</v>
      </c>
      <c r="G6" s="123" t="s">
        <v>253</v>
      </c>
      <c r="H6" s="149">
        <v>0</v>
      </c>
      <c r="I6" s="124">
        <f t="shared" ref="I6:I55" si="7">L6+O6+R6</f>
        <v>5</v>
      </c>
      <c r="J6" s="125" t="s">
        <v>253</v>
      </c>
      <c r="K6" s="126">
        <f t="shared" ref="K6:K55" si="8">N6+Q6+T6</f>
        <v>1</v>
      </c>
      <c r="L6" s="156">
        <v>2</v>
      </c>
      <c r="M6" s="123" t="s">
        <v>253</v>
      </c>
      <c r="N6" s="155"/>
      <c r="O6" s="161">
        <v>3</v>
      </c>
      <c r="P6" s="123" t="s">
        <v>253</v>
      </c>
      <c r="Q6" s="155">
        <v>1</v>
      </c>
      <c r="R6" s="161"/>
      <c r="S6" s="123" t="s">
        <v>253</v>
      </c>
      <c r="T6" s="155"/>
      <c r="U6" s="156"/>
      <c r="V6" s="123" t="s">
        <v>253</v>
      </c>
      <c r="W6" s="149"/>
      <c r="X6" s="149">
        <v>1</v>
      </c>
      <c r="Y6" s="150">
        <v>60000</v>
      </c>
      <c r="Z6" s="149">
        <v>4</v>
      </c>
      <c r="AA6" s="416" t="s">
        <v>1349</v>
      </c>
      <c r="AB6" s="417"/>
      <c r="AC6" s="443"/>
      <c r="AD6" s="30"/>
      <c r="AE6" s="60" t="b">
        <v>0</v>
      </c>
      <c r="AF6" s="60" t="b">
        <v>0</v>
      </c>
      <c r="AG6" s="60" t="b">
        <v>0</v>
      </c>
      <c r="AH6" s="30"/>
      <c r="AI6" s="30">
        <f t="shared" ref="AI6:AI55" si="9">IF(F6&lt;&gt;"",(IF(F6&gt;H6,1,(IF(F6=H6,2,(IF(F6&lt;H6,3,"")))))),"")</f>
        <v>1</v>
      </c>
    </row>
    <row r="7" spans="1:35" ht="21" customHeight="1">
      <c r="A7" s="127">
        <v>2</v>
      </c>
      <c r="B7" s="414" t="str">
        <f>IF(Roster!$J$25="Español",(IF(F7&gt;0,(IF(F7&gt;H7,"ganado",(IF(F7=H7,"empatado",(IF(F7&lt;H7,"perdido","")))))),"")),(IF(F7&gt;0,(IF(F7&gt;H7,"won",(IF(F7=H7,"tied",(IF(F7&lt;H7,"lost","")))))),"")))</f>
        <v>won</v>
      </c>
      <c r="C7" s="415"/>
      <c r="D7" s="166" t="s">
        <v>1350</v>
      </c>
      <c r="E7" s="165" t="s">
        <v>150</v>
      </c>
      <c r="F7" s="158">
        <v>2</v>
      </c>
      <c r="G7" s="128" t="s">
        <v>253</v>
      </c>
      <c r="H7" s="151">
        <v>1</v>
      </c>
      <c r="I7" s="124">
        <f t="shared" si="7"/>
        <v>2</v>
      </c>
      <c r="J7" s="129" t="s">
        <v>253</v>
      </c>
      <c r="K7" s="126">
        <f t="shared" si="8"/>
        <v>3</v>
      </c>
      <c r="L7" s="158">
        <v>1</v>
      </c>
      <c r="M7" s="128" t="s">
        <v>253</v>
      </c>
      <c r="N7" s="157">
        <v>2</v>
      </c>
      <c r="O7" s="162"/>
      <c r="P7" s="128" t="s">
        <v>253</v>
      </c>
      <c r="Q7" s="157"/>
      <c r="R7" s="162">
        <v>1</v>
      </c>
      <c r="S7" s="128" t="s">
        <v>253</v>
      </c>
      <c r="T7" s="157">
        <v>1</v>
      </c>
      <c r="U7" s="158"/>
      <c r="V7" s="128" t="s">
        <v>253</v>
      </c>
      <c r="W7" s="151"/>
      <c r="X7" s="149" t="s">
        <v>185</v>
      </c>
      <c r="Y7" s="152">
        <v>55000</v>
      </c>
      <c r="Z7" s="151">
        <v>4</v>
      </c>
      <c r="AA7" s="416"/>
      <c r="AB7" s="417"/>
      <c r="AC7" s="443"/>
      <c r="AD7" s="30"/>
      <c r="AE7" s="60" t="b">
        <v>0</v>
      </c>
      <c r="AF7" s="60" t="b">
        <v>0</v>
      </c>
      <c r="AG7" s="60" t="b">
        <v>0</v>
      </c>
      <c r="AH7" s="30"/>
      <c r="AI7" s="30">
        <f t="shared" si="9"/>
        <v>1</v>
      </c>
    </row>
    <row r="8" spans="1:35" ht="21" customHeight="1">
      <c r="A8" s="122">
        <v>3</v>
      </c>
      <c r="B8" s="414" t="str">
        <f>IF(Roster!$J$25="Español",(IF(F8&gt;0,(IF(F8&gt;H8,"ganado",(IF(F8=H8,"empatado",(IF(F8&lt;H8,"perdido","")))))),"")),(IF(F8&gt;0,(IF(F8&gt;H8,"won",(IF(F8=H8,"tied",(IF(F8&lt;H8,"lost","")))))),"")))</f>
        <v>lost</v>
      </c>
      <c r="C8" s="415"/>
      <c r="D8" s="164" t="s">
        <v>1356</v>
      </c>
      <c r="E8" s="165" t="s">
        <v>128</v>
      </c>
      <c r="F8" s="156">
        <v>1</v>
      </c>
      <c r="G8" s="123" t="s">
        <v>253</v>
      </c>
      <c r="H8" s="149">
        <v>2</v>
      </c>
      <c r="I8" s="124">
        <f t="shared" si="7"/>
        <v>2</v>
      </c>
      <c r="J8" s="125" t="s">
        <v>253</v>
      </c>
      <c r="K8" s="126">
        <f t="shared" si="8"/>
        <v>0</v>
      </c>
      <c r="L8" s="156">
        <v>2</v>
      </c>
      <c r="M8" s="123" t="s">
        <v>253</v>
      </c>
      <c r="N8" s="155"/>
      <c r="O8" s="161"/>
      <c r="P8" s="123" t="s">
        <v>253</v>
      </c>
      <c r="Q8" s="155"/>
      <c r="R8" s="161"/>
      <c r="S8" s="123" t="s">
        <v>253</v>
      </c>
      <c r="T8" s="155"/>
      <c r="U8" s="156"/>
      <c r="V8" s="123" t="s">
        <v>253</v>
      </c>
      <c r="W8" s="149"/>
      <c r="X8" s="149" t="s">
        <v>185</v>
      </c>
      <c r="Y8" s="150">
        <v>50000</v>
      </c>
      <c r="Z8" s="149">
        <v>1</v>
      </c>
      <c r="AA8" s="416"/>
      <c r="AB8" s="417"/>
      <c r="AC8" s="443"/>
      <c r="AD8" s="30"/>
      <c r="AE8" s="60" t="b">
        <v>0</v>
      </c>
      <c r="AF8" s="60" t="b">
        <v>0</v>
      </c>
      <c r="AG8" s="60" t="b">
        <v>0</v>
      </c>
      <c r="AH8" s="30"/>
      <c r="AI8" s="30">
        <f t="shared" si="9"/>
        <v>3</v>
      </c>
    </row>
    <row r="9" spans="1:35" ht="21" customHeight="1">
      <c r="A9" s="122">
        <v>4</v>
      </c>
      <c r="B9" s="414" t="str">
        <f>IF(Roster!$J$25="Español",(IF(F9&gt;0,(IF(F9&gt;H9,"ganado",(IF(F9=H9,"empatado",(IF(F9&lt;H9,"perdido","")))))),"")),(IF(F9&gt;0,(IF(F9&gt;H9,"won",(IF(F9=H9,"tied",(IF(F9&lt;H9,"lost","")))))),"")))</f>
        <v>won</v>
      </c>
      <c r="C9" s="415"/>
      <c r="D9" s="164" t="s">
        <v>1357</v>
      </c>
      <c r="E9" s="165" t="s">
        <v>96</v>
      </c>
      <c r="F9" s="156">
        <v>2</v>
      </c>
      <c r="G9" s="123" t="s">
        <v>253</v>
      </c>
      <c r="H9" s="149">
        <v>1</v>
      </c>
      <c r="I9" s="124">
        <f t="shared" si="7"/>
        <v>3</v>
      </c>
      <c r="J9" s="125" t="s">
        <v>253</v>
      </c>
      <c r="K9" s="126">
        <f t="shared" si="8"/>
        <v>2</v>
      </c>
      <c r="L9" s="156">
        <v>1</v>
      </c>
      <c r="M9" s="123" t="s">
        <v>253</v>
      </c>
      <c r="N9" s="155"/>
      <c r="O9" s="161">
        <v>2</v>
      </c>
      <c r="P9" s="123" t="s">
        <v>253</v>
      </c>
      <c r="Q9" s="155">
        <v>1</v>
      </c>
      <c r="R9" s="161"/>
      <c r="S9" s="123" t="s">
        <v>253</v>
      </c>
      <c r="T9" s="155">
        <v>1</v>
      </c>
      <c r="U9" s="156"/>
      <c r="V9" s="123" t="s">
        <v>253</v>
      </c>
      <c r="W9" s="149"/>
      <c r="X9" s="149" t="s">
        <v>185</v>
      </c>
      <c r="Y9" s="150">
        <v>55000</v>
      </c>
      <c r="Z9" s="149">
        <v>3</v>
      </c>
      <c r="AA9" s="416"/>
      <c r="AB9" s="417"/>
      <c r="AC9" s="443"/>
      <c r="AD9" s="30"/>
      <c r="AE9" s="60" t="b">
        <v>0</v>
      </c>
      <c r="AF9" s="60" t="b">
        <v>0</v>
      </c>
      <c r="AG9" s="60" t="b">
        <v>0</v>
      </c>
      <c r="AH9" s="30"/>
      <c r="AI9" s="30">
        <f t="shared" si="9"/>
        <v>1</v>
      </c>
    </row>
    <row r="10" spans="1:35" ht="21" customHeight="1">
      <c r="A10" s="127">
        <v>5</v>
      </c>
      <c r="B10" s="414" t="str">
        <f>IF(Roster!$J$25="Español",(IF(F10&gt;0,(IF(F10&gt;H10,"ganado",(IF(F10=H10,"empatado",(IF(F10&lt;H10,"perdido","")))))),"")),(IF(F10&gt;0,(IF(F10&gt;H10,"won",(IF(F10=H10,"tied",(IF(F10&lt;H10,"lost","")))))),"")))</f>
        <v>won</v>
      </c>
      <c r="C10" s="415"/>
      <c r="D10" s="164" t="s">
        <v>1360</v>
      </c>
      <c r="E10" s="165" t="s">
        <v>190</v>
      </c>
      <c r="F10" s="156">
        <v>2</v>
      </c>
      <c r="G10" s="123" t="s">
        <v>253</v>
      </c>
      <c r="H10" s="149">
        <v>1</v>
      </c>
      <c r="I10" s="124">
        <f t="shared" si="7"/>
        <v>3</v>
      </c>
      <c r="J10" s="125" t="s">
        <v>253</v>
      </c>
      <c r="K10" s="126">
        <f t="shared" si="8"/>
        <v>1</v>
      </c>
      <c r="L10" s="156"/>
      <c r="M10" s="123" t="s">
        <v>253</v>
      </c>
      <c r="N10" s="155"/>
      <c r="O10" s="161">
        <v>1</v>
      </c>
      <c r="P10" s="123" t="s">
        <v>253</v>
      </c>
      <c r="Q10" s="155">
        <v>1</v>
      </c>
      <c r="R10" s="161">
        <v>2</v>
      </c>
      <c r="S10" s="123" t="s">
        <v>253</v>
      </c>
      <c r="T10" s="155"/>
      <c r="U10" s="156"/>
      <c r="V10" s="123" t="s">
        <v>253</v>
      </c>
      <c r="W10" s="149"/>
      <c r="X10" s="149">
        <v>1</v>
      </c>
      <c r="Y10" s="150">
        <v>60000</v>
      </c>
      <c r="Z10" s="149">
        <v>4</v>
      </c>
      <c r="AA10" s="416" t="s">
        <v>1361</v>
      </c>
      <c r="AB10" s="417"/>
      <c r="AC10" s="443"/>
      <c r="AD10" s="30"/>
      <c r="AE10" s="60" t="b">
        <v>0</v>
      </c>
      <c r="AF10" s="60" t="b">
        <v>0</v>
      </c>
      <c r="AG10" s="60" t="b">
        <v>0</v>
      </c>
      <c r="AH10" s="30"/>
      <c r="AI10" s="30">
        <f t="shared" si="9"/>
        <v>1</v>
      </c>
    </row>
    <row r="11" spans="1:35" ht="21" customHeight="1">
      <c r="A11" s="122">
        <v>6</v>
      </c>
      <c r="B11" s="414" t="str">
        <f>IF(Roster!$J$25="Español",(IF(F11&gt;0,(IF(F11&gt;H11,"ganado",(IF(F11=H11,"empatado",(IF(F11&lt;H11,"perdido","")))))),"")),(IF(F11&gt;0,(IF(F11&gt;H11,"won",(IF(F11=H11,"tied",(IF(F11&lt;H11,"lost","")))))),"")))</f>
        <v>won</v>
      </c>
      <c r="C11" s="415"/>
      <c r="D11" s="164" t="s">
        <v>1356</v>
      </c>
      <c r="E11" s="165" t="s">
        <v>128</v>
      </c>
      <c r="F11" s="156">
        <v>2</v>
      </c>
      <c r="G11" s="123" t="s">
        <v>253</v>
      </c>
      <c r="H11" s="149">
        <v>0</v>
      </c>
      <c r="I11" s="124">
        <f t="shared" si="7"/>
        <v>0</v>
      </c>
      <c r="J11" s="125" t="s">
        <v>253</v>
      </c>
      <c r="K11" s="126">
        <f t="shared" si="8"/>
        <v>0</v>
      </c>
      <c r="L11" s="156"/>
      <c r="M11" s="123" t="s">
        <v>253</v>
      </c>
      <c r="N11" s="155"/>
      <c r="O11" s="161"/>
      <c r="P11" s="123" t="s">
        <v>253</v>
      </c>
      <c r="Q11" s="155"/>
      <c r="R11" s="161"/>
      <c r="S11" s="123" t="s">
        <v>253</v>
      </c>
      <c r="T11" s="155"/>
      <c r="U11" s="156"/>
      <c r="V11" s="123" t="s">
        <v>253</v>
      </c>
      <c r="W11" s="149"/>
      <c r="X11" s="149">
        <v>1</v>
      </c>
      <c r="Y11" s="150">
        <v>65000</v>
      </c>
      <c r="Z11" s="149">
        <v>4</v>
      </c>
      <c r="AA11" s="416" t="s">
        <v>1363</v>
      </c>
      <c r="AB11" s="417"/>
      <c r="AC11" s="443"/>
      <c r="AD11" s="30"/>
      <c r="AE11" s="60" t="b">
        <v>0</v>
      </c>
      <c r="AF11" s="60" t="b">
        <v>0</v>
      </c>
      <c r="AG11" s="60" t="b">
        <v>0</v>
      </c>
      <c r="AH11" s="30"/>
      <c r="AI11" s="30">
        <f t="shared" si="9"/>
        <v>1</v>
      </c>
    </row>
    <row r="12" spans="1:35" ht="21" customHeight="1">
      <c r="A12" s="122">
        <v>7</v>
      </c>
      <c r="B12" s="414" t="str">
        <f>IF(Roster!$J$25="Español",(IF(F12&gt;0,(IF(F12&gt;H12,"ganado",(IF(F12=H12,"empatado",(IF(F12&lt;H12,"perdido","")))))),"")),(IF(F12&gt;0,(IF(F12&gt;H12,"won",(IF(F12=H12,"tied",(IF(F12&lt;H12,"lost","")))))),"")))</f>
        <v>won</v>
      </c>
      <c r="C12" s="415"/>
      <c r="D12" s="164" t="s">
        <v>1364</v>
      </c>
      <c r="E12" s="165" t="s">
        <v>41</v>
      </c>
      <c r="F12" s="156">
        <v>1</v>
      </c>
      <c r="G12" s="123" t="s">
        <v>253</v>
      </c>
      <c r="H12" s="149">
        <v>0</v>
      </c>
      <c r="I12" s="124">
        <f t="shared" si="7"/>
        <v>4</v>
      </c>
      <c r="J12" s="125" t="s">
        <v>253</v>
      </c>
      <c r="K12" s="126">
        <f t="shared" si="8"/>
        <v>1</v>
      </c>
      <c r="L12" s="156">
        <v>2</v>
      </c>
      <c r="M12" s="123" t="s">
        <v>253</v>
      </c>
      <c r="N12" s="155"/>
      <c r="O12" s="161">
        <v>2</v>
      </c>
      <c r="P12" s="123" t="s">
        <v>253</v>
      </c>
      <c r="Q12" s="155">
        <v>1</v>
      </c>
      <c r="R12" s="161"/>
      <c r="S12" s="123" t="s">
        <v>253</v>
      </c>
      <c r="T12" s="155"/>
      <c r="U12" s="156"/>
      <c r="V12" s="123" t="s">
        <v>253</v>
      </c>
      <c r="W12" s="149"/>
      <c r="X12" s="149">
        <v>1</v>
      </c>
      <c r="Y12" s="150">
        <v>85000</v>
      </c>
      <c r="Z12" s="312" t="s">
        <v>1365</v>
      </c>
      <c r="AA12" s="416" t="s">
        <v>1366</v>
      </c>
      <c r="AB12" s="417"/>
      <c r="AC12" s="443"/>
      <c r="AD12" s="30"/>
      <c r="AE12" s="60" t="b">
        <v>0</v>
      </c>
      <c r="AF12" s="60" t="b">
        <v>0</v>
      </c>
      <c r="AG12" s="60" t="b">
        <v>0</v>
      </c>
      <c r="AH12" s="30"/>
      <c r="AI12" s="30">
        <f t="shared" si="9"/>
        <v>1</v>
      </c>
    </row>
    <row r="13" spans="1:35" ht="21" customHeight="1">
      <c r="A13" s="127">
        <v>8</v>
      </c>
      <c r="B13" s="414" t="str">
        <f>IF(Roster!$J$25="Español",(IF(F13&gt;0,(IF(F13&gt;H13,"ganado",(IF(F13=H13,"empatado",(IF(F13&lt;H13,"perdido","")))))),"")),(IF(F13&gt;0,(IF(F13&gt;H13,"won",(IF(F13=H13,"tied",(IF(F13&lt;H13,"lost","")))))),"")))</f>
        <v>lost</v>
      </c>
      <c r="C13" s="415"/>
      <c r="D13" s="164" t="s">
        <v>1370</v>
      </c>
      <c r="E13" s="165" t="s">
        <v>155</v>
      </c>
      <c r="F13" s="156">
        <v>1</v>
      </c>
      <c r="G13" s="123" t="s">
        <v>253</v>
      </c>
      <c r="H13" s="149">
        <v>2</v>
      </c>
      <c r="I13" s="124">
        <f t="shared" si="7"/>
        <v>0</v>
      </c>
      <c r="J13" s="125" t="s">
        <v>253</v>
      </c>
      <c r="K13" s="126">
        <f t="shared" si="8"/>
        <v>4</v>
      </c>
      <c r="L13" s="156"/>
      <c r="M13" s="123" t="s">
        <v>253</v>
      </c>
      <c r="N13" s="155"/>
      <c r="O13" s="161"/>
      <c r="P13" s="123" t="s">
        <v>253</v>
      </c>
      <c r="Q13" s="155">
        <v>2</v>
      </c>
      <c r="R13" s="161"/>
      <c r="S13" s="123" t="s">
        <v>253</v>
      </c>
      <c r="T13" s="155">
        <v>2</v>
      </c>
      <c r="U13" s="156"/>
      <c r="V13" s="123" t="s">
        <v>253</v>
      </c>
      <c r="W13" s="149"/>
      <c r="X13" s="149">
        <v>-1</v>
      </c>
      <c r="Y13" s="150">
        <v>80000</v>
      </c>
      <c r="Z13" s="312" t="s">
        <v>1371</v>
      </c>
      <c r="AA13" s="416" t="s">
        <v>1372</v>
      </c>
      <c r="AB13" s="417"/>
      <c r="AC13" s="443"/>
      <c r="AD13" s="30"/>
      <c r="AE13" s="60" t="b">
        <v>0</v>
      </c>
      <c r="AF13" s="60" t="b">
        <v>0</v>
      </c>
      <c r="AG13" s="60" t="b">
        <v>0</v>
      </c>
      <c r="AH13" s="30"/>
      <c r="AI13" s="30">
        <f t="shared" si="9"/>
        <v>3</v>
      </c>
    </row>
    <row r="14" spans="1:35" ht="21" customHeight="1">
      <c r="A14" s="122">
        <v>9</v>
      </c>
      <c r="B14" s="414" t="str">
        <f>IF(Roster!$J$25="Español",(IF(F14&gt;0,(IF(F14&gt;H14,"ganado",(IF(F14=H14,"empatado",(IF(F14&lt;H14,"perdido","")))))),"")),(IF(F14&gt;0,(IF(F14&gt;H14,"won",(IF(F14=H14,"tied",(IF(F14&lt;H14,"lost","")))))),"")))</f>
        <v>lost</v>
      </c>
      <c r="C14" s="415"/>
      <c r="D14" s="164" t="s">
        <v>1356</v>
      </c>
      <c r="E14" s="165" t="s">
        <v>128</v>
      </c>
      <c r="F14" s="156">
        <v>1</v>
      </c>
      <c r="G14" s="123" t="s">
        <v>253</v>
      </c>
      <c r="H14" s="149">
        <v>2</v>
      </c>
      <c r="I14" s="124">
        <f t="shared" si="7"/>
        <v>0</v>
      </c>
      <c r="J14" s="125" t="s">
        <v>253</v>
      </c>
      <c r="K14" s="126">
        <f t="shared" si="8"/>
        <v>1</v>
      </c>
      <c r="L14" s="156"/>
      <c r="M14" s="123" t="s">
        <v>253</v>
      </c>
      <c r="N14" s="155">
        <v>1</v>
      </c>
      <c r="O14" s="161"/>
      <c r="P14" s="123" t="s">
        <v>253</v>
      </c>
      <c r="Q14" s="155"/>
      <c r="R14" s="161"/>
      <c r="S14" s="123" t="s">
        <v>253</v>
      </c>
      <c r="T14" s="155"/>
      <c r="U14" s="156"/>
      <c r="V14" s="123" t="s">
        <v>253</v>
      </c>
      <c r="W14" s="149"/>
      <c r="X14" s="149" t="s">
        <v>185</v>
      </c>
      <c r="Y14" s="150">
        <v>40000</v>
      </c>
      <c r="Z14" s="149" t="s">
        <v>1374</v>
      </c>
      <c r="AA14" s="416" t="s">
        <v>1375</v>
      </c>
      <c r="AB14" s="417"/>
      <c r="AC14" s="443"/>
      <c r="AD14" s="30"/>
      <c r="AE14" s="60" t="b">
        <v>0</v>
      </c>
      <c r="AF14" s="60" t="b">
        <v>0</v>
      </c>
      <c r="AG14" s="60" t="b">
        <v>0</v>
      </c>
      <c r="AH14" s="30"/>
      <c r="AI14" s="30">
        <f t="shared" si="9"/>
        <v>3</v>
      </c>
    </row>
    <row r="15" spans="1:35" ht="21" customHeight="1">
      <c r="A15" s="122">
        <v>10</v>
      </c>
      <c r="B15" s="414" t="str">
        <f>IF(Roster!$J$25="Español",(IF(F15&gt;0,(IF(F15&gt;H15,"ganado",(IF(F15=H15,"empatado",(IF(F15&lt;H15,"perdido","")))))),"")),(IF(F15&gt;0,(IF(F15&gt;H15,"won",(IF(F15=H15,"tied",(IF(F15&lt;H15,"lost","")))))),"")))</f>
        <v/>
      </c>
      <c r="C15" s="415"/>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16"/>
      <c r="AB15" s="417"/>
      <c r="AC15" s="443"/>
      <c r="AD15" s="30"/>
      <c r="AE15" s="60" t="b">
        <v>0</v>
      </c>
      <c r="AF15" s="60" t="b">
        <v>0</v>
      </c>
      <c r="AG15" s="60" t="b">
        <v>0</v>
      </c>
      <c r="AH15" s="30"/>
      <c r="AI15" s="30" t="str">
        <f t="shared" si="9"/>
        <v/>
      </c>
    </row>
    <row r="16" spans="1:35" ht="21" customHeight="1">
      <c r="A16" s="127">
        <v>11</v>
      </c>
      <c r="B16" s="414" t="str">
        <f>IF(Roster!$J$25="Español",(IF(F16&gt;0,(IF(F16&gt;H16,"ganado",(IF(F16=H16,"empatado",(IF(F16&lt;H16,"perdido","")))))),"")),(IF(F16&gt;0,(IF(F16&gt;H16,"won",(IF(F16=H16,"tied",(IF(F16&lt;H16,"lost","")))))),"")))</f>
        <v/>
      </c>
      <c r="C16" s="415"/>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16"/>
      <c r="AB16" s="417"/>
      <c r="AC16" s="443"/>
      <c r="AD16" s="30"/>
      <c r="AE16" s="60" t="b">
        <v>0</v>
      </c>
      <c r="AF16" s="60" t="b">
        <v>0</v>
      </c>
      <c r="AG16" s="60" t="b">
        <v>0</v>
      </c>
      <c r="AH16" s="30"/>
      <c r="AI16" s="30" t="str">
        <f t="shared" si="9"/>
        <v/>
      </c>
    </row>
    <row r="17" spans="1:35" ht="21" customHeight="1">
      <c r="A17" s="122">
        <v>12</v>
      </c>
      <c r="B17" s="414" t="str">
        <f>IF(Roster!$J$25="Español",(IF(F17&gt;0,(IF(F17&gt;H17,"ganado",(IF(F17=H17,"empatado",(IF(F17&lt;H17,"perdido","")))))),"")),(IF(F17&gt;0,(IF(F17&gt;H17,"won",(IF(F17=H17,"tied",(IF(F17&lt;H17,"lost","")))))),"")))</f>
        <v/>
      </c>
      <c r="C17" s="415"/>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16"/>
      <c r="AB17" s="417"/>
      <c r="AC17" s="443"/>
      <c r="AD17" s="30"/>
      <c r="AE17" s="60" t="b">
        <v>0</v>
      </c>
      <c r="AF17" s="60" t="b">
        <v>0</v>
      </c>
      <c r="AG17" s="60" t="b">
        <v>0</v>
      </c>
      <c r="AH17" s="30"/>
      <c r="AI17" s="30" t="str">
        <f t="shared" si="9"/>
        <v/>
      </c>
    </row>
    <row r="18" spans="1:35" ht="21" customHeight="1">
      <c r="A18" s="122">
        <v>13</v>
      </c>
      <c r="B18" s="414" t="str">
        <f>IF(Roster!$J$25="Español",(IF(F18&gt;0,(IF(F18&gt;H18,"ganado",(IF(F18=H18,"empatado",(IF(F18&lt;H18,"perdido","")))))),"")),(IF(F18&gt;0,(IF(F18&gt;H18,"won",(IF(F18=H18,"tied",(IF(F18&lt;H18,"lost","")))))),"")))</f>
        <v/>
      </c>
      <c r="C18" s="415"/>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16"/>
      <c r="AB18" s="417"/>
      <c r="AC18" s="443"/>
      <c r="AD18" s="30"/>
      <c r="AE18" s="60" t="b">
        <v>0</v>
      </c>
      <c r="AF18" s="60" t="b">
        <v>0</v>
      </c>
      <c r="AG18" s="60" t="b">
        <v>0</v>
      </c>
      <c r="AH18" s="30"/>
      <c r="AI18" s="30" t="str">
        <f t="shared" si="9"/>
        <v/>
      </c>
    </row>
    <row r="19" spans="1:35" ht="21" customHeight="1">
      <c r="A19" s="127">
        <v>14</v>
      </c>
      <c r="B19" s="414" t="str">
        <f>IF(Roster!$J$25="Español",(IF(F19&gt;0,(IF(F19&gt;H19,"ganado",(IF(F19=H19,"empatado",(IF(F19&lt;H19,"perdido","")))))),"")),(IF(F19&gt;0,(IF(F19&gt;H19,"won",(IF(F19=H19,"tied",(IF(F19&lt;H19,"lost","")))))),"")))</f>
        <v/>
      </c>
      <c r="C19" s="415"/>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16"/>
      <c r="AB19" s="417"/>
      <c r="AC19" s="443"/>
      <c r="AD19" s="30"/>
      <c r="AE19" s="60" t="b">
        <v>0</v>
      </c>
      <c r="AF19" s="60" t="b">
        <v>0</v>
      </c>
      <c r="AG19" s="60" t="b">
        <v>0</v>
      </c>
      <c r="AH19" s="30"/>
      <c r="AI19" s="30" t="str">
        <f t="shared" si="9"/>
        <v/>
      </c>
    </row>
    <row r="20" spans="1:35" ht="21" customHeight="1">
      <c r="A20" s="122">
        <v>15</v>
      </c>
      <c r="B20" s="414" t="str">
        <f>IF(Roster!$J$25="Español",(IF(F20&gt;0,(IF(F20&gt;H20,"ganado",(IF(F20=H20,"empatado",(IF(F20&lt;H20,"perdido","")))))),"")),(IF(F20&gt;0,(IF(F20&gt;H20,"won",(IF(F20=H20,"tied",(IF(F20&lt;H20,"lost","")))))),"")))</f>
        <v/>
      </c>
      <c r="C20" s="415"/>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16"/>
      <c r="AB20" s="417"/>
      <c r="AC20" s="443"/>
      <c r="AD20" s="30"/>
      <c r="AE20" s="60" t="b">
        <v>0</v>
      </c>
      <c r="AF20" s="60" t="b">
        <v>0</v>
      </c>
      <c r="AG20" s="60" t="b">
        <v>0</v>
      </c>
      <c r="AH20" s="30"/>
      <c r="AI20" s="30" t="str">
        <f t="shared" si="9"/>
        <v/>
      </c>
    </row>
    <row r="21" spans="1:35" ht="21" customHeight="1">
      <c r="A21" s="122">
        <v>16</v>
      </c>
      <c r="B21" s="414" t="str">
        <f>IF(Roster!$J$25="Español",(IF(F21&gt;0,(IF(F21&gt;H21,"ganado",(IF(F21=H21,"empatado",(IF(F21&lt;H21,"perdido","")))))),"")),(IF(F21&gt;0,(IF(F21&gt;H21,"won",(IF(F21=H21,"tied",(IF(F21&lt;H21,"lost","")))))),"")))</f>
        <v/>
      </c>
      <c r="C21" s="415"/>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16"/>
      <c r="AB21" s="417"/>
      <c r="AC21" s="443"/>
      <c r="AD21" s="30"/>
      <c r="AE21" s="60" t="b">
        <v>0</v>
      </c>
      <c r="AF21" s="60" t="b">
        <v>0</v>
      </c>
      <c r="AG21" s="60" t="b">
        <v>0</v>
      </c>
      <c r="AH21" s="30"/>
      <c r="AI21" s="30" t="str">
        <f t="shared" si="9"/>
        <v/>
      </c>
    </row>
    <row r="22" spans="1:35" ht="21" customHeight="1">
      <c r="A22" s="127">
        <v>17</v>
      </c>
      <c r="B22" s="414" t="str">
        <f>IF(Roster!$J$25="Español",(IF(F22&gt;0,(IF(F22&gt;H22,"ganado",(IF(F22=H22,"empatado",(IF(F22&lt;H22,"perdido","")))))),"")),(IF(F22&gt;0,(IF(F22&gt;H22,"won",(IF(F22=H22,"tied",(IF(F22&lt;H22,"lost","")))))),"")))</f>
        <v/>
      </c>
      <c r="C22" s="415"/>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16"/>
      <c r="AB22" s="417"/>
      <c r="AC22" s="443"/>
      <c r="AD22" s="30"/>
      <c r="AE22" s="60" t="b">
        <v>0</v>
      </c>
      <c r="AF22" s="60" t="b">
        <v>0</v>
      </c>
      <c r="AG22" s="60" t="b">
        <v>0</v>
      </c>
      <c r="AH22" s="30"/>
      <c r="AI22" s="30" t="str">
        <f t="shared" si="9"/>
        <v/>
      </c>
    </row>
    <row r="23" spans="1:35" ht="21" customHeight="1">
      <c r="A23" s="122">
        <v>18</v>
      </c>
      <c r="B23" s="414" t="str">
        <f>IF(Roster!$J$25="Español",(IF(F23&gt;0,(IF(F23&gt;H23,"ganado",(IF(F23=H23,"empatado",(IF(F23&lt;H23,"perdido","")))))),"")),(IF(F23&gt;0,(IF(F23&gt;H23,"won",(IF(F23=H23,"tied",(IF(F23&lt;H23,"lost","")))))),"")))</f>
        <v/>
      </c>
      <c r="C23" s="415"/>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16"/>
      <c r="AB23" s="417"/>
      <c r="AC23" s="443"/>
      <c r="AD23" s="30"/>
      <c r="AE23" s="60" t="b">
        <v>0</v>
      </c>
      <c r="AF23" s="60" t="b">
        <v>0</v>
      </c>
      <c r="AG23" s="60" t="b">
        <v>0</v>
      </c>
      <c r="AH23" s="30"/>
      <c r="AI23" s="30" t="str">
        <f t="shared" si="9"/>
        <v/>
      </c>
    </row>
    <row r="24" spans="1:35" ht="21" customHeight="1">
      <c r="A24" s="122">
        <v>19</v>
      </c>
      <c r="B24" s="414" t="str">
        <f>IF(Roster!$J$25="Español",(IF(F24&gt;0,(IF(F24&gt;H24,"ganado",(IF(F24=H24,"empatado",(IF(F24&lt;H24,"perdido","")))))),"")),(IF(F24&gt;0,(IF(F24&gt;H24,"won",(IF(F24=H24,"tied",(IF(F24&lt;H24,"lost","")))))),"")))</f>
        <v/>
      </c>
      <c r="C24" s="415"/>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16"/>
      <c r="AB24" s="417"/>
      <c r="AC24" s="443"/>
      <c r="AD24" s="30"/>
      <c r="AE24" s="60" t="b">
        <v>0</v>
      </c>
      <c r="AF24" s="60" t="b">
        <v>0</v>
      </c>
      <c r="AG24" s="60" t="b">
        <v>0</v>
      </c>
      <c r="AH24" s="30"/>
      <c r="AI24" s="30" t="str">
        <f t="shared" si="9"/>
        <v/>
      </c>
    </row>
    <row r="25" spans="1:35" ht="21" customHeight="1">
      <c r="A25" s="127">
        <v>20</v>
      </c>
      <c r="B25" s="414" t="str">
        <f>IF(Roster!$J$25="Español",(IF(F25&gt;0,(IF(F25&gt;H25,"ganado",(IF(F25=H25,"empatado",(IF(F25&lt;H25,"perdido","")))))),"")),(IF(F25&gt;0,(IF(F25&gt;H25,"won",(IF(F25=H25,"tied",(IF(F25&lt;H25,"lost","")))))),"")))</f>
        <v/>
      </c>
      <c r="C25" s="415"/>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16"/>
      <c r="AB25" s="417"/>
      <c r="AC25" s="443"/>
      <c r="AD25" s="30"/>
      <c r="AE25" s="60" t="b">
        <v>0</v>
      </c>
      <c r="AF25" s="60" t="b">
        <v>0</v>
      </c>
      <c r="AG25" s="60" t="b">
        <v>0</v>
      </c>
      <c r="AH25" s="30"/>
      <c r="AI25" s="30" t="str">
        <f t="shared" si="9"/>
        <v/>
      </c>
    </row>
    <row r="26" spans="1:35" ht="21" customHeight="1">
      <c r="A26" s="122">
        <v>21</v>
      </c>
      <c r="B26" s="414" t="str">
        <f>IF(Roster!$J$25="Español",(IF(F26&gt;0,(IF(F26&gt;H26,"ganado",(IF(F26=H26,"empatado",(IF(F26&lt;H26,"perdido","")))))),"")),(IF(F26&gt;0,(IF(F26&gt;H26,"won",(IF(F26=H26,"tied",(IF(F26&lt;H26,"lost","")))))),"")))</f>
        <v/>
      </c>
      <c r="C26" s="415"/>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16"/>
      <c r="AB26" s="417"/>
      <c r="AC26" s="443"/>
      <c r="AD26" s="30"/>
      <c r="AE26" s="60" t="b">
        <v>0</v>
      </c>
      <c r="AF26" s="60" t="b">
        <v>0</v>
      </c>
      <c r="AG26" s="60" t="b">
        <v>0</v>
      </c>
      <c r="AH26" s="30"/>
      <c r="AI26" s="30" t="str">
        <f t="shared" si="9"/>
        <v/>
      </c>
    </row>
    <row r="27" spans="1:35" ht="21" customHeight="1">
      <c r="A27" s="122">
        <v>22</v>
      </c>
      <c r="B27" s="414" t="str">
        <f>IF(Roster!$J$25="Español",(IF(F27&gt;0,(IF(F27&gt;H27,"ganado",(IF(F27=H27,"empatado",(IF(F27&lt;H27,"perdido","")))))),"")),(IF(F27&gt;0,(IF(F27&gt;H27,"won",(IF(F27=H27,"tied",(IF(F27&lt;H27,"lost","")))))),"")))</f>
        <v/>
      </c>
      <c r="C27" s="415"/>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16"/>
      <c r="AB27" s="417"/>
      <c r="AC27" s="443"/>
      <c r="AD27" s="30"/>
      <c r="AE27" s="60" t="b">
        <v>0</v>
      </c>
      <c r="AF27" s="60" t="b">
        <v>0</v>
      </c>
      <c r="AG27" s="60" t="b">
        <v>0</v>
      </c>
      <c r="AH27" s="30"/>
      <c r="AI27" s="30" t="str">
        <f t="shared" si="9"/>
        <v/>
      </c>
    </row>
    <row r="28" spans="1:35" ht="21" customHeight="1">
      <c r="A28" s="127">
        <v>23</v>
      </c>
      <c r="B28" s="414" t="str">
        <f>IF(Roster!$J$25="Español",(IF(F28&gt;0,(IF(F28&gt;H28,"ganado",(IF(F28=H28,"empatado",(IF(F28&lt;H28,"perdido","")))))),"")),(IF(F28&gt;0,(IF(F28&gt;H28,"won",(IF(F28=H28,"tied",(IF(F28&lt;H28,"lost","")))))),"")))</f>
        <v/>
      </c>
      <c r="C28" s="415"/>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16"/>
      <c r="AB28" s="417"/>
      <c r="AC28" s="443"/>
      <c r="AD28" s="30"/>
      <c r="AE28" s="60" t="b">
        <v>0</v>
      </c>
      <c r="AF28" s="60" t="b">
        <v>0</v>
      </c>
      <c r="AG28" s="60" t="b">
        <v>0</v>
      </c>
      <c r="AH28" s="30"/>
      <c r="AI28" s="30" t="str">
        <f t="shared" si="9"/>
        <v/>
      </c>
    </row>
    <row r="29" spans="1:35" ht="21" customHeight="1">
      <c r="A29" s="122">
        <v>24</v>
      </c>
      <c r="B29" s="414" t="str">
        <f>IF(Roster!$J$25="Español",(IF(F29&gt;0,(IF(F29&gt;H29,"ganado",(IF(F29=H29,"empatado",(IF(F29&lt;H29,"perdido","")))))),"")),(IF(F29&gt;0,(IF(F29&gt;H29,"won",(IF(F29=H29,"tied",(IF(F29&lt;H29,"lost","")))))),"")))</f>
        <v/>
      </c>
      <c r="C29" s="415"/>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16"/>
      <c r="AB29" s="417"/>
      <c r="AC29" s="443"/>
      <c r="AD29" s="30"/>
      <c r="AE29" s="60" t="b">
        <v>0</v>
      </c>
      <c r="AF29" s="60" t="b">
        <v>0</v>
      </c>
      <c r="AG29" s="60" t="b">
        <v>0</v>
      </c>
      <c r="AH29" s="30"/>
      <c r="AI29" s="30" t="str">
        <f t="shared" si="9"/>
        <v/>
      </c>
    </row>
    <row r="30" spans="1:35" ht="21" customHeight="1">
      <c r="A30" s="122">
        <v>25</v>
      </c>
      <c r="B30" s="414" t="str">
        <f>IF(Roster!$J$25="Español",(IF(F30&gt;0,(IF(F30&gt;H30,"ganado",(IF(F30=H30,"empatado",(IF(F30&lt;H30,"perdido","")))))),"")),(IF(F30&gt;0,(IF(F30&gt;H30,"won",(IF(F30=H30,"tied",(IF(F30&lt;H30,"lost","")))))),"")))</f>
        <v/>
      </c>
      <c r="C30" s="415"/>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16"/>
      <c r="AB30" s="417"/>
      <c r="AC30" s="443"/>
      <c r="AD30" s="30"/>
      <c r="AE30" s="60" t="b">
        <v>0</v>
      </c>
      <c r="AF30" s="60" t="b">
        <v>0</v>
      </c>
      <c r="AG30" s="60" t="b">
        <v>0</v>
      </c>
      <c r="AH30" s="30"/>
      <c r="AI30" s="30" t="str">
        <f t="shared" si="9"/>
        <v/>
      </c>
    </row>
    <row r="31" spans="1:35" ht="21" customHeight="1">
      <c r="A31" s="127">
        <v>26</v>
      </c>
      <c r="B31" s="414" t="str">
        <f>IF(Roster!$J$25="Español",(IF(F31&gt;0,(IF(F31&gt;H31,"ganado",(IF(F31=H31,"empatado",(IF(F31&lt;H31,"perdido","")))))),"")),(IF(F31&gt;0,(IF(F31&gt;H31,"won",(IF(F31=H31,"tied",(IF(F31&lt;H31,"lost","")))))),"")))</f>
        <v/>
      </c>
      <c r="C31" s="415"/>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16"/>
      <c r="AB31" s="417"/>
      <c r="AC31" s="443"/>
      <c r="AD31" s="30"/>
      <c r="AE31" s="60" t="b">
        <v>0</v>
      </c>
      <c r="AF31" s="60" t="b">
        <v>0</v>
      </c>
      <c r="AG31" s="60" t="b">
        <v>0</v>
      </c>
      <c r="AH31" s="30"/>
      <c r="AI31" s="30" t="str">
        <f t="shared" si="9"/>
        <v/>
      </c>
    </row>
    <row r="32" spans="1:35" ht="21" customHeight="1">
      <c r="A32" s="122">
        <v>27</v>
      </c>
      <c r="B32" s="414" t="str">
        <f>IF(Roster!$J$25="Español",(IF(F32&gt;0,(IF(F32&gt;H32,"ganado",(IF(F32=H32,"empatado",(IF(F32&lt;H32,"perdido","")))))),"")),(IF(F32&gt;0,(IF(F32&gt;H32,"won",(IF(F32=H32,"tied",(IF(F32&lt;H32,"lost","")))))),"")))</f>
        <v/>
      </c>
      <c r="C32" s="415"/>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16"/>
      <c r="AB32" s="417"/>
      <c r="AC32" s="443"/>
      <c r="AD32" s="30"/>
      <c r="AE32" s="60" t="b">
        <v>0</v>
      </c>
      <c r="AF32" s="60" t="b">
        <v>0</v>
      </c>
      <c r="AG32" s="60" t="b">
        <v>0</v>
      </c>
      <c r="AH32" s="30"/>
      <c r="AI32" s="30" t="str">
        <f t="shared" si="9"/>
        <v/>
      </c>
    </row>
    <row r="33" spans="1:35" ht="21" customHeight="1">
      <c r="A33" s="122">
        <v>28</v>
      </c>
      <c r="B33" s="414" t="str">
        <f>IF(Roster!$J$25="Español",(IF(F33&gt;0,(IF(F33&gt;H33,"ganado",(IF(F33=H33,"empatado",(IF(F33&lt;H33,"perdido","")))))),"")),(IF(F33&gt;0,(IF(F33&gt;H33,"won",(IF(F33=H33,"tied",(IF(F33&lt;H33,"lost","")))))),"")))</f>
        <v/>
      </c>
      <c r="C33" s="415"/>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16"/>
      <c r="AB33" s="417"/>
      <c r="AC33" s="443"/>
      <c r="AD33" s="30"/>
      <c r="AE33" s="60" t="b">
        <v>0</v>
      </c>
      <c r="AF33" s="60" t="b">
        <v>0</v>
      </c>
      <c r="AG33" s="60" t="b">
        <v>0</v>
      </c>
      <c r="AH33" s="30"/>
      <c r="AI33" s="30" t="str">
        <f t="shared" si="9"/>
        <v/>
      </c>
    </row>
    <row r="34" spans="1:35" ht="21" customHeight="1">
      <c r="A34" s="127">
        <v>29</v>
      </c>
      <c r="B34" s="414" t="str">
        <f>IF(Roster!$J$25="Español",(IF(F34&gt;0,(IF(F34&gt;H34,"ganado",(IF(F34=H34,"empatado",(IF(F34&lt;H34,"perdido","")))))),"")),(IF(F34&gt;0,(IF(F34&gt;H34,"won",(IF(F34=H34,"tied",(IF(F34&lt;H34,"lost","")))))),"")))</f>
        <v/>
      </c>
      <c r="C34" s="415"/>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16"/>
      <c r="AB34" s="417"/>
      <c r="AC34" s="443"/>
      <c r="AD34" s="30"/>
      <c r="AE34" s="60" t="b">
        <v>0</v>
      </c>
      <c r="AF34" s="60" t="b">
        <v>0</v>
      </c>
      <c r="AG34" s="60" t="b">
        <v>0</v>
      </c>
      <c r="AH34" s="30"/>
      <c r="AI34" s="30" t="str">
        <f t="shared" si="9"/>
        <v/>
      </c>
    </row>
    <row r="35" spans="1:35" ht="21" customHeight="1">
      <c r="A35" s="122">
        <v>30</v>
      </c>
      <c r="B35" s="414" t="str">
        <f>IF(Roster!$J$25="Español",(IF(F35&gt;0,(IF(F35&gt;H35,"ganado",(IF(F35=H35,"empatado",(IF(F35&lt;H35,"perdido","")))))),"")),(IF(F35&gt;0,(IF(F35&gt;H35,"won",(IF(F35=H35,"tied",(IF(F35&lt;H35,"lost","")))))),"")))</f>
        <v/>
      </c>
      <c r="C35" s="415"/>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16"/>
      <c r="AB35" s="417"/>
      <c r="AC35" s="443"/>
      <c r="AD35" s="30"/>
      <c r="AE35" s="60" t="b">
        <v>0</v>
      </c>
      <c r="AF35" s="60" t="b">
        <v>0</v>
      </c>
      <c r="AG35" s="60" t="b">
        <v>0</v>
      </c>
      <c r="AH35" s="30"/>
      <c r="AI35" s="30" t="str">
        <f t="shared" si="9"/>
        <v/>
      </c>
    </row>
    <row r="36" spans="1:35" ht="21" customHeight="1">
      <c r="A36" s="122">
        <v>31</v>
      </c>
      <c r="B36" s="414" t="str">
        <f>IF(Roster!$J$25="Español",(IF(F36&gt;0,(IF(F36&gt;H36,"ganado",(IF(F36=H36,"empatado",(IF(F36&lt;H36,"perdido","")))))),"")),(IF(F36&gt;0,(IF(F36&gt;H36,"won",(IF(F36=H36,"tied",(IF(F36&lt;H36,"lost","")))))),"")))</f>
        <v/>
      </c>
      <c r="C36" s="415"/>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16"/>
      <c r="AB36" s="417"/>
      <c r="AC36" s="443"/>
      <c r="AD36" s="30"/>
      <c r="AE36" s="60" t="b">
        <v>0</v>
      </c>
      <c r="AF36" s="60" t="b">
        <v>0</v>
      </c>
      <c r="AG36" s="60" t="b">
        <v>0</v>
      </c>
      <c r="AH36" s="30"/>
      <c r="AI36" s="30" t="str">
        <f t="shared" si="9"/>
        <v/>
      </c>
    </row>
    <row r="37" spans="1:35" ht="21" customHeight="1">
      <c r="A37" s="127">
        <v>32</v>
      </c>
      <c r="B37" s="414" t="str">
        <f>IF(Roster!$J$25="Español",(IF(F37&gt;0,(IF(F37&gt;H37,"ganado",(IF(F37=H37,"empatado",(IF(F37&lt;H37,"perdido","")))))),"")),(IF(F37&gt;0,(IF(F37&gt;H37,"won",(IF(F37=H37,"tied",(IF(F37&lt;H37,"lost","")))))),"")))</f>
        <v/>
      </c>
      <c r="C37" s="415"/>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16"/>
      <c r="AB37" s="417"/>
      <c r="AC37" s="443"/>
      <c r="AD37" s="30"/>
      <c r="AE37" s="60" t="b">
        <v>0</v>
      </c>
      <c r="AF37" s="60" t="b">
        <v>0</v>
      </c>
      <c r="AG37" s="60" t="b">
        <v>0</v>
      </c>
      <c r="AH37" s="30"/>
      <c r="AI37" s="30" t="str">
        <f t="shared" si="9"/>
        <v/>
      </c>
    </row>
    <row r="38" spans="1:35" ht="21" customHeight="1">
      <c r="A38" s="122">
        <v>33</v>
      </c>
      <c r="B38" s="414" t="str">
        <f>IF(Roster!$J$25="Español",(IF(F38&gt;0,(IF(F38&gt;H38,"ganado",(IF(F38=H38,"empatado",(IF(F38&lt;H38,"perdido","")))))),"")),(IF(F38&gt;0,(IF(F38&gt;H38,"won",(IF(F38=H38,"tied",(IF(F38&lt;H38,"lost","")))))),"")))</f>
        <v/>
      </c>
      <c r="C38" s="415"/>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16"/>
      <c r="AB38" s="417"/>
      <c r="AC38" s="443"/>
      <c r="AD38" s="30"/>
      <c r="AE38" s="60" t="b">
        <v>0</v>
      </c>
      <c r="AF38" s="60" t="b">
        <v>0</v>
      </c>
      <c r="AG38" s="60" t="b">
        <v>0</v>
      </c>
      <c r="AH38" s="30"/>
      <c r="AI38" s="30" t="str">
        <f t="shared" si="9"/>
        <v/>
      </c>
    </row>
    <row r="39" spans="1:35" ht="21" customHeight="1">
      <c r="A39" s="122">
        <v>34</v>
      </c>
      <c r="B39" s="414" t="str">
        <f>IF(Roster!$J$25="Español",(IF(F39&gt;0,(IF(F39&gt;H39,"ganado",(IF(F39=H39,"empatado",(IF(F39&lt;H39,"perdido","")))))),"")),(IF(F39&gt;0,(IF(F39&gt;H39,"won",(IF(F39=H39,"tied",(IF(F39&lt;H39,"lost","")))))),"")))</f>
        <v/>
      </c>
      <c r="C39" s="415"/>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16"/>
      <c r="AB39" s="417"/>
      <c r="AC39" s="443"/>
      <c r="AD39" s="30"/>
      <c r="AE39" s="60" t="b">
        <v>0</v>
      </c>
      <c r="AF39" s="60" t="b">
        <v>0</v>
      </c>
      <c r="AG39" s="60" t="b">
        <v>0</v>
      </c>
      <c r="AH39" s="30"/>
      <c r="AI39" s="30" t="str">
        <f t="shared" si="9"/>
        <v/>
      </c>
    </row>
    <row r="40" spans="1:35" ht="21" customHeight="1">
      <c r="A40" s="127">
        <v>35</v>
      </c>
      <c r="B40" s="414" t="str">
        <f>IF(Roster!$J$25="Español",(IF(F40&gt;0,(IF(F40&gt;H40,"ganado",(IF(F40=H40,"empatado",(IF(F40&lt;H40,"perdido","")))))),"")),(IF(F40&gt;0,(IF(F40&gt;H40,"won",(IF(F40=H40,"tied",(IF(F40&lt;H40,"lost","")))))),"")))</f>
        <v/>
      </c>
      <c r="C40" s="415"/>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16"/>
      <c r="AB40" s="417"/>
      <c r="AC40" s="443"/>
      <c r="AD40" s="30"/>
      <c r="AE40" s="60" t="b">
        <v>0</v>
      </c>
      <c r="AF40" s="60" t="b">
        <v>0</v>
      </c>
      <c r="AG40" s="60" t="b">
        <v>0</v>
      </c>
      <c r="AH40" s="30"/>
      <c r="AI40" s="30" t="str">
        <f t="shared" si="9"/>
        <v/>
      </c>
    </row>
    <row r="41" spans="1:35" ht="21" customHeight="1">
      <c r="A41" s="122">
        <v>36</v>
      </c>
      <c r="B41" s="414" t="str">
        <f>IF(Roster!$J$25="Español",(IF(F41&gt;0,(IF(F41&gt;H41,"ganado",(IF(F41=H41,"empatado",(IF(F41&lt;H41,"perdido","")))))),"")),(IF(F41&gt;0,(IF(F41&gt;H41,"won",(IF(F41=H41,"tied",(IF(F41&lt;H41,"lost","")))))),"")))</f>
        <v/>
      </c>
      <c r="C41" s="415"/>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16"/>
      <c r="AB41" s="417"/>
      <c r="AC41" s="443"/>
      <c r="AD41" s="30"/>
      <c r="AE41" s="60" t="b">
        <v>0</v>
      </c>
      <c r="AF41" s="60" t="b">
        <v>0</v>
      </c>
      <c r="AG41" s="60" t="b">
        <v>0</v>
      </c>
      <c r="AH41" s="30"/>
      <c r="AI41" s="30" t="str">
        <f t="shared" si="9"/>
        <v/>
      </c>
    </row>
    <row r="42" spans="1:35" ht="21" customHeight="1">
      <c r="A42" s="122">
        <v>37</v>
      </c>
      <c r="B42" s="414" t="str">
        <f>IF(Roster!$J$25="Español",(IF(F42&gt;0,(IF(F42&gt;H42,"ganado",(IF(F42=H42,"empatado",(IF(F42&lt;H42,"perdido","")))))),"")),(IF(F42&gt;0,(IF(F42&gt;H42,"won",(IF(F42=H42,"tied",(IF(F42&lt;H42,"lost","")))))),"")))</f>
        <v/>
      </c>
      <c r="C42" s="415"/>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16"/>
      <c r="AB42" s="417"/>
      <c r="AC42" s="443"/>
      <c r="AD42" s="30"/>
      <c r="AE42" s="60" t="b">
        <v>0</v>
      </c>
      <c r="AF42" s="60" t="b">
        <v>0</v>
      </c>
      <c r="AG42" s="60" t="b">
        <v>0</v>
      </c>
      <c r="AH42" s="30"/>
      <c r="AI42" s="30" t="str">
        <f t="shared" si="9"/>
        <v/>
      </c>
    </row>
    <row r="43" spans="1:35" ht="21" customHeight="1">
      <c r="A43" s="127">
        <v>38</v>
      </c>
      <c r="B43" s="414" t="str">
        <f>IF(Roster!$J$25="Español",(IF(F43&gt;0,(IF(F43&gt;H43,"ganado",(IF(F43=H43,"empatado",(IF(F43&lt;H43,"perdido","")))))),"")),(IF(F43&gt;0,(IF(F43&gt;H43,"won",(IF(F43=H43,"tied",(IF(F43&lt;H43,"lost","")))))),"")))</f>
        <v/>
      </c>
      <c r="C43" s="415"/>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16"/>
      <c r="AB43" s="417"/>
      <c r="AC43" s="443"/>
      <c r="AD43" s="30"/>
      <c r="AE43" s="60" t="b">
        <v>0</v>
      </c>
      <c r="AF43" s="60" t="b">
        <v>0</v>
      </c>
      <c r="AG43" s="60" t="b">
        <v>0</v>
      </c>
      <c r="AH43" s="30"/>
      <c r="AI43" s="30" t="str">
        <f t="shared" si="9"/>
        <v/>
      </c>
    </row>
    <row r="44" spans="1:35" ht="21" customHeight="1">
      <c r="A44" s="122">
        <v>39</v>
      </c>
      <c r="B44" s="414" t="str">
        <f>IF(Roster!$J$25="Español",(IF(F44&gt;0,(IF(F44&gt;H44,"ganado",(IF(F44=H44,"empatado",(IF(F44&lt;H44,"perdido","")))))),"")),(IF(F44&gt;0,(IF(F44&gt;H44,"won",(IF(F44=H44,"tied",(IF(F44&lt;H44,"lost","")))))),"")))</f>
        <v/>
      </c>
      <c r="C44" s="415"/>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16"/>
      <c r="AB44" s="417"/>
      <c r="AC44" s="443"/>
      <c r="AD44" s="30"/>
      <c r="AE44" s="60" t="b">
        <v>0</v>
      </c>
      <c r="AF44" s="60" t="b">
        <v>0</v>
      </c>
      <c r="AG44" s="60" t="b">
        <v>0</v>
      </c>
      <c r="AH44" s="30"/>
      <c r="AI44" s="30" t="str">
        <f t="shared" si="9"/>
        <v/>
      </c>
    </row>
    <row r="45" spans="1:35" ht="21" customHeight="1">
      <c r="A45" s="122">
        <v>40</v>
      </c>
      <c r="B45" s="414" t="str">
        <f>IF(Roster!$J$25="Español",(IF(F45&gt;0,(IF(F45&gt;H45,"ganado",(IF(F45=H45,"empatado",(IF(F45&lt;H45,"perdido","")))))),"")),(IF(F45&gt;0,(IF(F45&gt;H45,"won",(IF(F45=H45,"tied",(IF(F45&lt;H45,"lost","")))))),"")))</f>
        <v/>
      </c>
      <c r="C45" s="415"/>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16"/>
      <c r="AB45" s="417"/>
      <c r="AC45" s="443"/>
      <c r="AD45" s="30"/>
      <c r="AE45" s="60" t="b">
        <v>0</v>
      </c>
      <c r="AF45" s="60" t="b">
        <v>0</v>
      </c>
      <c r="AG45" s="60" t="b">
        <v>0</v>
      </c>
      <c r="AH45" s="30"/>
      <c r="AI45" s="30" t="str">
        <f t="shared" si="9"/>
        <v/>
      </c>
    </row>
    <row r="46" spans="1:35" ht="21" customHeight="1">
      <c r="A46" s="127">
        <v>41</v>
      </c>
      <c r="B46" s="414" t="str">
        <f>IF(Roster!$J$25="Español",(IF(F46&gt;0,(IF(F46&gt;H46,"ganado",(IF(F46=H46,"empatado",(IF(F46&lt;H46,"perdido","")))))),"")),(IF(F46&gt;0,(IF(F46&gt;H46,"won",(IF(F46=H46,"tied",(IF(F46&lt;H46,"lost","")))))),"")))</f>
        <v/>
      </c>
      <c r="C46" s="415"/>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16"/>
      <c r="AB46" s="417"/>
      <c r="AC46" s="443"/>
      <c r="AD46" s="30"/>
      <c r="AE46" s="60" t="b">
        <v>0</v>
      </c>
      <c r="AF46" s="60" t="b">
        <v>0</v>
      </c>
      <c r="AG46" s="60" t="b">
        <v>0</v>
      </c>
      <c r="AH46" s="30"/>
      <c r="AI46" s="30" t="str">
        <f t="shared" si="9"/>
        <v/>
      </c>
    </row>
    <row r="47" spans="1:35" ht="21" customHeight="1">
      <c r="A47" s="122">
        <v>42</v>
      </c>
      <c r="B47" s="414" t="str">
        <f>IF(Roster!$J$25="Español",(IF(F47&gt;0,(IF(F47&gt;H47,"ganado",(IF(F47=H47,"empatado",(IF(F47&lt;H47,"perdido","")))))),"")),(IF(F47&gt;0,(IF(F47&gt;H47,"won",(IF(F47=H47,"tied",(IF(F47&lt;H47,"lost","")))))),"")))</f>
        <v/>
      </c>
      <c r="C47" s="415"/>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16"/>
      <c r="AB47" s="417"/>
      <c r="AC47" s="443"/>
      <c r="AD47" s="30"/>
      <c r="AE47" s="60" t="b">
        <v>0</v>
      </c>
      <c r="AF47" s="60" t="b">
        <v>0</v>
      </c>
      <c r="AG47" s="60" t="b">
        <v>0</v>
      </c>
      <c r="AH47" s="30"/>
      <c r="AI47" s="30" t="str">
        <f t="shared" si="9"/>
        <v/>
      </c>
    </row>
    <row r="48" spans="1:35" ht="21" customHeight="1">
      <c r="A48" s="122">
        <v>43</v>
      </c>
      <c r="B48" s="414" t="str">
        <f>IF(Roster!$J$25="Español",(IF(F48&gt;0,(IF(F48&gt;H48,"ganado",(IF(F48=H48,"empatado",(IF(F48&lt;H48,"perdido","")))))),"")),(IF(F48&gt;0,(IF(F48&gt;H48,"won",(IF(F48=H48,"tied",(IF(F48&lt;H48,"lost","")))))),"")))</f>
        <v/>
      </c>
      <c r="C48" s="415"/>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16"/>
      <c r="AB48" s="417"/>
      <c r="AC48" s="443"/>
      <c r="AD48" s="30"/>
      <c r="AE48" s="60" t="b">
        <v>0</v>
      </c>
      <c r="AF48" s="60" t="b">
        <v>0</v>
      </c>
      <c r="AG48" s="60" t="b">
        <v>0</v>
      </c>
      <c r="AH48" s="30"/>
      <c r="AI48" s="30" t="str">
        <f t="shared" si="9"/>
        <v/>
      </c>
    </row>
    <row r="49" spans="1:35" ht="21" customHeight="1">
      <c r="A49" s="127">
        <v>44</v>
      </c>
      <c r="B49" s="414" t="str">
        <f>IF(Roster!$J$25="Español",(IF(F49&gt;0,(IF(F49&gt;H49,"ganado",(IF(F49=H49,"empatado",(IF(F49&lt;H49,"perdido","")))))),"")),(IF(F49&gt;0,(IF(F49&gt;H49,"won",(IF(F49=H49,"tied",(IF(F49&lt;H49,"lost","")))))),"")))</f>
        <v/>
      </c>
      <c r="C49" s="415"/>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16"/>
      <c r="AB49" s="417"/>
      <c r="AC49" s="443"/>
      <c r="AD49" s="30"/>
      <c r="AE49" s="60" t="b">
        <v>0</v>
      </c>
      <c r="AF49" s="60" t="b">
        <v>0</v>
      </c>
      <c r="AG49" s="60" t="b">
        <v>0</v>
      </c>
      <c r="AH49" s="30"/>
      <c r="AI49" s="30" t="str">
        <f t="shared" si="9"/>
        <v/>
      </c>
    </row>
    <row r="50" spans="1:35" ht="21" customHeight="1">
      <c r="A50" s="122">
        <v>45</v>
      </c>
      <c r="B50" s="414" t="str">
        <f>IF(Roster!$J$25="Español",(IF(F50&gt;0,(IF(F50&gt;H50,"ganado",(IF(F50=H50,"empatado",(IF(F50&lt;H50,"perdido","")))))),"")),(IF(F50&gt;0,(IF(F50&gt;H50,"won",(IF(F50=H50,"tied",(IF(F50&lt;H50,"lost","")))))),"")))</f>
        <v/>
      </c>
      <c r="C50" s="415"/>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16"/>
      <c r="AB50" s="417"/>
      <c r="AC50" s="443"/>
      <c r="AD50" s="30"/>
      <c r="AE50" s="60" t="b">
        <v>0</v>
      </c>
      <c r="AF50" s="60" t="b">
        <v>0</v>
      </c>
      <c r="AG50" s="60" t="b">
        <v>0</v>
      </c>
      <c r="AH50" s="30"/>
      <c r="AI50" s="30" t="str">
        <f t="shared" si="9"/>
        <v/>
      </c>
    </row>
    <row r="51" spans="1:35" ht="21" customHeight="1">
      <c r="A51" s="122">
        <v>46</v>
      </c>
      <c r="B51" s="414" t="str">
        <f>IF(Roster!$J$25="Español",(IF(F51&gt;0,(IF(F51&gt;H51,"ganado",(IF(F51=H51,"empatado",(IF(F51&lt;H51,"perdido","")))))),"")),(IF(F51&gt;0,(IF(F51&gt;H51,"won",(IF(F51=H51,"tied",(IF(F51&lt;H51,"lost","")))))),"")))</f>
        <v/>
      </c>
      <c r="C51" s="415"/>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16"/>
      <c r="AB51" s="417"/>
      <c r="AC51" s="443"/>
      <c r="AD51" s="30"/>
      <c r="AE51" s="60" t="b">
        <v>0</v>
      </c>
      <c r="AF51" s="60" t="b">
        <v>0</v>
      </c>
      <c r="AG51" s="60" t="b">
        <v>0</v>
      </c>
      <c r="AH51" s="30"/>
      <c r="AI51" s="30" t="str">
        <f t="shared" si="9"/>
        <v/>
      </c>
    </row>
    <row r="52" spans="1:35" ht="21" customHeight="1">
      <c r="A52" s="127">
        <v>47</v>
      </c>
      <c r="B52" s="414" t="str">
        <f>IF(Roster!$J$25="Español",(IF(F52&gt;0,(IF(F52&gt;H52,"ganado",(IF(F52=H52,"empatado",(IF(F52&lt;H52,"perdido","")))))),"")),(IF(F52&gt;0,(IF(F52&gt;H52,"won",(IF(F52=H52,"tied",(IF(F52&lt;H52,"lost","")))))),"")))</f>
        <v/>
      </c>
      <c r="C52" s="415"/>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16"/>
      <c r="AB52" s="417"/>
      <c r="AC52" s="443"/>
      <c r="AD52" s="30"/>
      <c r="AE52" s="60" t="b">
        <v>0</v>
      </c>
      <c r="AF52" s="60" t="b">
        <v>0</v>
      </c>
      <c r="AG52" s="60" t="b">
        <v>0</v>
      </c>
      <c r="AH52" s="30"/>
      <c r="AI52" s="30" t="str">
        <f t="shared" si="9"/>
        <v/>
      </c>
    </row>
    <row r="53" spans="1:35" ht="21" customHeight="1">
      <c r="A53" s="122">
        <v>48</v>
      </c>
      <c r="B53" s="414" t="str">
        <f>IF(Roster!$J$25="Español",(IF(F53&gt;0,(IF(F53&gt;H53,"ganado",(IF(F53=H53,"empatado",(IF(F53&lt;H53,"perdido","")))))),"")),(IF(F53&gt;0,(IF(F53&gt;H53,"won",(IF(F53=H53,"tied",(IF(F53&lt;H53,"lost","")))))),"")))</f>
        <v/>
      </c>
      <c r="C53" s="415"/>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16"/>
      <c r="AB53" s="417"/>
      <c r="AC53" s="443"/>
      <c r="AD53" s="30"/>
      <c r="AE53" s="60" t="b">
        <v>0</v>
      </c>
      <c r="AF53" s="60" t="b">
        <v>0</v>
      </c>
      <c r="AG53" s="60" t="b">
        <v>0</v>
      </c>
      <c r="AH53" s="30"/>
      <c r="AI53" s="30" t="str">
        <f t="shared" si="9"/>
        <v/>
      </c>
    </row>
    <row r="54" spans="1:35" ht="21" customHeight="1">
      <c r="A54" s="122">
        <v>49</v>
      </c>
      <c r="B54" s="414" t="str">
        <f>IF(Roster!$J$25="Español",(IF(F54&gt;0,(IF(F54&gt;H54,"ganado",(IF(F54=H54,"empatado",(IF(F54&lt;H54,"perdido","")))))),"")),(IF(F54&gt;0,(IF(F54&gt;H54,"won",(IF(F54=H54,"tied",(IF(F54&lt;H54,"lost","")))))),"")))</f>
        <v/>
      </c>
      <c r="C54" s="415"/>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16"/>
      <c r="AB54" s="417"/>
      <c r="AC54" s="443"/>
      <c r="AD54" s="30"/>
      <c r="AE54" s="60" t="b">
        <v>0</v>
      </c>
      <c r="AF54" s="60" t="b">
        <v>0</v>
      </c>
      <c r="AG54" s="60" t="b">
        <v>0</v>
      </c>
      <c r="AH54" s="30"/>
      <c r="AI54" s="30" t="str">
        <f t="shared" si="9"/>
        <v/>
      </c>
    </row>
    <row r="55" spans="1:35" ht="21" customHeight="1" thickBot="1">
      <c r="A55" s="127">
        <v>50</v>
      </c>
      <c r="B55" s="414" t="str">
        <f>IF(Roster!$J$25="Español",(IF(F55&gt;0,(IF(F55&gt;H55,"ganado",(IF(F55=H55,"empatado",(IF(F55&lt;H55,"perdido","")))))),"")),(IF(F55&gt;0,(IF(F55&gt;H55,"won",(IF(F55=H55,"tied",(IF(F55&lt;H55,"lost","")))))),"")))</f>
        <v/>
      </c>
      <c r="C55" s="415"/>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16"/>
      <c r="AB55" s="417"/>
      <c r="AC55" s="443"/>
      <c r="AD55" s="30"/>
      <c r="AE55" s="60" t="b">
        <v>0</v>
      </c>
      <c r="AF55" s="60" t="b">
        <v>0</v>
      </c>
      <c r="AG55" s="60" t="b">
        <v>0</v>
      </c>
      <c r="AH55" s="30"/>
      <c r="AI55" s="30" t="str">
        <f t="shared" si="9"/>
        <v/>
      </c>
    </row>
    <row r="56" spans="1:35" ht="21" customHeight="1" thickBot="1">
      <c r="A56" s="441" t="str">
        <f>IF(Roster!J25="Italiano","  Note",(IF(Roster!J25="Español","  Notas",(IF(Roster!J25="Deutsch","  Notizen","  Notes")))))</f>
        <v xml:space="preserve">  Note</v>
      </c>
      <c r="B56" s="424"/>
      <c r="C56" s="442"/>
      <c r="D56" s="435"/>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7"/>
      <c r="AC56" s="443"/>
      <c r="AD56" s="30"/>
      <c r="AE56" s="77"/>
      <c r="AF56" s="77"/>
      <c r="AG56" s="77"/>
      <c r="AH56" s="30"/>
      <c r="AI56" s="30"/>
    </row>
    <row r="57" spans="1:35" ht="8.25" customHeight="1">
      <c r="A57" s="438"/>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40"/>
      <c r="AD57" s="30"/>
      <c r="AE57" s="30"/>
      <c r="AF57" s="30"/>
      <c r="AG57" s="30"/>
      <c r="AH57" s="30"/>
      <c r="AI57" s="30"/>
    </row>
    <row r="58" spans="1:35" ht="30" hidden="1" customHeight="1">
      <c r="A58" s="134"/>
      <c r="B58" s="413"/>
      <c r="C58" s="368"/>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13"/>
      <c r="C59" s="368"/>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13"/>
      <c r="C60" s="368"/>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13"/>
      <c r="C61" s="368"/>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13"/>
      <c r="C62" s="368"/>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13"/>
      <c r="C63" s="368"/>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13"/>
      <c r="C64" s="368"/>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13"/>
      <c r="C65" s="368"/>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13"/>
      <c r="C66" s="368"/>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13"/>
      <c r="C67" s="368"/>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13"/>
      <c r="C68" s="368"/>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13"/>
      <c r="C69" s="368"/>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13"/>
      <c r="C70" s="368"/>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13"/>
      <c r="C71" s="368"/>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13"/>
      <c r="C72" s="368"/>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13"/>
      <c r="C73" s="368"/>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13"/>
      <c r="C74" s="368"/>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13"/>
      <c r="C75" s="368"/>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13"/>
      <c r="C76" s="368"/>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13"/>
      <c r="C77" s="368"/>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13"/>
      <c r="C78" s="368"/>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13"/>
      <c r="C79" s="368"/>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13"/>
      <c r="C80" s="368"/>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13"/>
      <c r="C81" s="368"/>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13"/>
      <c r="C82" s="368"/>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13"/>
      <c r="C83" s="368"/>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13"/>
      <c r="C84" s="368"/>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13"/>
      <c r="C85" s="368"/>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13"/>
      <c r="C86" s="368"/>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13"/>
      <c r="C87" s="368"/>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13"/>
      <c r="C88" s="368"/>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13"/>
      <c r="C89" s="368"/>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13"/>
      <c r="C90" s="368"/>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13"/>
      <c r="C91" s="368"/>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13"/>
      <c r="C92" s="368"/>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13"/>
      <c r="C93" s="368"/>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13"/>
      <c r="C94" s="368"/>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13"/>
      <c r="C95" s="368"/>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13"/>
      <c r="C96" s="368"/>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13"/>
      <c r="C97" s="368"/>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13"/>
      <c r="C98" s="368"/>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13"/>
      <c r="C99" s="368"/>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13"/>
      <c r="C100" s="368"/>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13"/>
      <c r="C101" s="368"/>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13"/>
      <c r="C102" s="368"/>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13"/>
      <c r="C103" s="368"/>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13"/>
      <c r="C104" s="368"/>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13"/>
      <c r="C105" s="368"/>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13"/>
      <c r="C106" s="368"/>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13"/>
      <c r="C107" s="368"/>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13"/>
      <c r="C108" s="368"/>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13"/>
      <c r="C109" s="368"/>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13"/>
      <c r="C110" s="368"/>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13"/>
      <c r="C111" s="368"/>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13"/>
      <c r="C112" s="368"/>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13"/>
      <c r="C113" s="368"/>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13"/>
      <c r="C114" s="368"/>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13"/>
      <c r="C115" s="368"/>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13"/>
      <c r="C116" s="368"/>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13"/>
      <c r="C117" s="368"/>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13"/>
      <c r="C118" s="368"/>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13"/>
      <c r="C119" s="368"/>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13"/>
      <c r="C120" s="368"/>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13"/>
      <c r="C121" s="368"/>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13"/>
      <c r="C122" s="368"/>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13"/>
      <c r="C123" s="368"/>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13"/>
      <c r="C124" s="368"/>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13"/>
      <c r="C125" s="368"/>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13"/>
      <c r="C126" s="368"/>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13"/>
      <c r="C127" s="368"/>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13"/>
      <c r="C128" s="368"/>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13"/>
      <c r="C129" s="368"/>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13"/>
      <c r="C130" s="368"/>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13"/>
      <c r="C131" s="368"/>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13"/>
      <c r="C132" s="368"/>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13"/>
      <c r="C133" s="368"/>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13"/>
      <c r="C134" s="368"/>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13"/>
      <c r="C135" s="368"/>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13"/>
      <c r="C136" s="368"/>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13"/>
      <c r="C137" s="368"/>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13"/>
      <c r="C138" s="368"/>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13"/>
      <c r="C139" s="368"/>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13"/>
      <c r="C140" s="368"/>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13"/>
      <c r="C141" s="368"/>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13"/>
      <c r="C142" s="368"/>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13"/>
      <c r="C143" s="368"/>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13"/>
      <c r="C144" s="368"/>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13"/>
      <c r="C145" s="368"/>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13"/>
      <c r="C146" s="368"/>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13"/>
      <c r="C147" s="368"/>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13"/>
      <c r="C148" s="368"/>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13"/>
      <c r="C149" s="368"/>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13"/>
      <c r="C150" s="368"/>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13"/>
      <c r="C151" s="368"/>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13"/>
      <c r="C152" s="368"/>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13"/>
      <c r="C153" s="368"/>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13"/>
      <c r="C154" s="368"/>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13"/>
      <c r="C155" s="368"/>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13"/>
      <c r="C156" s="368"/>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13"/>
      <c r="C157" s="368"/>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13"/>
      <c r="C158" s="368"/>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13"/>
      <c r="C159" s="368"/>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13"/>
      <c r="C160" s="368"/>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13"/>
      <c r="C161" s="368"/>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13"/>
      <c r="C162" s="368"/>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13"/>
      <c r="C163" s="368"/>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13"/>
      <c r="C164" s="368"/>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13"/>
      <c r="C165" s="368"/>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13"/>
      <c r="C166" s="368"/>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13"/>
      <c r="C167" s="368"/>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13"/>
      <c r="C168" s="368"/>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13"/>
      <c r="C169" s="368"/>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13"/>
      <c r="C170" s="368"/>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13"/>
      <c r="C171" s="368"/>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13"/>
      <c r="C172" s="368"/>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13"/>
      <c r="C173" s="368"/>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13"/>
      <c r="C174" s="368"/>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13"/>
      <c r="C175" s="368"/>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13"/>
      <c r="C176" s="368"/>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13"/>
      <c r="C177" s="368"/>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13"/>
      <c r="C178" s="368"/>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13"/>
      <c r="C179" s="368"/>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13"/>
      <c r="C180" s="368"/>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13"/>
      <c r="C181" s="368"/>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13"/>
      <c r="C182" s="368"/>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13"/>
      <c r="C183" s="368"/>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13"/>
      <c r="C184" s="368"/>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13"/>
      <c r="C185" s="368"/>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13"/>
      <c r="C186" s="368"/>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13"/>
      <c r="C187" s="368"/>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13"/>
      <c r="C188" s="368"/>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13"/>
      <c r="C189" s="368"/>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13"/>
      <c r="C190" s="368"/>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13"/>
      <c r="C191" s="368"/>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13"/>
      <c r="C192" s="368"/>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13"/>
      <c r="C193" s="368"/>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13"/>
      <c r="C194" s="368"/>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13"/>
      <c r="C195" s="368"/>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13"/>
      <c r="C196" s="368"/>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13"/>
      <c r="C197" s="368"/>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13"/>
      <c r="C198" s="368"/>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13"/>
      <c r="C199" s="368"/>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13"/>
      <c r="C200" s="368"/>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13"/>
      <c r="C201" s="368"/>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13"/>
      <c r="C202" s="368"/>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13"/>
      <c r="C203" s="368"/>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13"/>
      <c r="C204" s="368"/>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13"/>
      <c r="C205" s="368"/>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13"/>
      <c r="C206" s="368"/>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13"/>
      <c r="C207" s="368"/>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13"/>
      <c r="C208" s="368"/>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13"/>
      <c r="C209" s="368"/>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13"/>
      <c r="C210" s="368"/>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13"/>
      <c r="C211" s="368"/>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13"/>
      <c r="C212" s="368"/>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13"/>
      <c r="C213" s="368"/>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13"/>
      <c r="C214" s="368"/>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13"/>
      <c r="C215" s="368"/>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13"/>
      <c r="C216" s="368"/>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13"/>
      <c r="C217" s="368"/>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13"/>
      <c r="C218" s="368"/>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13"/>
      <c r="C219" s="368"/>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13"/>
      <c r="C220" s="368"/>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13"/>
      <c r="C221" s="368"/>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13"/>
      <c r="C222" s="368"/>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13"/>
      <c r="C223" s="368"/>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13"/>
      <c r="C224" s="368"/>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13"/>
      <c r="C225" s="368"/>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13"/>
      <c r="C226" s="368"/>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13"/>
      <c r="C227" s="368"/>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13"/>
      <c r="C228" s="368"/>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13"/>
      <c r="C229" s="368"/>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13"/>
      <c r="C230" s="368"/>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13"/>
      <c r="C231" s="368"/>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13"/>
      <c r="C232" s="368"/>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13"/>
      <c r="C233" s="368"/>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13"/>
      <c r="C234" s="368"/>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13"/>
      <c r="C235" s="368"/>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13"/>
      <c r="C236" s="368"/>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13"/>
      <c r="C237" s="368"/>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13"/>
      <c r="C238" s="368"/>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13"/>
      <c r="C239" s="368"/>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13"/>
      <c r="C240" s="368"/>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13"/>
      <c r="C241" s="368"/>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13"/>
      <c r="C242" s="368"/>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13"/>
      <c r="C243" s="368"/>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13"/>
      <c r="C244" s="368"/>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13"/>
      <c r="C245" s="368"/>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13"/>
      <c r="C246" s="368"/>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13"/>
      <c r="C247" s="368"/>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AA45:AB45"/>
    <mergeCell ref="AA46:AB46"/>
    <mergeCell ref="AA29:AB29"/>
    <mergeCell ref="AA30:AB30"/>
    <mergeCell ref="AA31:AB31"/>
    <mergeCell ref="AA32:AB32"/>
    <mergeCell ref="AA33:AB33"/>
    <mergeCell ref="AA34:AB34"/>
    <mergeCell ref="AA35:AB35"/>
    <mergeCell ref="AA36:AB36"/>
    <mergeCell ref="AA37:AB37"/>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AA17:AB17"/>
    <mergeCell ref="AA18:AB18"/>
    <mergeCell ref="AA19:AB19"/>
    <mergeCell ref="AA13:AB13"/>
    <mergeCell ref="AA14:AB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08:C208"/>
    <mergeCell ref="B193:C193"/>
    <mergeCell ref="B194:C194"/>
    <mergeCell ref="B195:C195"/>
    <mergeCell ref="B196:C196"/>
    <mergeCell ref="B197:C197"/>
    <mergeCell ref="B198:C198"/>
    <mergeCell ref="B199:C199"/>
    <mergeCell ref="B200:C200"/>
    <mergeCell ref="B201:C201"/>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K8" sqref="K8"/>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90"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1"/>
      <c r="AL1" s="78"/>
    </row>
    <row r="2" spans="1:38" ht="22.5" customHeight="1">
      <c r="A2" s="24" t="s">
        <v>29</v>
      </c>
      <c r="B2" s="24" t="str">
        <f>IF(Roster!$J$25="Italiano","NOME GIOCATORE",(IF(Roster!$J$25="Español","NOMBRE JUGADOR",(IF(Roster!$J$25="Deutsch","NAME",(IF(Roster!$J$25="Français","NOM DU JOUEUR","PLAYER NAME")))))))</f>
        <v>NOME GIOCATORE</v>
      </c>
      <c r="C2" s="390" t="str">
        <f>IF(Roster!$J$25="Italiano","TIPO",(IF(Roster!$J$25="Español","TIPO",(IF(Roster!$J$25="Deutsch","POSITION",(IF(Roster!$J$25="Français","POSTE","TYPE")))))))</f>
        <v>TIPO</v>
      </c>
      <c r="D2" s="340"/>
      <c r="E2" s="340"/>
      <c r="F2" s="341"/>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90" t="str">
        <f>IF(Roster!$J$25="Italiano","ABILITÀ",(IF(Roster!$J$25="Español","HABILIDADES",(IF(Roster!$J$25="Deutsch","FERTIGKEITEN",(IF(Roster!$J$25="Français","COMPÉTENCES","SKILLS")))))))</f>
        <v>ABILITÀ</v>
      </c>
      <c r="M2" s="340"/>
      <c r="N2" s="340"/>
      <c r="O2" s="340"/>
      <c r="P2" s="340"/>
      <c r="Q2" s="340"/>
      <c r="R2" s="340"/>
      <c r="S2" s="340"/>
      <c r="T2" s="340"/>
      <c r="U2" s="340"/>
      <c r="V2" s="341"/>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65" t="str">
        <f>IF(Roster!$J$25="Italiano","SPP Totali",(IF(Roster!$J$25="Español","SPP Totales",(IF(Roster!$J$25="Deutsch","Gesamte SPP",(IF(Roster!$J$25="Français","Total PSP","Total SPP")))))))</f>
        <v>SPP Totali</v>
      </c>
      <c r="AG2" s="341"/>
      <c r="AH2" s="365" t="str">
        <f>IF(Roster!$J$25="Italiano","SPP Non Spesi",(IF(Roster!$J$25="Español","SPP Sin gastar",(IF(Roster!$J$25="Deutsch","Verfügb. SPP",(IF(Roster!$J$25="Français","PSP restant","Unspent SPP")))))))</f>
        <v>SPP Non Spesi</v>
      </c>
      <c r="AI2" s="341"/>
      <c r="AJ2" s="390" t="str">
        <f>IF(Roster!$J$25="Italiano","COSTO",(IF(Roster!$J$25="Español","PRECIO",(IF(Roster!$J$25="Deutsch","WERT",(IF(Roster!$J$25="Français","VALEUR","COST")))))))</f>
        <v>COSTO</v>
      </c>
      <c r="AK2" s="341"/>
      <c r="AL2" s="452"/>
    </row>
    <row r="3" spans="1:38" ht="22.5" customHeight="1">
      <c r="A3" s="24">
        <v>1</v>
      </c>
      <c r="B3" s="86" t="s">
        <v>1337</v>
      </c>
      <c r="C3" s="346" t="s">
        <v>286</v>
      </c>
      <c r="D3" s="337"/>
      <c r="E3" s="337"/>
      <c r="F3" s="338"/>
      <c r="G3" s="168"/>
      <c r="H3" s="168"/>
      <c r="I3" s="168"/>
      <c r="J3" s="168"/>
      <c r="K3" s="168"/>
      <c r="L3" s="451" t="s">
        <v>1358</v>
      </c>
      <c r="M3" s="337"/>
      <c r="N3" s="337"/>
      <c r="O3" s="337"/>
      <c r="P3" s="337"/>
      <c r="Q3" s="337"/>
      <c r="R3" s="337"/>
      <c r="S3" s="337"/>
      <c r="T3" s="337"/>
      <c r="U3" s="337"/>
      <c r="V3" s="338"/>
      <c r="W3" s="169"/>
      <c r="X3" s="170"/>
      <c r="Y3" s="170"/>
      <c r="Z3" s="170"/>
      <c r="AA3" s="171"/>
      <c r="AB3" s="171"/>
      <c r="AC3" s="171"/>
      <c r="AD3" s="171"/>
      <c r="AE3" s="171"/>
      <c r="AF3" s="450"/>
      <c r="AG3" s="338"/>
      <c r="AH3" s="450"/>
      <c r="AI3" s="338"/>
      <c r="AJ3" s="455">
        <v>80000</v>
      </c>
      <c r="AK3" s="338"/>
      <c r="AL3" s="453"/>
    </row>
    <row r="4" spans="1:38" ht="22.5" customHeight="1">
      <c r="A4" s="24">
        <v>2</v>
      </c>
      <c r="B4" s="86" t="s">
        <v>1354</v>
      </c>
      <c r="C4" s="346" t="s">
        <v>286</v>
      </c>
      <c r="D4" s="337"/>
      <c r="E4" s="337"/>
      <c r="F4" s="338"/>
      <c r="G4" s="168"/>
      <c r="H4" s="168"/>
      <c r="I4" s="168"/>
      <c r="J4" s="168"/>
      <c r="K4" s="168"/>
      <c r="L4" s="451" t="s">
        <v>1358</v>
      </c>
      <c r="M4" s="337"/>
      <c r="N4" s="337"/>
      <c r="O4" s="337"/>
      <c r="P4" s="337"/>
      <c r="Q4" s="337"/>
      <c r="R4" s="337"/>
      <c r="S4" s="337"/>
      <c r="T4" s="337"/>
      <c r="U4" s="337"/>
      <c r="V4" s="338"/>
      <c r="W4" s="169"/>
      <c r="X4" s="170"/>
      <c r="Y4" s="170"/>
      <c r="Z4" s="170"/>
      <c r="AA4" s="171"/>
      <c r="AB4" s="171"/>
      <c r="AC4" s="171"/>
      <c r="AD4" s="171"/>
      <c r="AE4" s="171"/>
      <c r="AF4" s="450"/>
      <c r="AG4" s="338"/>
      <c r="AH4" s="450"/>
      <c r="AI4" s="338"/>
      <c r="AJ4" s="450">
        <v>80000</v>
      </c>
      <c r="AK4" s="338"/>
      <c r="AL4" s="453"/>
    </row>
    <row r="5" spans="1:38" ht="22.5" customHeight="1">
      <c r="A5" s="24">
        <v>3</v>
      </c>
      <c r="B5" s="86" t="s">
        <v>1344</v>
      </c>
      <c r="C5" s="346" t="s">
        <v>396</v>
      </c>
      <c r="D5" s="337"/>
      <c r="E5" s="337"/>
      <c r="F5" s="338"/>
      <c r="G5" s="168"/>
      <c r="H5" s="168"/>
      <c r="I5" s="168"/>
      <c r="J5" s="168"/>
      <c r="K5" s="168"/>
      <c r="L5" s="451" t="s">
        <v>1358</v>
      </c>
      <c r="M5" s="337"/>
      <c r="N5" s="337"/>
      <c r="O5" s="337"/>
      <c r="P5" s="337"/>
      <c r="Q5" s="337"/>
      <c r="R5" s="337"/>
      <c r="S5" s="337"/>
      <c r="T5" s="337"/>
      <c r="U5" s="337"/>
      <c r="V5" s="338"/>
      <c r="W5" s="169"/>
      <c r="X5" s="170"/>
      <c r="Y5" s="170"/>
      <c r="Z5" s="170"/>
      <c r="AA5" s="171"/>
      <c r="AB5" s="171"/>
      <c r="AC5" s="171"/>
      <c r="AD5" s="171"/>
      <c r="AE5" s="171"/>
      <c r="AF5" s="450"/>
      <c r="AG5" s="338"/>
      <c r="AH5" s="450"/>
      <c r="AI5" s="338"/>
      <c r="AJ5" s="450">
        <v>50000</v>
      </c>
      <c r="AK5" s="338"/>
      <c r="AL5" s="453"/>
    </row>
    <row r="6" spans="1:38" ht="22.5" customHeight="1">
      <c r="A6" s="24">
        <v>4</v>
      </c>
      <c r="B6" s="86" t="s">
        <v>1342</v>
      </c>
      <c r="C6" s="346" t="s">
        <v>286</v>
      </c>
      <c r="D6" s="337"/>
      <c r="E6" s="337"/>
      <c r="F6" s="338"/>
      <c r="G6" s="168"/>
      <c r="H6" s="168"/>
      <c r="I6" s="168"/>
      <c r="J6" s="168"/>
      <c r="K6" s="168" t="s">
        <v>890</v>
      </c>
      <c r="L6" s="451" t="s">
        <v>1373</v>
      </c>
      <c r="M6" s="337"/>
      <c r="N6" s="337"/>
      <c r="O6" s="337"/>
      <c r="P6" s="337"/>
      <c r="Q6" s="337"/>
      <c r="R6" s="337"/>
      <c r="S6" s="337"/>
      <c r="T6" s="337"/>
      <c r="U6" s="337"/>
      <c r="V6" s="338"/>
      <c r="W6" s="169"/>
      <c r="X6" s="170"/>
      <c r="Y6" s="170">
        <v>2</v>
      </c>
      <c r="Z6" s="170"/>
      <c r="AA6" s="171"/>
      <c r="AB6" s="171"/>
      <c r="AC6" s="171"/>
      <c r="AD6" s="171">
        <v>1</v>
      </c>
      <c r="AE6" s="171"/>
      <c r="AF6" s="450">
        <v>8</v>
      </c>
      <c r="AG6" s="338"/>
      <c r="AH6" s="450">
        <v>2</v>
      </c>
      <c r="AI6" s="338"/>
      <c r="AJ6" s="450">
        <v>100000</v>
      </c>
      <c r="AK6" s="338"/>
      <c r="AL6" s="453"/>
    </row>
    <row r="7" spans="1:38" ht="22.5" customHeight="1">
      <c r="A7" s="24">
        <v>5</v>
      </c>
      <c r="B7" s="86"/>
      <c r="C7" s="346"/>
      <c r="D7" s="337"/>
      <c r="E7" s="337"/>
      <c r="F7" s="338"/>
      <c r="G7" s="168"/>
      <c r="H7" s="168"/>
      <c r="I7" s="168"/>
      <c r="J7" s="168"/>
      <c r="K7" s="168"/>
      <c r="L7" s="451"/>
      <c r="M7" s="337"/>
      <c r="N7" s="337"/>
      <c r="O7" s="337"/>
      <c r="P7" s="337"/>
      <c r="Q7" s="337"/>
      <c r="R7" s="337"/>
      <c r="S7" s="337"/>
      <c r="T7" s="337"/>
      <c r="U7" s="337"/>
      <c r="V7" s="338"/>
      <c r="W7" s="169"/>
      <c r="X7" s="170"/>
      <c r="Y7" s="170"/>
      <c r="Z7" s="170"/>
      <c r="AA7" s="171"/>
      <c r="AB7" s="171"/>
      <c r="AC7" s="171"/>
      <c r="AD7" s="171"/>
      <c r="AE7" s="171"/>
      <c r="AF7" s="450"/>
      <c r="AG7" s="338"/>
      <c r="AH7" s="450"/>
      <c r="AI7" s="338"/>
      <c r="AJ7" s="450"/>
      <c r="AK7" s="338"/>
      <c r="AL7" s="453"/>
    </row>
    <row r="8" spans="1:38" ht="22.5" customHeight="1">
      <c r="A8" s="24">
        <v>6</v>
      </c>
      <c r="B8" s="86"/>
      <c r="C8" s="346"/>
      <c r="D8" s="337"/>
      <c r="E8" s="337"/>
      <c r="F8" s="338"/>
      <c r="G8" s="168"/>
      <c r="H8" s="168"/>
      <c r="I8" s="168"/>
      <c r="J8" s="168"/>
      <c r="K8" s="168"/>
      <c r="L8" s="451"/>
      <c r="M8" s="337"/>
      <c r="N8" s="337"/>
      <c r="O8" s="337"/>
      <c r="P8" s="337"/>
      <c r="Q8" s="337"/>
      <c r="R8" s="337"/>
      <c r="S8" s="337"/>
      <c r="T8" s="337"/>
      <c r="U8" s="337"/>
      <c r="V8" s="338"/>
      <c r="W8" s="169"/>
      <c r="X8" s="170"/>
      <c r="Y8" s="170"/>
      <c r="Z8" s="170"/>
      <c r="AA8" s="171"/>
      <c r="AB8" s="171"/>
      <c r="AC8" s="171"/>
      <c r="AD8" s="171"/>
      <c r="AE8" s="171"/>
      <c r="AF8" s="450"/>
      <c r="AG8" s="338"/>
      <c r="AH8" s="450"/>
      <c r="AI8" s="338"/>
      <c r="AJ8" s="450"/>
      <c r="AK8" s="338"/>
      <c r="AL8" s="453"/>
    </row>
    <row r="9" spans="1:38" ht="22.5" customHeight="1">
      <c r="A9" s="24">
        <v>7</v>
      </c>
      <c r="B9" s="86"/>
      <c r="C9" s="346"/>
      <c r="D9" s="337"/>
      <c r="E9" s="337"/>
      <c r="F9" s="338"/>
      <c r="G9" s="168"/>
      <c r="H9" s="168"/>
      <c r="I9" s="168"/>
      <c r="J9" s="168"/>
      <c r="K9" s="168"/>
      <c r="L9" s="451"/>
      <c r="M9" s="337"/>
      <c r="N9" s="337"/>
      <c r="O9" s="337"/>
      <c r="P9" s="337"/>
      <c r="Q9" s="337"/>
      <c r="R9" s="337"/>
      <c r="S9" s="337"/>
      <c r="T9" s="337"/>
      <c r="U9" s="337"/>
      <c r="V9" s="338"/>
      <c r="W9" s="169"/>
      <c r="X9" s="170"/>
      <c r="Y9" s="170"/>
      <c r="Z9" s="170"/>
      <c r="AA9" s="171"/>
      <c r="AB9" s="171"/>
      <c r="AC9" s="171"/>
      <c r="AD9" s="171"/>
      <c r="AE9" s="171"/>
      <c r="AF9" s="450"/>
      <c r="AG9" s="338"/>
      <c r="AH9" s="450"/>
      <c r="AI9" s="338"/>
      <c r="AJ9" s="450"/>
      <c r="AK9" s="338"/>
      <c r="AL9" s="453"/>
    </row>
    <row r="10" spans="1:38" ht="22.5" customHeight="1">
      <c r="A10" s="24">
        <v>8</v>
      </c>
      <c r="B10" s="86"/>
      <c r="C10" s="346"/>
      <c r="D10" s="337"/>
      <c r="E10" s="337"/>
      <c r="F10" s="338"/>
      <c r="G10" s="168"/>
      <c r="H10" s="168"/>
      <c r="I10" s="168"/>
      <c r="J10" s="168"/>
      <c r="K10" s="168"/>
      <c r="L10" s="451"/>
      <c r="M10" s="337"/>
      <c r="N10" s="337"/>
      <c r="O10" s="337"/>
      <c r="P10" s="337"/>
      <c r="Q10" s="337"/>
      <c r="R10" s="337"/>
      <c r="S10" s="337"/>
      <c r="T10" s="337"/>
      <c r="U10" s="337"/>
      <c r="V10" s="338"/>
      <c r="W10" s="169"/>
      <c r="X10" s="170"/>
      <c r="Y10" s="170"/>
      <c r="Z10" s="170"/>
      <c r="AA10" s="171"/>
      <c r="AB10" s="171"/>
      <c r="AC10" s="171"/>
      <c r="AD10" s="171"/>
      <c r="AE10" s="171"/>
      <c r="AF10" s="450"/>
      <c r="AG10" s="338"/>
      <c r="AH10" s="450"/>
      <c r="AI10" s="338"/>
      <c r="AJ10" s="450"/>
      <c r="AK10" s="338"/>
      <c r="AL10" s="453"/>
    </row>
    <row r="11" spans="1:38" ht="22.5" customHeight="1">
      <c r="A11" s="24">
        <v>9</v>
      </c>
      <c r="B11" s="86"/>
      <c r="C11" s="346"/>
      <c r="D11" s="337"/>
      <c r="E11" s="337"/>
      <c r="F11" s="338"/>
      <c r="G11" s="168"/>
      <c r="H11" s="168"/>
      <c r="I11" s="168"/>
      <c r="J11" s="168"/>
      <c r="K11" s="168"/>
      <c r="L11" s="451"/>
      <c r="M11" s="337"/>
      <c r="N11" s="337"/>
      <c r="O11" s="337"/>
      <c r="P11" s="337"/>
      <c r="Q11" s="337"/>
      <c r="R11" s="337"/>
      <c r="S11" s="337"/>
      <c r="T11" s="337"/>
      <c r="U11" s="337"/>
      <c r="V11" s="338"/>
      <c r="W11" s="169"/>
      <c r="X11" s="170"/>
      <c r="Y11" s="170"/>
      <c r="Z11" s="170"/>
      <c r="AA11" s="171"/>
      <c r="AB11" s="171"/>
      <c r="AC11" s="171"/>
      <c r="AD11" s="171"/>
      <c r="AE11" s="171"/>
      <c r="AF11" s="450"/>
      <c r="AG11" s="338"/>
      <c r="AH11" s="450"/>
      <c r="AI11" s="338"/>
      <c r="AJ11" s="450"/>
      <c r="AK11" s="338"/>
      <c r="AL11" s="453"/>
    </row>
    <row r="12" spans="1:38" ht="22.5" customHeight="1">
      <c r="A12" s="24">
        <v>10</v>
      </c>
      <c r="B12" s="86"/>
      <c r="C12" s="346"/>
      <c r="D12" s="337"/>
      <c r="E12" s="337"/>
      <c r="F12" s="338"/>
      <c r="G12" s="168"/>
      <c r="H12" s="168"/>
      <c r="I12" s="168"/>
      <c r="J12" s="168"/>
      <c r="K12" s="168"/>
      <c r="L12" s="451"/>
      <c r="M12" s="337"/>
      <c r="N12" s="337"/>
      <c r="O12" s="337"/>
      <c r="P12" s="337"/>
      <c r="Q12" s="337"/>
      <c r="R12" s="337"/>
      <c r="S12" s="337"/>
      <c r="T12" s="337"/>
      <c r="U12" s="337"/>
      <c r="V12" s="338"/>
      <c r="W12" s="169"/>
      <c r="X12" s="170"/>
      <c r="Y12" s="170"/>
      <c r="Z12" s="170"/>
      <c r="AA12" s="171"/>
      <c r="AB12" s="171"/>
      <c r="AC12" s="171"/>
      <c r="AD12" s="171"/>
      <c r="AE12" s="171"/>
      <c r="AF12" s="450"/>
      <c r="AG12" s="338"/>
      <c r="AH12" s="450"/>
      <c r="AI12" s="338"/>
      <c r="AJ12" s="450"/>
      <c r="AK12" s="338"/>
      <c r="AL12" s="453"/>
    </row>
    <row r="13" spans="1:38" ht="22.5" customHeight="1">
      <c r="A13" s="24">
        <v>11</v>
      </c>
      <c r="B13" s="86"/>
      <c r="C13" s="346"/>
      <c r="D13" s="337"/>
      <c r="E13" s="337"/>
      <c r="F13" s="338"/>
      <c r="G13" s="168"/>
      <c r="H13" s="168"/>
      <c r="I13" s="168"/>
      <c r="J13" s="168"/>
      <c r="K13" s="168"/>
      <c r="L13" s="451"/>
      <c r="M13" s="337"/>
      <c r="N13" s="337"/>
      <c r="O13" s="337"/>
      <c r="P13" s="337"/>
      <c r="Q13" s="337"/>
      <c r="R13" s="337"/>
      <c r="S13" s="337"/>
      <c r="T13" s="337"/>
      <c r="U13" s="337"/>
      <c r="V13" s="338"/>
      <c r="W13" s="169"/>
      <c r="X13" s="170"/>
      <c r="Y13" s="170"/>
      <c r="Z13" s="170"/>
      <c r="AA13" s="171"/>
      <c r="AB13" s="171"/>
      <c r="AC13" s="171"/>
      <c r="AD13" s="171"/>
      <c r="AE13" s="171"/>
      <c r="AF13" s="450"/>
      <c r="AG13" s="338"/>
      <c r="AH13" s="450"/>
      <c r="AI13" s="338"/>
      <c r="AJ13" s="450"/>
      <c r="AK13" s="338"/>
      <c r="AL13" s="453"/>
    </row>
    <row r="14" spans="1:38" ht="22.5" customHeight="1">
      <c r="A14" s="24">
        <v>12</v>
      </c>
      <c r="B14" s="86"/>
      <c r="C14" s="346"/>
      <c r="D14" s="337"/>
      <c r="E14" s="337"/>
      <c r="F14" s="338"/>
      <c r="G14" s="168"/>
      <c r="H14" s="168"/>
      <c r="I14" s="168"/>
      <c r="J14" s="168"/>
      <c r="K14" s="168"/>
      <c r="L14" s="451"/>
      <c r="M14" s="337"/>
      <c r="N14" s="337"/>
      <c r="O14" s="337"/>
      <c r="P14" s="337"/>
      <c r="Q14" s="337"/>
      <c r="R14" s="337"/>
      <c r="S14" s="337"/>
      <c r="T14" s="337"/>
      <c r="U14" s="337"/>
      <c r="V14" s="338"/>
      <c r="W14" s="169"/>
      <c r="X14" s="170"/>
      <c r="Y14" s="170"/>
      <c r="Z14" s="170"/>
      <c r="AA14" s="171"/>
      <c r="AB14" s="171"/>
      <c r="AC14" s="171"/>
      <c r="AD14" s="171"/>
      <c r="AE14" s="171"/>
      <c r="AF14" s="450"/>
      <c r="AG14" s="338"/>
      <c r="AH14" s="450"/>
      <c r="AI14" s="338"/>
      <c r="AJ14" s="450"/>
      <c r="AK14" s="338"/>
      <c r="AL14" s="453"/>
    </row>
    <row r="15" spans="1:38" ht="22.5" customHeight="1">
      <c r="A15" s="24">
        <v>13</v>
      </c>
      <c r="B15" s="86"/>
      <c r="C15" s="346"/>
      <c r="D15" s="337"/>
      <c r="E15" s="337"/>
      <c r="F15" s="338"/>
      <c r="G15" s="168"/>
      <c r="H15" s="168"/>
      <c r="I15" s="168"/>
      <c r="J15" s="168"/>
      <c r="K15" s="168"/>
      <c r="L15" s="451"/>
      <c r="M15" s="337"/>
      <c r="N15" s="337"/>
      <c r="O15" s="337"/>
      <c r="P15" s="337"/>
      <c r="Q15" s="337"/>
      <c r="R15" s="337"/>
      <c r="S15" s="337"/>
      <c r="T15" s="337"/>
      <c r="U15" s="337"/>
      <c r="V15" s="338"/>
      <c r="W15" s="169"/>
      <c r="X15" s="170"/>
      <c r="Y15" s="170"/>
      <c r="Z15" s="170"/>
      <c r="AA15" s="171"/>
      <c r="AB15" s="171"/>
      <c r="AC15" s="171"/>
      <c r="AD15" s="171"/>
      <c r="AE15" s="171"/>
      <c r="AF15" s="450"/>
      <c r="AG15" s="338"/>
      <c r="AH15" s="450"/>
      <c r="AI15" s="338"/>
      <c r="AJ15" s="450"/>
      <c r="AK15" s="338"/>
      <c r="AL15" s="453"/>
    </row>
    <row r="16" spans="1:38" ht="22.5" customHeight="1">
      <c r="A16" s="24">
        <v>14</v>
      </c>
      <c r="B16" s="86"/>
      <c r="C16" s="346"/>
      <c r="D16" s="337"/>
      <c r="E16" s="337"/>
      <c r="F16" s="338"/>
      <c r="G16" s="168"/>
      <c r="H16" s="168"/>
      <c r="I16" s="168"/>
      <c r="J16" s="168"/>
      <c r="K16" s="168"/>
      <c r="L16" s="451"/>
      <c r="M16" s="337"/>
      <c r="N16" s="337"/>
      <c r="O16" s="337"/>
      <c r="P16" s="337"/>
      <c r="Q16" s="337"/>
      <c r="R16" s="337"/>
      <c r="S16" s="337"/>
      <c r="T16" s="337"/>
      <c r="U16" s="337"/>
      <c r="V16" s="338"/>
      <c r="W16" s="169"/>
      <c r="X16" s="170"/>
      <c r="Y16" s="170"/>
      <c r="Z16" s="170"/>
      <c r="AA16" s="171"/>
      <c r="AB16" s="171"/>
      <c r="AC16" s="171"/>
      <c r="AD16" s="171"/>
      <c r="AE16" s="171"/>
      <c r="AF16" s="450"/>
      <c r="AG16" s="338"/>
      <c r="AH16" s="450"/>
      <c r="AI16" s="338"/>
      <c r="AJ16" s="450"/>
      <c r="AK16" s="338"/>
      <c r="AL16" s="453"/>
    </row>
    <row r="17" spans="1:38" ht="22.5" customHeight="1">
      <c r="A17" s="24">
        <v>15</v>
      </c>
      <c r="B17" s="86"/>
      <c r="C17" s="346"/>
      <c r="D17" s="337"/>
      <c r="E17" s="337"/>
      <c r="F17" s="338"/>
      <c r="G17" s="168"/>
      <c r="H17" s="168"/>
      <c r="I17" s="168"/>
      <c r="J17" s="168"/>
      <c r="K17" s="168"/>
      <c r="L17" s="451"/>
      <c r="M17" s="337"/>
      <c r="N17" s="337"/>
      <c r="O17" s="337"/>
      <c r="P17" s="337"/>
      <c r="Q17" s="337"/>
      <c r="R17" s="337"/>
      <c r="S17" s="337"/>
      <c r="T17" s="337"/>
      <c r="U17" s="337"/>
      <c r="V17" s="338"/>
      <c r="W17" s="169"/>
      <c r="X17" s="170"/>
      <c r="Y17" s="170"/>
      <c r="Z17" s="170"/>
      <c r="AA17" s="171"/>
      <c r="AB17" s="171"/>
      <c r="AC17" s="171"/>
      <c r="AD17" s="171"/>
      <c r="AE17" s="171"/>
      <c r="AF17" s="450"/>
      <c r="AG17" s="338"/>
      <c r="AH17" s="450"/>
      <c r="AI17" s="338"/>
      <c r="AJ17" s="450"/>
      <c r="AK17" s="338"/>
      <c r="AL17" s="453"/>
    </row>
    <row r="18" spans="1:38" ht="22.5" customHeight="1">
      <c r="A18" s="24">
        <v>16</v>
      </c>
      <c r="B18" s="86"/>
      <c r="C18" s="346"/>
      <c r="D18" s="337"/>
      <c r="E18" s="337"/>
      <c r="F18" s="338"/>
      <c r="G18" s="168">
        <f t="shared" ref="G18:H18" si="0">IFERROR(#REF!,0)</f>
        <v>0</v>
      </c>
      <c r="H18" s="168">
        <f t="shared" si="0"/>
        <v>0</v>
      </c>
      <c r="I18" s="168">
        <f t="shared" ref="I18:K18" si="1">IFERROR(#REF!&amp;"+",0)</f>
        <v>0</v>
      </c>
      <c r="J18" s="168">
        <f t="shared" si="1"/>
        <v>0</v>
      </c>
      <c r="K18" s="168">
        <f t="shared" si="1"/>
        <v>0</v>
      </c>
      <c r="L18" s="451" t="str">
        <f>IFERROR((IF(#REF!="YES",(VLOOKUP(#REF!&amp;C18,Teams!D:M,7,0)&amp;#REF!),#REF!)),"")</f>
        <v/>
      </c>
      <c r="M18" s="337"/>
      <c r="N18" s="337"/>
      <c r="O18" s="337"/>
      <c r="P18" s="337"/>
      <c r="Q18" s="337"/>
      <c r="R18" s="337"/>
      <c r="S18" s="337"/>
      <c r="T18" s="337"/>
      <c r="U18" s="337"/>
      <c r="V18" s="338"/>
      <c r="W18" s="169"/>
      <c r="X18" s="170"/>
      <c r="Y18" s="170"/>
      <c r="Z18" s="170"/>
      <c r="AA18" s="171"/>
      <c r="AB18" s="171"/>
      <c r="AC18" s="171"/>
      <c r="AD18" s="171"/>
      <c r="AE18" s="171"/>
      <c r="AF18" s="450"/>
      <c r="AG18" s="338"/>
      <c r="AH18" s="450"/>
      <c r="AI18" s="338"/>
      <c r="AJ18" s="450"/>
      <c r="AK18" s="338"/>
      <c r="AL18" s="453"/>
    </row>
    <row r="19" spans="1:38" ht="22.5" customHeight="1">
      <c r="A19" s="24">
        <v>17</v>
      </c>
      <c r="B19" s="86"/>
      <c r="C19" s="346"/>
      <c r="D19" s="337"/>
      <c r="E19" s="337"/>
      <c r="F19" s="338"/>
      <c r="G19" s="168">
        <f t="shared" ref="G19:H19" si="2">IFERROR(#REF!,0)</f>
        <v>0</v>
      </c>
      <c r="H19" s="168">
        <f t="shared" si="2"/>
        <v>0</v>
      </c>
      <c r="I19" s="168">
        <f t="shared" ref="I19:K19" si="3">IFERROR(#REF!&amp;"+",0)</f>
        <v>0</v>
      </c>
      <c r="J19" s="168">
        <f t="shared" si="3"/>
        <v>0</v>
      </c>
      <c r="K19" s="168">
        <f t="shared" si="3"/>
        <v>0</v>
      </c>
      <c r="L19" s="451" t="str">
        <f>IFERROR((IF(#REF!="YES",(VLOOKUP(#REF!&amp;C19,Teams!D:M,7,0)&amp;#REF!),#REF!)),"")</f>
        <v/>
      </c>
      <c r="M19" s="337"/>
      <c r="N19" s="337"/>
      <c r="O19" s="337"/>
      <c r="P19" s="337"/>
      <c r="Q19" s="337"/>
      <c r="R19" s="337"/>
      <c r="S19" s="337"/>
      <c r="T19" s="337"/>
      <c r="U19" s="337"/>
      <c r="V19" s="338"/>
      <c r="W19" s="169"/>
      <c r="X19" s="170"/>
      <c r="Y19" s="170"/>
      <c r="Z19" s="170"/>
      <c r="AA19" s="171"/>
      <c r="AB19" s="171"/>
      <c r="AC19" s="171"/>
      <c r="AD19" s="171"/>
      <c r="AE19" s="171"/>
      <c r="AF19" s="450"/>
      <c r="AG19" s="338"/>
      <c r="AH19" s="450"/>
      <c r="AI19" s="338"/>
      <c r="AJ19" s="450"/>
      <c r="AK19" s="338"/>
      <c r="AL19" s="453"/>
    </row>
    <row r="20" spans="1:38" ht="22.5" customHeight="1">
      <c r="A20" s="24">
        <v>18</v>
      </c>
      <c r="B20" s="86"/>
      <c r="C20" s="346"/>
      <c r="D20" s="337"/>
      <c r="E20" s="337"/>
      <c r="F20" s="338"/>
      <c r="G20" s="168">
        <f t="shared" ref="G20:H20" si="4">IFERROR(#REF!,0)</f>
        <v>0</v>
      </c>
      <c r="H20" s="168">
        <f t="shared" si="4"/>
        <v>0</v>
      </c>
      <c r="I20" s="168">
        <f t="shared" ref="I20:K20" si="5">IFERROR(#REF!&amp;"+",0)</f>
        <v>0</v>
      </c>
      <c r="J20" s="168">
        <f t="shared" si="5"/>
        <v>0</v>
      </c>
      <c r="K20" s="168">
        <f t="shared" si="5"/>
        <v>0</v>
      </c>
      <c r="L20" s="451" t="str">
        <f>IFERROR((IF(#REF!="YES",(VLOOKUP(#REF!&amp;C20,Teams!D:M,7,0)&amp;#REF!),#REF!)),"")</f>
        <v/>
      </c>
      <c r="M20" s="337"/>
      <c r="N20" s="337"/>
      <c r="O20" s="337"/>
      <c r="P20" s="337"/>
      <c r="Q20" s="337"/>
      <c r="R20" s="337"/>
      <c r="S20" s="337"/>
      <c r="T20" s="337"/>
      <c r="U20" s="337"/>
      <c r="V20" s="338"/>
      <c r="W20" s="169"/>
      <c r="X20" s="170"/>
      <c r="Y20" s="170"/>
      <c r="Z20" s="170"/>
      <c r="AA20" s="171"/>
      <c r="AB20" s="171"/>
      <c r="AC20" s="171"/>
      <c r="AD20" s="171"/>
      <c r="AE20" s="171"/>
      <c r="AF20" s="450"/>
      <c r="AG20" s="338"/>
      <c r="AH20" s="450"/>
      <c r="AI20" s="338"/>
      <c r="AJ20" s="450"/>
      <c r="AK20" s="338"/>
      <c r="AL20" s="453"/>
    </row>
    <row r="21" spans="1:38" ht="22.5" customHeight="1">
      <c r="A21" s="24">
        <v>19</v>
      </c>
      <c r="B21" s="86"/>
      <c r="C21" s="346"/>
      <c r="D21" s="337"/>
      <c r="E21" s="337"/>
      <c r="F21" s="338"/>
      <c r="G21" s="168">
        <f t="shared" ref="G21:H21" si="6">IFERROR(#REF!,0)</f>
        <v>0</v>
      </c>
      <c r="H21" s="168">
        <f t="shared" si="6"/>
        <v>0</v>
      </c>
      <c r="I21" s="168">
        <f t="shared" ref="I21:K21" si="7">IFERROR(#REF!&amp;"+",0)</f>
        <v>0</v>
      </c>
      <c r="J21" s="168">
        <f t="shared" si="7"/>
        <v>0</v>
      </c>
      <c r="K21" s="168">
        <f t="shared" si="7"/>
        <v>0</v>
      </c>
      <c r="L21" s="451" t="str">
        <f>IFERROR((IF(#REF!="YES",(VLOOKUP(#REF!&amp;C21,Teams!D:M,7,0)&amp;#REF!),#REF!)),"")</f>
        <v/>
      </c>
      <c r="M21" s="337"/>
      <c r="N21" s="337"/>
      <c r="O21" s="337"/>
      <c r="P21" s="337"/>
      <c r="Q21" s="337"/>
      <c r="R21" s="337"/>
      <c r="S21" s="337"/>
      <c r="T21" s="337"/>
      <c r="U21" s="337"/>
      <c r="V21" s="338"/>
      <c r="W21" s="169"/>
      <c r="X21" s="170"/>
      <c r="Y21" s="170"/>
      <c r="Z21" s="170"/>
      <c r="AA21" s="171"/>
      <c r="AB21" s="171"/>
      <c r="AC21" s="171"/>
      <c r="AD21" s="171"/>
      <c r="AE21" s="171"/>
      <c r="AF21" s="450"/>
      <c r="AG21" s="338"/>
      <c r="AH21" s="450"/>
      <c r="AI21" s="338"/>
      <c r="AJ21" s="450"/>
      <c r="AK21" s="338"/>
      <c r="AL21" s="453"/>
    </row>
    <row r="22" spans="1:38" ht="22.5" customHeight="1">
      <c r="A22" s="24">
        <v>20</v>
      </c>
      <c r="B22" s="86"/>
      <c r="C22" s="346"/>
      <c r="D22" s="337"/>
      <c r="E22" s="337"/>
      <c r="F22" s="338"/>
      <c r="G22" s="168">
        <f t="shared" ref="G22:H22" si="8">IFERROR(#REF!,0)</f>
        <v>0</v>
      </c>
      <c r="H22" s="168">
        <f t="shared" si="8"/>
        <v>0</v>
      </c>
      <c r="I22" s="168">
        <f t="shared" ref="I22:K22" si="9">IFERROR(#REF!&amp;"+",0)</f>
        <v>0</v>
      </c>
      <c r="J22" s="168">
        <f t="shared" si="9"/>
        <v>0</v>
      </c>
      <c r="K22" s="168">
        <f t="shared" si="9"/>
        <v>0</v>
      </c>
      <c r="L22" s="451" t="str">
        <f>IFERROR((IF(#REF!="YES",(VLOOKUP(#REF!&amp;C22,Teams!D:M,7,0)&amp;#REF!),#REF!)),"")</f>
        <v/>
      </c>
      <c r="M22" s="337"/>
      <c r="N22" s="337"/>
      <c r="O22" s="337"/>
      <c r="P22" s="337"/>
      <c r="Q22" s="337"/>
      <c r="R22" s="337"/>
      <c r="S22" s="337"/>
      <c r="T22" s="337"/>
      <c r="U22" s="337"/>
      <c r="V22" s="338"/>
      <c r="W22" s="169"/>
      <c r="X22" s="170"/>
      <c r="Y22" s="170"/>
      <c r="Z22" s="170"/>
      <c r="AA22" s="171"/>
      <c r="AB22" s="171"/>
      <c r="AC22" s="171"/>
      <c r="AD22" s="171"/>
      <c r="AE22" s="171"/>
      <c r="AF22" s="450"/>
      <c r="AG22" s="338"/>
      <c r="AH22" s="450"/>
      <c r="AI22" s="338"/>
      <c r="AJ22" s="450"/>
      <c r="AK22" s="338"/>
      <c r="AL22" s="453"/>
    </row>
    <row r="23" spans="1:38" ht="22.5" customHeight="1">
      <c r="A23" s="24">
        <v>21</v>
      </c>
      <c r="B23" s="86"/>
      <c r="C23" s="346"/>
      <c r="D23" s="337"/>
      <c r="E23" s="337"/>
      <c r="F23" s="338"/>
      <c r="G23" s="168">
        <f t="shared" ref="G23:H23" si="10">IFERROR(#REF!,0)</f>
        <v>0</v>
      </c>
      <c r="H23" s="168">
        <f t="shared" si="10"/>
        <v>0</v>
      </c>
      <c r="I23" s="168">
        <f t="shared" ref="I23:K23" si="11">IFERROR(#REF!&amp;"+",0)</f>
        <v>0</v>
      </c>
      <c r="J23" s="168">
        <f t="shared" si="11"/>
        <v>0</v>
      </c>
      <c r="K23" s="168">
        <f t="shared" si="11"/>
        <v>0</v>
      </c>
      <c r="L23" s="451" t="str">
        <f>IFERROR((IF(#REF!="YES",(VLOOKUP(#REF!&amp;C23,Teams!D:M,7,0)&amp;#REF!),#REF!)),"")</f>
        <v/>
      </c>
      <c r="M23" s="337"/>
      <c r="N23" s="337"/>
      <c r="O23" s="337"/>
      <c r="P23" s="337"/>
      <c r="Q23" s="337"/>
      <c r="R23" s="337"/>
      <c r="S23" s="337"/>
      <c r="T23" s="337"/>
      <c r="U23" s="337"/>
      <c r="V23" s="338"/>
      <c r="W23" s="169"/>
      <c r="X23" s="170"/>
      <c r="Y23" s="170"/>
      <c r="Z23" s="170"/>
      <c r="AA23" s="171"/>
      <c r="AB23" s="171"/>
      <c r="AC23" s="171"/>
      <c r="AD23" s="171"/>
      <c r="AE23" s="171"/>
      <c r="AF23" s="450"/>
      <c r="AG23" s="338"/>
      <c r="AH23" s="450"/>
      <c r="AI23" s="338"/>
      <c r="AJ23" s="450"/>
      <c r="AK23" s="338"/>
      <c r="AL23" s="453"/>
    </row>
    <row r="24" spans="1:38" ht="22.5" customHeight="1">
      <c r="A24" s="24">
        <v>22</v>
      </c>
      <c r="B24" s="86"/>
      <c r="C24" s="346"/>
      <c r="D24" s="337"/>
      <c r="E24" s="337"/>
      <c r="F24" s="338"/>
      <c r="G24" s="168">
        <f t="shared" ref="G24:H24" si="12">IFERROR(#REF!,0)</f>
        <v>0</v>
      </c>
      <c r="H24" s="168">
        <f t="shared" si="12"/>
        <v>0</v>
      </c>
      <c r="I24" s="168">
        <f t="shared" ref="I24:K24" si="13">IFERROR(#REF!&amp;"+",0)</f>
        <v>0</v>
      </c>
      <c r="J24" s="168">
        <f t="shared" si="13"/>
        <v>0</v>
      </c>
      <c r="K24" s="168">
        <f t="shared" si="13"/>
        <v>0</v>
      </c>
      <c r="L24" s="451" t="str">
        <f>IFERROR((IF(#REF!="YES",(VLOOKUP(#REF!&amp;C24,Teams!D:M,7,0)&amp;#REF!),#REF!)),"")</f>
        <v/>
      </c>
      <c r="M24" s="337"/>
      <c r="N24" s="337"/>
      <c r="O24" s="337"/>
      <c r="P24" s="337"/>
      <c r="Q24" s="337"/>
      <c r="R24" s="337"/>
      <c r="S24" s="337"/>
      <c r="T24" s="337"/>
      <c r="U24" s="337"/>
      <c r="V24" s="338"/>
      <c r="W24" s="169"/>
      <c r="X24" s="170"/>
      <c r="Y24" s="170"/>
      <c r="Z24" s="170"/>
      <c r="AA24" s="171"/>
      <c r="AB24" s="171"/>
      <c r="AC24" s="171"/>
      <c r="AD24" s="171"/>
      <c r="AE24" s="171"/>
      <c r="AF24" s="450"/>
      <c r="AG24" s="338"/>
      <c r="AH24" s="450"/>
      <c r="AI24" s="338"/>
      <c r="AJ24" s="450"/>
      <c r="AK24" s="338"/>
      <c r="AL24" s="453"/>
    </row>
    <row r="25" spans="1:38" ht="22.5" customHeight="1">
      <c r="A25" s="24">
        <v>23</v>
      </c>
      <c r="B25" s="86"/>
      <c r="C25" s="346"/>
      <c r="D25" s="337"/>
      <c r="E25" s="337"/>
      <c r="F25" s="338"/>
      <c r="G25" s="168">
        <f t="shared" ref="G25:H25" si="14">IFERROR(#REF!,0)</f>
        <v>0</v>
      </c>
      <c r="H25" s="168">
        <f t="shared" si="14"/>
        <v>0</v>
      </c>
      <c r="I25" s="168">
        <f t="shared" ref="I25:K25" si="15">IFERROR(#REF!&amp;"+",0)</f>
        <v>0</v>
      </c>
      <c r="J25" s="168">
        <f t="shared" si="15"/>
        <v>0</v>
      </c>
      <c r="K25" s="168">
        <f t="shared" si="15"/>
        <v>0</v>
      </c>
      <c r="L25" s="451" t="str">
        <f>IFERROR((IF(#REF!="YES",(VLOOKUP(#REF!&amp;C25,Teams!D:M,7,0)&amp;#REF!),#REF!)),"")</f>
        <v/>
      </c>
      <c r="M25" s="337"/>
      <c r="N25" s="337"/>
      <c r="O25" s="337"/>
      <c r="P25" s="337"/>
      <c r="Q25" s="337"/>
      <c r="R25" s="337"/>
      <c r="S25" s="337"/>
      <c r="T25" s="337"/>
      <c r="U25" s="337"/>
      <c r="V25" s="338"/>
      <c r="W25" s="169"/>
      <c r="X25" s="170"/>
      <c r="Y25" s="170"/>
      <c r="Z25" s="170"/>
      <c r="AA25" s="171"/>
      <c r="AB25" s="171"/>
      <c r="AC25" s="171"/>
      <c r="AD25" s="171"/>
      <c r="AE25" s="171"/>
      <c r="AF25" s="450"/>
      <c r="AG25" s="338"/>
      <c r="AH25" s="450"/>
      <c r="AI25" s="338"/>
      <c r="AJ25" s="450"/>
      <c r="AK25" s="338"/>
      <c r="AL25" s="453"/>
    </row>
    <row r="26" spans="1:38" ht="22.5" customHeight="1">
      <c r="A26" s="24">
        <v>24</v>
      </c>
      <c r="B26" s="86"/>
      <c r="C26" s="346"/>
      <c r="D26" s="337"/>
      <c r="E26" s="337"/>
      <c r="F26" s="338"/>
      <c r="G26" s="168">
        <f t="shared" ref="G26:H26" si="16">IFERROR(#REF!,0)</f>
        <v>0</v>
      </c>
      <c r="H26" s="168">
        <f t="shared" si="16"/>
        <v>0</v>
      </c>
      <c r="I26" s="168">
        <f t="shared" ref="I26:K26" si="17">IFERROR(#REF!&amp;"+",0)</f>
        <v>0</v>
      </c>
      <c r="J26" s="168">
        <f t="shared" si="17"/>
        <v>0</v>
      </c>
      <c r="K26" s="168">
        <f t="shared" si="17"/>
        <v>0</v>
      </c>
      <c r="L26" s="451" t="str">
        <f>IFERROR((IF(#REF!="YES",(VLOOKUP(#REF!&amp;C26,Teams!D:M,7,0)&amp;#REF!),#REF!)),"")</f>
        <v/>
      </c>
      <c r="M26" s="337"/>
      <c r="N26" s="337"/>
      <c r="O26" s="337"/>
      <c r="P26" s="337"/>
      <c r="Q26" s="337"/>
      <c r="R26" s="337"/>
      <c r="S26" s="337"/>
      <c r="T26" s="337"/>
      <c r="U26" s="337"/>
      <c r="V26" s="338"/>
      <c r="W26" s="169"/>
      <c r="X26" s="170"/>
      <c r="Y26" s="170"/>
      <c r="Z26" s="170"/>
      <c r="AA26" s="171"/>
      <c r="AB26" s="171"/>
      <c r="AC26" s="171"/>
      <c r="AD26" s="171"/>
      <c r="AE26" s="171"/>
      <c r="AF26" s="450"/>
      <c r="AG26" s="338"/>
      <c r="AH26" s="450"/>
      <c r="AI26" s="338"/>
      <c r="AJ26" s="450"/>
      <c r="AK26" s="338"/>
      <c r="AL26" s="453"/>
    </row>
    <row r="27" spans="1:38" ht="22.5" customHeight="1">
      <c r="A27" s="24">
        <v>25</v>
      </c>
      <c r="B27" s="86"/>
      <c r="C27" s="346"/>
      <c r="D27" s="337"/>
      <c r="E27" s="337"/>
      <c r="F27" s="338"/>
      <c r="G27" s="168">
        <f t="shared" ref="G27:H27" si="18">IFERROR(#REF!,0)</f>
        <v>0</v>
      </c>
      <c r="H27" s="168">
        <f t="shared" si="18"/>
        <v>0</v>
      </c>
      <c r="I27" s="168">
        <f t="shared" ref="I27:K27" si="19">IFERROR(#REF!&amp;"+",0)</f>
        <v>0</v>
      </c>
      <c r="J27" s="168">
        <f t="shared" si="19"/>
        <v>0</v>
      </c>
      <c r="K27" s="168">
        <f t="shared" si="19"/>
        <v>0</v>
      </c>
      <c r="L27" s="451" t="str">
        <f>IFERROR((IF(#REF!="YES",(VLOOKUP(#REF!&amp;C27,Teams!D:M,7,0)&amp;#REF!),#REF!)),"")</f>
        <v/>
      </c>
      <c r="M27" s="337"/>
      <c r="N27" s="337"/>
      <c r="O27" s="337"/>
      <c r="P27" s="337"/>
      <c r="Q27" s="337"/>
      <c r="R27" s="337"/>
      <c r="S27" s="337"/>
      <c r="T27" s="337"/>
      <c r="U27" s="337"/>
      <c r="V27" s="338"/>
      <c r="W27" s="169"/>
      <c r="X27" s="170"/>
      <c r="Y27" s="170"/>
      <c r="Z27" s="170"/>
      <c r="AA27" s="171"/>
      <c r="AB27" s="171"/>
      <c r="AC27" s="171"/>
      <c r="AD27" s="171"/>
      <c r="AE27" s="171"/>
      <c r="AF27" s="450"/>
      <c r="AG27" s="338"/>
      <c r="AH27" s="450"/>
      <c r="AI27" s="338"/>
      <c r="AJ27" s="450"/>
      <c r="AK27" s="338"/>
      <c r="AL27" s="453"/>
    </row>
    <row r="28" spans="1:38" ht="22.5" customHeight="1">
      <c r="A28" s="24">
        <v>26</v>
      </c>
      <c r="B28" s="86"/>
      <c r="C28" s="346"/>
      <c r="D28" s="337"/>
      <c r="E28" s="337"/>
      <c r="F28" s="338"/>
      <c r="G28" s="168">
        <f t="shared" ref="G28:H28" si="20">IFERROR(#REF!,0)</f>
        <v>0</v>
      </c>
      <c r="H28" s="168">
        <f t="shared" si="20"/>
        <v>0</v>
      </c>
      <c r="I28" s="168">
        <f t="shared" ref="I28:K28" si="21">IFERROR(#REF!&amp;"+",0)</f>
        <v>0</v>
      </c>
      <c r="J28" s="168">
        <f t="shared" si="21"/>
        <v>0</v>
      </c>
      <c r="K28" s="168">
        <f t="shared" si="21"/>
        <v>0</v>
      </c>
      <c r="L28" s="451" t="str">
        <f>IFERROR((IF(#REF!="YES",(VLOOKUP(#REF!&amp;C28,Teams!D:M,7,0)&amp;#REF!),#REF!)),"")</f>
        <v/>
      </c>
      <c r="M28" s="337"/>
      <c r="N28" s="337"/>
      <c r="O28" s="337"/>
      <c r="P28" s="337"/>
      <c r="Q28" s="337"/>
      <c r="R28" s="337"/>
      <c r="S28" s="337"/>
      <c r="T28" s="337"/>
      <c r="U28" s="337"/>
      <c r="V28" s="338"/>
      <c r="W28" s="169"/>
      <c r="X28" s="170"/>
      <c r="Y28" s="170"/>
      <c r="Z28" s="170"/>
      <c r="AA28" s="171"/>
      <c r="AB28" s="171"/>
      <c r="AC28" s="171"/>
      <c r="AD28" s="171"/>
      <c r="AE28" s="171"/>
      <c r="AF28" s="450"/>
      <c r="AG28" s="338"/>
      <c r="AH28" s="450"/>
      <c r="AI28" s="338"/>
      <c r="AJ28" s="450"/>
      <c r="AK28" s="338"/>
      <c r="AL28" s="453"/>
    </row>
    <row r="29" spans="1:38" ht="22.5" customHeight="1">
      <c r="A29" s="24">
        <v>27</v>
      </c>
      <c r="B29" s="86"/>
      <c r="C29" s="346"/>
      <c r="D29" s="337"/>
      <c r="E29" s="337"/>
      <c r="F29" s="338"/>
      <c r="G29" s="168">
        <f t="shared" ref="G29:H29" si="22">IFERROR(#REF!,0)</f>
        <v>0</v>
      </c>
      <c r="H29" s="168">
        <f t="shared" si="22"/>
        <v>0</v>
      </c>
      <c r="I29" s="168">
        <f t="shared" ref="I29:K29" si="23">IFERROR(#REF!&amp;"+",0)</f>
        <v>0</v>
      </c>
      <c r="J29" s="168">
        <f t="shared" si="23"/>
        <v>0</v>
      </c>
      <c r="K29" s="168">
        <f t="shared" si="23"/>
        <v>0</v>
      </c>
      <c r="L29" s="451" t="str">
        <f>IFERROR((IF(#REF!="YES",(VLOOKUP(#REF!&amp;C29,Teams!D:M,7,0)&amp;#REF!),#REF!)),"")</f>
        <v/>
      </c>
      <c r="M29" s="337"/>
      <c r="N29" s="337"/>
      <c r="O29" s="337"/>
      <c r="P29" s="337"/>
      <c r="Q29" s="337"/>
      <c r="R29" s="337"/>
      <c r="S29" s="337"/>
      <c r="T29" s="337"/>
      <c r="U29" s="337"/>
      <c r="V29" s="338"/>
      <c r="W29" s="169"/>
      <c r="X29" s="170"/>
      <c r="Y29" s="170"/>
      <c r="Z29" s="170"/>
      <c r="AA29" s="171"/>
      <c r="AB29" s="171"/>
      <c r="AC29" s="171"/>
      <c r="AD29" s="171"/>
      <c r="AE29" s="171"/>
      <c r="AF29" s="450"/>
      <c r="AG29" s="338"/>
      <c r="AH29" s="450"/>
      <c r="AI29" s="338"/>
      <c r="AJ29" s="450"/>
      <c r="AK29" s="338"/>
      <c r="AL29" s="453"/>
    </row>
    <row r="30" spans="1:38" ht="22.5" customHeight="1">
      <c r="A30" s="24">
        <v>28</v>
      </c>
      <c r="B30" s="86"/>
      <c r="C30" s="346"/>
      <c r="D30" s="337"/>
      <c r="E30" s="337"/>
      <c r="F30" s="338"/>
      <c r="G30" s="168">
        <f t="shared" ref="G30:H30" si="24">IFERROR(#REF!,0)</f>
        <v>0</v>
      </c>
      <c r="H30" s="168">
        <f t="shared" si="24"/>
        <v>0</v>
      </c>
      <c r="I30" s="168">
        <f t="shared" ref="I30:K30" si="25">IFERROR(#REF!&amp;"+",0)</f>
        <v>0</v>
      </c>
      <c r="J30" s="168">
        <f t="shared" si="25"/>
        <v>0</v>
      </c>
      <c r="K30" s="168">
        <f t="shared" si="25"/>
        <v>0</v>
      </c>
      <c r="L30" s="451" t="str">
        <f>IFERROR((IF(#REF!="YES",(VLOOKUP(#REF!&amp;C30,Teams!D:M,7,0)&amp;#REF!),#REF!)),"")</f>
        <v/>
      </c>
      <c r="M30" s="337"/>
      <c r="N30" s="337"/>
      <c r="O30" s="337"/>
      <c r="P30" s="337"/>
      <c r="Q30" s="337"/>
      <c r="R30" s="337"/>
      <c r="S30" s="337"/>
      <c r="T30" s="337"/>
      <c r="U30" s="337"/>
      <c r="V30" s="338"/>
      <c r="W30" s="169"/>
      <c r="X30" s="170"/>
      <c r="Y30" s="170"/>
      <c r="Z30" s="170"/>
      <c r="AA30" s="171"/>
      <c r="AB30" s="171"/>
      <c r="AC30" s="171"/>
      <c r="AD30" s="171"/>
      <c r="AE30" s="171"/>
      <c r="AF30" s="450"/>
      <c r="AG30" s="338"/>
      <c r="AH30" s="450"/>
      <c r="AI30" s="338"/>
      <c r="AJ30" s="450"/>
      <c r="AK30" s="338"/>
      <c r="AL30" s="453"/>
    </row>
    <row r="31" spans="1:38" ht="22.5" customHeight="1">
      <c r="A31" s="24">
        <v>29</v>
      </c>
      <c r="B31" s="86"/>
      <c r="C31" s="346"/>
      <c r="D31" s="337"/>
      <c r="E31" s="337"/>
      <c r="F31" s="338"/>
      <c r="G31" s="168">
        <f t="shared" ref="G31:H31" si="26">IFERROR(#REF!,0)</f>
        <v>0</v>
      </c>
      <c r="H31" s="168">
        <f t="shared" si="26"/>
        <v>0</v>
      </c>
      <c r="I31" s="168">
        <f t="shared" ref="I31:K31" si="27">IFERROR(#REF!&amp;"+",0)</f>
        <v>0</v>
      </c>
      <c r="J31" s="168">
        <f t="shared" si="27"/>
        <v>0</v>
      </c>
      <c r="K31" s="168">
        <f t="shared" si="27"/>
        <v>0</v>
      </c>
      <c r="L31" s="451" t="str">
        <f>IFERROR((IF(#REF!="YES",(VLOOKUP(#REF!&amp;C31,Teams!D:M,7,0)&amp;#REF!),#REF!)),"")</f>
        <v/>
      </c>
      <c r="M31" s="337"/>
      <c r="N31" s="337"/>
      <c r="O31" s="337"/>
      <c r="P31" s="337"/>
      <c r="Q31" s="337"/>
      <c r="R31" s="337"/>
      <c r="S31" s="337"/>
      <c r="T31" s="337"/>
      <c r="U31" s="337"/>
      <c r="V31" s="338"/>
      <c r="W31" s="169"/>
      <c r="X31" s="170"/>
      <c r="Y31" s="170"/>
      <c r="Z31" s="170"/>
      <c r="AA31" s="171"/>
      <c r="AB31" s="171"/>
      <c r="AC31" s="171"/>
      <c r="AD31" s="171"/>
      <c r="AE31" s="171"/>
      <c r="AF31" s="450"/>
      <c r="AG31" s="338"/>
      <c r="AH31" s="450"/>
      <c r="AI31" s="338"/>
      <c r="AJ31" s="450"/>
      <c r="AK31" s="338"/>
      <c r="AL31" s="453"/>
    </row>
    <row r="32" spans="1:38" ht="22.5" customHeight="1">
      <c r="A32" s="24">
        <v>30</v>
      </c>
      <c r="B32" s="86"/>
      <c r="C32" s="346"/>
      <c r="D32" s="337"/>
      <c r="E32" s="337"/>
      <c r="F32" s="338"/>
      <c r="G32" s="168">
        <f t="shared" ref="G32:H32" si="28">IFERROR(#REF!,0)</f>
        <v>0</v>
      </c>
      <c r="H32" s="168">
        <f t="shared" si="28"/>
        <v>0</v>
      </c>
      <c r="I32" s="168">
        <f t="shared" ref="I32:K32" si="29">IFERROR(#REF!&amp;"+",0)</f>
        <v>0</v>
      </c>
      <c r="J32" s="168">
        <f t="shared" si="29"/>
        <v>0</v>
      </c>
      <c r="K32" s="168">
        <f t="shared" si="29"/>
        <v>0</v>
      </c>
      <c r="L32" s="451" t="str">
        <f>IFERROR((IF(#REF!="YES",(VLOOKUP(#REF!&amp;C32,Teams!D:M,7,0)&amp;#REF!),#REF!)),"")</f>
        <v/>
      </c>
      <c r="M32" s="337"/>
      <c r="N32" s="337"/>
      <c r="O32" s="337"/>
      <c r="P32" s="337"/>
      <c r="Q32" s="337"/>
      <c r="R32" s="337"/>
      <c r="S32" s="337"/>
      <c r="T32" s="337"/>
      <c r="U32" s="337"/>
      <c r="V32" s="338"/>
      <c r="W32" s="169"/>
      <c r="X32" s="170"/>
      <c r="Y32" s="170"/>
      <c r="Z32" s="170"/>
      <c r="AA32" s="171"/>
      <c r="AB32" s="171"/>
      <c r="AC32" s="171"/>
      <c r="AD32" s="171"/>
      <c r="AE32" s="171"/>
      <c r="AF32" s="450"/>
      <c r="AG32" s="338"/>
      <c r="AH32" s="450"/>
      <c r="AI32" s="338"/>
      <c r="AJ32" s="450"/>
      <c r="AK32" s="338"/>
      <c r="AL32" s="454"/>
    </row>
    <row r="33" spans="1:38" ht="15" customHeight="1">
      <c r="A33" s="456"/>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40"/>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2" operator="equal">
      <formula>0</formula>
    </cfRule>
  </conditionalFormatting>
  <conditionalFormatting sqref="I3:K17 I18:J32 K18:K29 K31:K32">
    <cfRule type="cellIs" dxfId="111" priority="3" operator="equal">
      <formula>"0+"</formula>
    </cfRule>
  </conditionalFormatting>
  <conditionalFormatting sqref="B18">
    <cfRule type="expression" dxfId="110" priority="4">
      <formula>#REF!="MNG"</formula>
    </cfRule>
  </conditionalFormatting>
  <conditionalFormatting sqref="B18">
    <cfRule type="cellIs" dxfId="109" priority="5" operator="equal">
      <formula>0</formula>
    </cfRule>
  </conditionalFormatting>
  <conditionalFormatting sqref="B19">
    <cfRule type="expression" dxfId="108" priority="6">
      <formula>#REF!="MNG"</formula>
    </cfRule>
  </conditionalFormatting>
  <conditionalFormatting sqref="B19">
    <cfRule type="cellIs" dxfId="107" priority="7" operator="equal">
      <formula>0</formula>
    </cfRule>
  </conditionalFormatting>
  <conditionalFormatting sqref="K18">
    <cfRule type="cellIs" dxfId="106" priority="8" operator="equal">
      <formula>"0+"</formula>
    </cfRule>
  </conditionalFormatting>
  <conditionalFormatting sqref="K19">
    <cfRule type="cellIs" dxfId="105" priority="9" operator="equal">
      <formula>"0+"</formula>
    </cfRule>
  </conditionalFormatting>
  <conditionalFormatting sqref="K20">
    <cfRule type="cellIs" dxfId="104" priority="10" operator="equal">
      <formula>"0+"</formula>
    </cfRule>
  </conditionalFormatting>
  <conditionalFormatting sqref="K21">
    <cfRule type="cellIs" dxfId="103" priority="11" operator="equal">
      <formula>"0+"</formula>
    </cfRule>
  </conditionalFormatting>
  <conditionalFormatting sqref="K22">
    <cfRule type="cellIs" dxfId="102" priority="12" operator="equal">
      <formula>"0+"</formula>
    </cfRule>
  </conditionalFormatting>
  <conditionalFormatting sqref="K23">
    <cfRule type="cellIs" dxfId="101" priority="13" operator="equal">
      <formula>"0+"</formula>
    </cfRule>
  </conditionalFormatting>
  <conditionalFormatting sqref="K24">
    <cfRule type="cellIs" dxfId="100" priority="14" operator="equal">
      <formula>"0+"</formula>
    </cfRule>
  </conditionalFormatting>
  <conditionalFormatting sqref="K25">
    <cfRule type="cellIs" dxfId="99" priority="15" operator="equal">
      <formula>"0+"</formula>
    </cfRule>
  </conditionalFormatting>
  <conditionalFormatting sqref="K26">
    <cfRule type="cellIs" dxfId="98" priority="16" operator="equal">
      <formula>"0+"</formula>
    </cfRule>
  </conditionalFormatting>
  <conditionalFormatting sqref="K27">
    <cfRule type="cellIs" dxfId="97" priority="17" operator="equal">
      <formula>"0+"</formula>
    </cfRule>
  </conditionalFormatting>
  <conditionalFormatting sqref="K28">
    <cfRule type="cellIs" dxfId="96" priority="18" operator="equal">
      <formula>"0+"</formula>
    </cfRule>
  </conditionalFormatting>
  <conditionalFormatting sqref="K29">
    <cfRule type="cellIs" dxfId="95" priority="19" operator="equal">
      <formula>"0+"</formula>
    </cfRule>
  </conditionalFormatting>
  <conditionalFormatting sqref="K31">
    <cfRule type="cellIs" dxfId="94" priority="20" operator="equal">
      <formula>"0+"</formula>
    </cfRule>
  </conditionalFormatting>
  <conditionalFormatting sqref="K32">
    <cfRule type="cellIs" dxfId="93" priority="21" operator="equal">
      <formula>"0+"</formula>
    </cfRule>
  </conditionalFormatting>
  <conditionalFormatting sqref="K30">
    <cfRule type="cellIs" dxfId="92" priority="22" operator="equal">
      <formula>0</formula>
    </cfRule>
  </conditionalFormatting>
  <conditionalFormatting sqref="K30">
    <cfRule type="cellIs" dxfId="91" priority="23" operator="equal">
      <formula>"0+"</formula>
    </cfRule>
  </conditionalFormatting>
  <conditionalFormatting sqref="K30">
    <cfRule type="cellIs" dxfId="90" priority="24" operator="equal">
      <formula>"0+"</formula>
    </cfRule>
  </conditionalFormatting>
  <conditionalFormatting sqref="B24">
    <cfRule type="expression" dxfId="89" priority="25">
      <formula>#REF!="MNG"</formula>
    </cfRule>
  </conditionalFormatting>
  <conditionalFormatting sqref="B24">
    <cfRule type="cellIs" dxfId="88" priority="26" operator="equal">
      <formula>0</formula>
    </cfRule>
  </conditionalFormatting>
  <conditionalFormatting sqref="B25">
    <cfRule type="expression" dxfId="87" priority="27">
      <formula>#REF!="MNG"</formula>
    </cfRule>
  </conditionalFormatting>
  <conditionalFormatting sqref="B25">
    <cfRule type="cellIs" dxfId="86" priority="28" operator="equal">
      <formula>0</formula>
    </cfRule>
  </conditionalFormatting>
  <conditionalFormatting sqref="B20">
    <cfRule type="expression" dxfId="85" priority="29">
      <formula>#REF!="MNG"</formula>
    </cfRule>
  </conditionalFormatting>
  <conditionalFormatting sqref="B20">
    <cfRule type="cellIs" dxfId="84" priority="30" operator="equal">
      <formula>0</formula>
    </cfRule>
  </conditionalFormatting>
  <conditionalFormatting sqref="B26">
    <cfRule type="expression" dxfId="83" priority="31">
      <formula>#REF!="MNG"</formula>
    </cfRule>
  </conditionalFormatting>
  <conditionalFormatting sqref="B26">
    <cfRule type="cellIs" dxfId="82" priority="32" operator="equal">
      <formula>0</formula>
    </cfRule>
  </conditionalFormatting>
  <conditionalFormatting sqref="B27">
    <cfRule type="expression" dxfId="81" priority="33">
      <formula>#REF!="MNG"</formula>
    </cfRule>
  </conditionalFormatting>
  <conditionalFormatting sqref="B27">
    <cfRule type="cellIs" dxfId="80" priority="34" operator="equal">
      <formula>0</formula>
    </cfRule>
  </conditionalFormatting>
  <conditionalFormatting sqref="B28">
    <cfRule type="expression" dxfId="79" priority="35">
      <formula>#REF!="MNG"</formula>
    </cfRule>
  </conditionalFormatting>
  <conditionalFormatting sqref="B28">
    <cfRule type="cellIs" dxfId="78" priority="36" operator="equal">
      <formula>0</formula>
    </cfRule>
  </conditionalFormatting>
  <conditionalFormatting sqref="B29">
    <cfRule type="expression" dxfId="77" priority="37">
      <formula>#REF!="MNG"</formula>
    </cfRule>
  </conditionalFormatting>
  <conditionalFormatting sqref="B29">
    <cfRule type="cellIs" dxfId="76" priority="38" operator="equal">
      <formula>0</formula>
    </cfRule>
  </conditionalFormatting>
  <conditionalFormatting sqref="B21">
    <cfRule type="expression" dxfId="75" priority="39">
      <formula>#REF!="MNG"</formula>
    </cfRule>
  </conditionalFormatting>
  <conditionalFormatting sqref="B21">
    <cfRule type="cellIs" dxfId="74" priority="40" operator="equal">
      <formula>0</formula>
    </cfRule>
  </conditionalFormatting>
  <conditionalFormatting sqref="B22">
    <cfRule type="expression" dxfId="73" priority="41">
      <formula>#REF!="MNG"</formula>
    </cfRule>
  </conditionalFormatting>
  <conditionalFormatting sqref="B22">
    <cfRule type="cellIs" dxfId="72" priority="42" operator="equal">
      <formula>0</formula>
    </cfRule>
  </conditionalFormatting>
  <conditionalFormatting sqref="B23">
    <cfRule type="expression" dxfId="71" priority="43">
      <formula>#REF!="MNG"</formula>
    </cfRule>
  </conditionalFormatting>
  <conditionalFormatting sqref="B23">
    <cfRule type="cellIs" dxfId="70" priority="44" operator="equal">
      <formula>0</formula>
    </cfRule>
  </conditionalFormatting>
  <conditionalFormatting sqref="L3:V32">
    <cfRule type="cellIs" dxfId="69" priority="45" operator="equal">
      <formula>0&amp;#REF!</formula>
    </cfRule>
  </conditionalFormatting>
  <conditionalFormatting sqref="L3:V32">
    <cfRule type="expression" dxfId="68" priority="46">
      <formula>#REF!&lt;&gt;""</formula>
    </cfRule>
  </conditionalFormatting>
  <conditionalFormatting sqref="G3:H32">
    <cfRule type="cellIs" dxfId="67" priority="47" operator="lessThan">
      <formula>#REF!</formula>
    </cfRule>
  </conditionalFormatting>
  <conditionalFormatting sqref="G3:H32">
    <cfRule type="cellIs" dxfId="66" priority="48" operator="greaterThan">
      <formula>#REF!</formula>
    </cfRule>
  </conditionalFormatting>
  <conditionalFormatting sqref="K3:K32">
    <cfRule type="expression" dxfId="65" priority="49">
      <formula>#REF!&lt;#REF!</formula>
    </cfRule>
  </conditionalFormatting>
  <conditionalFormatting sqref="K3:K32">
    <cfRule type="expression" dxfId="64" priority="50">
      <formula>#REF!&gt;#REF!</formula>
    </cfRule>
  </conditionalFormatting>
  <conditionalFormatting sqref="I3:I32">
    <cfRule type="expression" dxfId="63" priority="51">
      <formula>#REF!&gt;#REF!</formula>
    </cfRule>
  </conditionalFormatting>
  <conditionalFormatting sqref="I3:I32">
    <cfRule type="expression" dxfId="62" priority="52">
      <formula>#REF!&lt;#REF!</formula>
    </cfRule>
  </conditionalFormatting>
  <conditionalFormatting sqref="J3:J32">
    <cfRule type="expression" dxfId="61" priority="53">
      <formula>#REF!&gt;#REF!</formula>
    </cfRule>
  </conditionalFormatting>
  <conditionalFormatting sqref="J3:J32">
    <cfRule type="expression" dxfId="60" priority="54">
      <formula>#REF!&lt;#REF!</formula>
    </cfRule>
  </conditionalFormatting>
  <conditionalFormatting sqref="B18 G18:AK18">
    <cfRule type="expression" dxfId="59" priority="55">
      <formula>#REF!&lt;&gt;""</formula>
    </cfRule>
  </conditionalFormatting>
  <conditionalFormatting sqref="B19 G19:AK19">
    <cfRule type="expression" dxfId="58" priority="56">
      <formula>#REF!&lt;&gt;""</formula>
    </cfRule>
  </conditionalFormatting>
  <conditionalFormatting sqref="B20 G20:AK20">
    <cfRule type="expression" dxfId="57" priority="57">
      <formula>#REF!&lt;&gt;""</formula>
    </cfRule>
  </conditionalFormatting>
  <conditionalFormatting sqref="B21 G21:AK21">
    <cfRule type="expression" dxfId="56" priority="58">
      <formula>#REF!&lt;&gt;""</formula>
    </cfRule>
  </conditionalFormatting>
  <conditionalFormatting sqref="B22 G22:AK22">
    <cfRule type="expression" dxfId="55" priority="59">
      <formula>#REF!&lt;&gt;""</formula>
    </cfRule>
  </conditionalFormatting>
  <conditionalFormatting sqref="B23 G23:AK23">
    <cfRule type="expression" dxfId="54" priority="60">
      <formula>#REF!&lt;&gt;""</formula>
    </cfRule>
  </conditionalFormatting>
  <conditionalFormatting sqref="B24 G24:AK24">
    <cfRule type="expression" dxfId="53" priority="61">
      <formula>#REF!&lt;&gt;""</formula>
    </cfRule>
  </conditionalFormatting>
  <conditionalFormatting sqref="B25 G25:AK25">
    <cfRule type="expression" dxfId="52" priority="62">
      <formula>#REF!&lt;&gt;""</formula>
    </cfRule>
  </conditionalFormatting>
  <conditionalFormatting sqref="B26 G26:AK26">
    <cfRule type="expression" dxfId="51" priority="63">
      <formula>#REF!&lt;&gt;""</formula>
    </cfRule>
  </conditionalFormatting>
  <conditionalFormatting sqref="B27 G27:AK27">
    <cfRule type="expression" dxfId="50" priority="64">
      <formula>#REF!&lt;&gt;""</formula>
    </cfRule>
  </conditionalFormatting>
  <conditionalFormatting sqref="B28 G28:AK28">
    <cfRule type="expression" dxfId="49" priority="65">
      <formula>#REF!&lt;&gt;""</formula>
    </cfRule>
  </conditionalFormatting>
  <conditionalFormatting sqref="B29 G29:AK29">
    <cfRule type="expression" dxfId="48" priority="66">
      <formula>#REF!&lt;&gt;""</formula>
    </cfRule>
  </conditionalFormatting>
  <conditionalFormatting sqref="B31 G31:AK31">
    <cfRule type="expression" dxfId="47" priority="67">
      <formula>#REF!&lt;&gt;""</formula>
    </cfRule>
  </conditionalFormatting>
  <conditionalFormatting sqref="B32 G32:AK32">
    <cfRule type="expression" dxfId="46" priority="68">
      <formula>#REF!&lt;&gt;""</formula>
    </cfRule>
  </conditionalFormatting>
  <conditionalFormatting sqref="B3:B17 G3:AK3 G4:AG17 L4:V32 AJ4:AK17">
    <cfRule type="expression" dxfId="45" priority="69">
      <formula>#REF!&lt;&gt;""</formula>
    </cfRule>
  </conditionalFormatting>
  <conditionalFormatting sqref="B30 G30:AK30">
    <cfRule type="expression" dxfId="44" priority="70">
      <formula>#REF!&lt;&gt;""</formula>
    </cfRule>
  </conditionalFormatting>
  <conditionalFormatting sqref="C3">
    <cfRule type="expression" dxfId="43" priority="71">
      <formula>#REF!&lt;&gt;""</formula>
    </cfRule>
  </conditionalFormatting>
  <conditionalFormatting sqref="C18">
    <cfRule type="expression" dxfId="42" priority="72">
      <formula>#REF!&lt;&gt;""</formula>
    </cfRule>
  </conditionalFormatting>
  <conditionalFormatting sqref="C19">
    <cfRule type="expression" dxfId="41" priority="73">
      <formula>#REF!&lt;&gt;""</formula>
    </cfRule>
  </conditionalFormatting>
  <conditionalFormatting sqref="C20">
    <cfRule type="expression" dxfId="40" priority="74">
      <formula>#REF!&lt;&gt;""</formula>
    </cfRule>
  </conditionalFormatting>
  <conditionalFormatting sqref="C21">
    <cfRule type="expression" dxfId="39" priority="75">
      <formula>#REF!&lt;&gt;""</formula>
    </cfRule>
  </conditionalFormatting>
  <conditionalFormatting sqref="C22">
    <cfRule type="expression" dxfId="38" priority="76">
      <formula>#REF!&lt;&gt;""</formula>
    </cfRule>
  </conditionalFormatting>
  <conditionalFormatting sqref="C23">
    <cfRule type="expression" dxfId="37" priority="77">
      <formula>#REF!&lt;&gt;""</formula>
    </cfRule>
  </conditionalFormatting>
  <conditionalFormatting sqref="C24">
    <cfRule type="expression" dxfId="36" priority="78">
      <formula>#REF!&lt;&gt;""</formula>
    </cfRule>
  </conditionalFormatting>
  <conditionalFormatting sqref="C25">
    <cfRule type="expression" dxfId="35" priority="79">
      <formula>#REF!&lt;&gt;""</formula>
    </cfRule>
  </conditionalFormatting>
  <conditionalFormatting sqref="C26">
    <cfRule type="expression" dxfId="34" priority="80">
      <formula>#REF!&lt;&gt;""</formula>
    </cfRule>
  </conditionalFormatting>
  <conditionalFormatting sqref="C27">
    <cfRule type="expression" dxfId="33" priority="81">
      <formula>#REF!&lt;&gt;""</formula>
    </cfRule>
  </conditionalFormatting>
  <conditionalFormatting sqref="C28">
    <cfRule type="expression" dxfId="32" priority="82">
      <formula>#REF!&lt;&gt;""</formula>
    </cfRule>
  </conditionalFormatting>
  <conditionalFormatting sqref="C29">
    <cfRule type="expression" dxfId="31" priority="83">
      <formula>#REF!&lt;&gt;""</formula>
    </cfRule>
  </conditionalFormatting>
  <conditionalFormatting sqref="C30">
    <cfRule type="expression" dxfId="30" priority="84">
      <formula>#REF!&lt;&gt;""</formula>
    </cfRule>
  </conditionalFormatting>
  <conditionalFormatting sqref="C31">
    <cfRule type="expression" dxfId="29" priority="85">
      <formula>#REF!&lt;&gt;""</formula>
    </cfRule>
  </conditionalFormatting>
  <conditionalFormatting sqref="C32">
    <cfRule type="expression" dxfId="28" priority="86">
      <formula>#REF!&lt;&gt;""</formula>
    </cfRule>
  </conditionalFormatting>
  <conditionalFormatting sqref="AH17:AI17">
    <cfRule type="expression" dxfId="27" priority="87">
      <formula>#REF!&lt;&gt;""</formula>
    </cfRule>
  </conditionalFormatting>
  <conditionalFormatting sqref="AH16:AI16">
    <cfRule type="expression" dxfId="26" priority="88">
      <formula>#REF!&lt;&gt;""</formula>
    </cfRule>
  </conditionalFormatting>
  <conditionalFormatting sqref="AH15:AI15">
    <cfRule type="expression" dxfId="25" priority="89">
      <formula>#REF!&lt;&gt;""</formula>
    </cfRule>
  </conditionalFormatting>
  <conditionalFormatting sqref="AH14:AI14">
    <cfRule type="expression" dxfId="24" priority="90">
      <formula>#REF!&lt;&gt;""</formula>
    </cfRule>
  </conditionalFormatting>
  <conditionalFormatting sqref="AH13:AI13">
    <cfRule type="expression" dxfId="23" priority="91">
      <formula>#REF!&lt;&gt;""</formula>
    </cfRule>
  </conditionalFormatting>
  <conditionalFormatting sqref="AH12:AI12">
    <cfRule type="expression" dxfId="22" priority="92">
      <formula>#REF!&lt;&gt;""</formula>
    </cfRule>
  </conditionalFormatting>
  <conditionalFormatting sqref="AH11:AI11">
    <cfRule type="expression" dxfId="21" priority="93">
      <formula>#REF!&lt;&gt;""</formula>
    </cfRule>
  </conditionalFormatting>
  <conditionalFormatting sqref="AH10:AI10">
    <cfRule type="expression" dxfId="20" priority="94">
      <formula>#REF!&lt;&gt;""</formula>
    </cfRule>
  </conditionalFormatting>
  <conditionalFormatting sqref="AH9:AI9">
    <cfRule type="expression" dxfId="19" priority="95">
      <formula>#REF!&lt;&gt;""</formula>
    </cfRule>
  </conditionalFormatting>
  <conditionalFormatting sqref="AH8:AI8">
    <cfRule type="expression" dxfId="18" priority="96">
      <formula>#REF!&lt;&gt;""</formula>
    </cfRule>
  </conditionalFormatting>
  <conditionalFormatting sqref="AH7:AI7">
    <cfRule type="expression" dxfId="17" priority="97">
      <formula>#REF!&lt;&gt;""</formula>
    </cfRule>
  </conditionalFormatting>
  <conditionalFormatting sqref="AH6:AI6">
    <cfRule type="expression" dxfId="16" priority="98">
      <formula>#REF!&lt;&gt;""</formula>
    </cfRule>
  </conditionalFormatting>
  <conditionalFormatting sqref="AH5:AI5">
    <cfRule type="expression" dxfId="15" priority="99">
      <formula>#REF!&lt;&gt;""</formula>
    </cfRule>
  </conditionalFormatting>
  <conditionalFormatting sqref="AH4:AI4">
    <cfRule type="expression" dxfId="14" priority="100">
      <formula>#REF!&lt;&gt;""</formula>
    </cfRule>
  </conditionalFormatting>
  <conditionalFormatting sqref="C5">
    <cfRule type="expression" dxfId="13" priority="102">
      <formula>#REF!&lt;&gt;""</formula>
    </cfRule>
  </conditionalFormatting>
  <conditionalFormatting sqref="C6">
    <cfRule type="expression" dxfId="12" priority="103">
      <formula>#REF!&lt;&gt;""</formula>
    </cfRule>
  </conditionalFormatting>
  <conditionalFormatting sqref="C7">
    <cfRule type="expression" dxfId="11" priority="104">
      <formula>#REF!&lt;&gt;""</formula>
    </cfRule>
  </conditionalFormatting>
  <conditionalFormatting sqref="C8">
    <cfRule type="expression" dxfId="10" priority="105">
      <formula>#REF!&lt;&gt;""</formula>
    </cfRule>
  </conditionalFormatting>
  <conditionalFormatting sqref="C9">
    <cfRule type="expression" dxfId="9" priority="106">
      <formula>#REF!&lt;&gt;""</formula>
    </cfRule>
  </conditionalFormatting>
  <conditionalFormatting sqref="C10">
    <cfRule type="expression" dxfId="8" priority="107">
      <formula>#REF!&lt;&gt;""</formula>
    </cfRule>
  </conditionalFormatting>
  <conditionalFormatting sqref="C11">
    <cfRule type="expression" dxfId="7" priority="108">
      <formula>#REF!&lt;&gt;""</formula>
    </cfRule>
  </conditionalFormatting>
  <conditionalFormatting sqref="C12">
    <cfRule type="expression" dxfId="6" priority="109">
      <formula>#REF!&lt;&gt;""</formula>
    </cfRule>
  </conditionalFormatting>
  <conditionalFormatting sqref="C13">
    <cfRule type="expression" dxfId="5" priority="110">
      <formula>#REF!&lt;&gt;""</formula>
    </cfRule>
  </conditionalFormatting>
  <conditionalFormatting sqref="C14">
    <cfRule type="expression" dxfId="4" priority="111">
      <formula>#REF!&lt;&gt;""</formula>
    </cfRule>
  </conditionalFormatting>
  <conditionalFormatting sqref="C15">
    <cfRule type="expression" dxfId="3" priority="112">
      <formula>#REF!&lt;&gt;""</formula>
    </cfRule>
  </conditionalFormatting>
  <conditionalFormatting sqref="C16">
    <cfRule type="expression" dxfId="2" priority="113">
      <formula>#REF!&lt;&gt;""</formula>
    </cfRule>
  </conditionalFormatting>
  <conditionalFormatting sqref="C17">
    <cfRule type="expression" dxfId="1" priority="114">
      <formula>#REF!&lt;&gt;""</formula>
    </cfRule>
  </conditionalFormatting>
  <conditionalFormatting sqref="C4">
    <cfRule type="expression" dxfId="0" priority="1">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3" customWidth="1"/>
    <col min="2" max="2" width="17.140625" style="273" customWidth="1"/>
    <col min="3" max="19" width="8.5703125" style="273" customWidth="1"/>
    <col min="20" max="20" width="2.85546875" style="273" customWidth="1"/>
    <col min="21" max="21" width="11.42578125" style="273" hidden="1" customWidth="1"/>
    <col min="22" max="22" width="8.5703125" style="273" hidden="1" customWidth="1"/>
    <col min="23" max="25" width="8.5703125" style="274" hidden="1" customWidth="1"/>
    <col min="26" max="35" width="8.5703125" style="273" hidden="1" customWidth="1"/>
    <col min="36" max="36" width="9.140625" style="273" hidden="1" customWidth="1"/>
    <col min="37" max="46" width="7.140625" style="273" hidden="1" customWidth="1"/>
    <col min="47" max="16384" width="9.140625" style="273" hidden="1"/>
  </cols>
  <sheetData>
    <row r="1" spans="1:57" ht="21.75" customHeight="1">
      <c r="A1" s="477" t="str">
        <f>IF(Roster!$J$25="Italiano","MERCENARIO 1",(IF(Roster!$J$25="Español","MERCENARIO 1",(IF(Roster!$J$25="Français","MERCENAIRE 1","MERCENARY 1")))))</f>
        <v>MERCENARIO 1</v>
      </c>
      <c r="B1" s="477"/>
      <c r="C1" s="477"/>
      <c r="D1" s="477"/>
      <c r="E1" s="477"/>
      <c r="F1" s="477"/>
      <c r="G1" s="477"/>
      <c r="H1" s="477"/>
      <c r="I1" s="477"/>
      <c r="J1" s="477"/>
      <c r="K1" s="477"/>
      <c r="L1" s="477"/>
      <c r="M1" s="477"/>
      <c r="N1" s="477"/>
      <c r="O1" s="477"/>
      <c r="P1" s="477"/>
      <c r="Q1" s="477"/>
      <c r="R1" s="477"/>
      <c r="S1" s="477"/>
      <c r="T1" s="475"/>
    </row>
    <row r="2" spans="1:57" s="275" customFormat="1" ht="22.5" customHeight="1">
      <c r="A2" s="262" t="str">
        <f>IF(Roster!$J$25="Italiano","MERCENARIO 1",(IF(Roster!$J$25="Español","MERCENARIO 1",(IF(Roster!$J$25="Français","MERCENAIRE 1","MERCENARY 1")))))</f>
        <v>MERCENARIO 1</v>
      </c>
      <c r="B2" s="262" t="str">
        <f>IF(Roster!$J$25="Italiano","TIPO",(IF(Roster!$J$25="Español","TIPO",(IF(Roster!$J$25="Deutsch","POSITION",(IF(Roster!$J$25="Français","POSTE","TYPE")))))))</f>
        <v>TIPO</v>
      </c>
      <c r="C2" s="262" t="str">
        <f>IF(Roster!$J$25="Español","MO",(IF(Roster!$J$25="Deutsch","BE",(IF(Roster!$J$25="Français","M","MA")))))</f>
        <v>MA</v>
      </c>
      <c r="D2" s="262" t="str">
        <f>IF(Roster!$J$25="Español","FU",(IF(Roster!$J$25="Français","F","ST")))</f>
        <v>ST</v>
      </c>
      <c r="E2" s="262" t="str">
        <f>IF(Roster!$J$25="Deutsch","GE","AG")</f>
        <v>AG</v>
      </c>
      <c r="F2" s="262" t="str">
        <f>IF(Roster!$J$25="Deutsch","WG",(IF(Roster!$J$25="Français","CP","PA")))</f>
        <v>PA</v>
      </c>
      <c r="G2" s="262" t="str">
        <f>IF(Roster!$J$25="Español","AR",(IF(Roster!$J$25="Deutsch","RW",(IF(Roster!$J$25="Français","AR","AV")))))</f>
        <v>AV</v>
      </c>
      <c r="H2" s="466" t="str">
        <f>IF(Roster!$J$25="Italiano","ABILITÀ",(IF(Roster!$J$25="Español","HABILIDADES",(IF(Roster!$J$25="Deutsch","FERTIGKEITEN",(IF(Roster!$J$25="Français","COMPÉTENCES","SKILLS")))))))</f>
        <v>ABILITÀ</v>
      </c>
      <c r="I2" s="467"/>
      <c r="J2" s="467"/>
      <c r="K2" s="467"/>
      <c r="L2" s="467"/>
      <c r="M2" s="467"/>
      <c r="N2" s="467"/>
      <c r="O2" s="467"/>
      <c r="P2" s="467"/>
      <c r="Q2" s="467"/>
      <c r="R2" s="468"/>
      <c r="S2" s="262" t="str">
        <f>IF(Roster!$J$25="Italiano","COSTO",(IF(Roster!$J$25="Español","PRECIO",(IF(Roster!$J$25="Deutsch","WERT",(IF(Roster!$J$25="Français","VALEUR","COST")))))))</f>
        <v>COSTO</v>
      </c>
      <c r="T2" s="475"/>
      <c r="V2" s="276" t="s">
        <v>261</v>
      </c>
      <c r="W2" s="277" t="s">
        <v>206</v>
      </c>
      <c r="X2" s="278"/>
      <c r="Y2" s="276" t="s">
        <v>1273</v>
      </c>
      <c r="Z2" s="279"/>
      <c r="AA2" s="279"/>
      <c r="AB2" s="277"/>
      <c r="AC2" s="278"/>
      <c r="AD2" s="278"/>
      <c r="AE2" s="278"/>
      <c r="AF2" s="276" t="s">
        <v>1278</v>
      </c>
      <c r="AG2" s="279"/>
      <c r="AH2" s="279"/>
      <c r="AI2" s="277"/>
      <c r="AK2" s="463" t="s">
        <v>1318</v>
      </c>
      <c r="AL2" s="464"/>
      <c r="AM2" s="464"/>
      <c r="AN2" s="464"/>
      <c r="AO2" s="465"/>
      <c r="AP2" s="463" t="s">
        <v>1319</v>
      </c>
      <c r="AQ2" s="464"/>
      <c r="AR2" s="464"/>
      <c r="AS2" s="464"/>
      <c r="AT2" s="465"/>
      <c r="AV2" s="258" t="str">
        <f>IF(B3="Stunty Superstar",(IF($K$40="Español","Agallas",(IF($K$40="Deutsch","Abwehren",(IF($K$40="Français","Arracher le ballon","Block")))))),IF($J$24="Español","Agallas",(IF($J$24="Deutsch","Abwehren",(IF($J$24="Français","Arracher le ballon","Block"))))))</f>
        <v>Block</v>
      </c>
      <c r="AW2" s="258" t="s">
        <v>196</v>
      </c>
      <c r="AX2" s="260" t="str">
        <f>IF($K$40="Español","Atrapar",(IF($K$40="Deutsch","Aufspringen",(IF($K$40="Français","Défenseur ","Catch")))))</f>
        <v>Catch</v>
      </c>
      <c r="AY2" s="258" t="s">
        <v>197</v>
      </c>
      <c r="AZ2" s="258" t="str">
        <f>IF($K$40="Español","Atento al Balón",(IF($K$40="Deutsch","Abspiel",(IF($K$40="Français","Canonnier","Accurate")))))</f>
        <v>Accurate</v>
      </c>
      <c r="BA2" s="258" t="s">
        <v>199</v>
      </c>
      <c r="BB2" s="260" t="str">
        <f>IF($K$40="Español","Abrirse Paso",(IF($K$40="Deutsch","Armhebel",(IF($K$40="Français","Bagarre","Arm Bar")))))</f>
        <v>Arm Bar</v>
      </c>
      <c r="BC2" s="258" t="s">
        <v>198</v>
      </c>
      <c r="BD2" s="260" t="str">
        <f>IF($K$40="Español","Apariencia Asquerosa",(IF($K$40="Deutsch","Abstoßendes Aussehen",(IF($K$40="Français","Bras supplémentaire","Big Hand")))))</f>
        <v>Big Hand</v>
      </c>
      <c r="BE2" s="258" t="s">
        <v>200</v>
      </c>
    </row>
    <row r="3" spans="1:57" s="275" customFormat="1" ht="30" customHeight="1">
      <c r="A3" s="306"/>
      <c r="B3" s="306" t="s">
        <v>1274</v>
      </c>
      <c r="C3" s="280">
        <f>IF((VLOOKUP(B3,Y5:AD10,2,FALSE))+J6+(IF(AE3="G",-2,0))+(IF(OR(AE3="O",AE3="N"),-1,0))=0,"",(VLOOKUP(B3,Y5:AD10,2,FALSE))+J6+(IF(AE3="G",-2,0))+(IF(OR(AE3="O",AE3="N"),-1,0)))</f>
        <v>5</v>
      </c>
      <c r="D3" s="280">
        <f>IF((VLOOKUP(B3,Y5:AD10,3,FALSE))+L6+(IF(AE3="G",3,0))+(IF(OR(AE3="O",AE3="N"),2,0))=0,"",(VLOOKUP(B3,Y5:AD10,3,FALSE))+L6+(IF(AE3="G",3,0))+(IF(OR(AE3="O",AE3="N"),2,0)))</f>
        <v>2</v>
      </c>
      <c r="E3" s="280" t="str">
        <f>IF((VLOOKUP(B3,Y5:AD10,4,FALSE)+N6+(IF(AE3="J",1,0)))=0,"",(VLOOKUP(B3,Y5:AD10,4,FALSE)+N6+(IF(AE3="J",1,0))&amp;"+"))</f>
        <v>3+</v>
      </c>
      <c r="F3" s="280" t="str">
        <f>IF((VLOOKUP(B3,Y5:AD10,5,FALSE)+P6)=0,"",(VLOOKUP(B3,Y5:AD10,5,FALSE)+P6&amp;"+"))</f>
        <v>4+</v>
      </c>
      <c r="G3" s="280" t="str">
        <f>IF((VLOOKUP(B3,Y5:AD10,6,FALSE)+R6)=0,"",(VLOOKUP(B3,Y5:AD10,6,FALSE)+R6&amp;"+"))</f>
        <v>6+</v>
      </c>
      <c r="H3" s="469" t="str">
        <f>Y3&amp;(IF(Z3&lt;&gt;"",", ",""))&amp;Z3&amp;(IF(AA3&lt;&gt;"",", ",""))&amp;AA3&amp;(IF(AB3&lt;&gt;"",", ",""))&amp;AB3&amp;(IF(AF3&lt;&gt;"",", ",""))&amp;AF3&amp;(IF(AG3&lt;&gt;"",", ",""))&amp;AG3&amp;(IF(AH3&lt;&gt;"",", ",""))&amp;AH3&amp;(IF(AI3&lt;&gt;"",", ",""))&amp;AI3&amp;AK8</f>
        <v>Loner (4+), Dodge, Stunty, Right Stuff</v>
      </c>
      <c r="I3" s="470"/>
      <c r="J3" s="470"/>
      <c r="K3" s="470"/>
      <c r="L3" s="470"/>
      <c r="M3" s="470"/>
      <c r="N3" s="470"/>
      <c r="O3" s="470"/>
      <c r="P3" s="470"/>
      <c r="Q3" s="470"/>
      <c r="R3" s="471"/>
      <c r="S3" s="280">
        <f>(VLOOKUP(B3,Y5:AI10,11,FALSE))+W12</f>
        <v>30000</v>
      </c>
      <c r="T3" s="475"/>
      <c r="V3" s="281"/>
      <c r="W3" s="282">
        <v>0</v>
      </c>
      <c r="X3" s="267"/>
      <c r="Y3" s="283" t="str">
        <f>VLOOKUP(B3,Y5:AH10,7,FALSE)</f>
        <v>Loner (4+)</v>
      </c>
      <c r="Z3" s="284" t="str">
        <f>VLOOKUP(B3,Y5:AH10,8,FALSE)</f>
        <v>Dodge</v>
      </c>
      <c r="AA3" s="284" t="str">
        <f>VLOOKUP(B3,Y5:AH10,9,FALSE)</f>
        <v>Stunty</v>
      </c>
      <c r="AB3" s="285" t="str">
        <f>VLOOKUP(B3,Y5:AH10,10,FALSE)</f>
        <v>Right Stuff</v>
      </c>
      <c r="AC3" s="278"/>
      <c r="AD3" s="278"/>
      <c r="AE3" s="278" t="str">
        <f>IFERROR((VLOOKUP(A6,R41:W55,2,FALSE)),"")</f>
        <v/>
      </c>
      <c r="AF3" s="283" t="str">
        <f>IFERROR((VLOOKUP(A6,R41:W55,3,FALSE)),"")</f>
        <v/>
      </c>
      <c r="AG3" s="284" t="str">
        <f>IFERROR((VLOOKUP(A6,R41:W55,4,FALSE)),"")</f>
        <v/>
      </c>
      <c r="AH3" s="284" t="str">
        <f>IFERROR((VLOOKUP(A6,R41:W55,5,FALSE)),"")</f>
        <v/>
      </c>
      <c r="AI3" s="285" t="str">
        <f>IFERROR((VLOOKUP(A6,R41:W55,6,FALSE)),"")</f>
        <v/>
      </c>
      <c r="AK3" s="286">
        <v>0</v>
      </c>
      <c r="AL3" s="287">
        <v>0</v>
      </c>
      <c r="AM3" s="287">
        <v>0</v>
      </c>
      <c r="AN3" s="287">
        <v>0</v>
      </c>
      <c r="AO3" s="282">
        <v>0</v>
      </c>
      <c r="AP3" s="286">
        <v>0</v>
      </c>
      <c r="AQ3" s="287">
        <v>0</v>
      </c>
      <c r="AR3" s="287">
        <v>0</v>
      </c>
      <c r="AS3" s="287">
        <v>0</v>
      </c>
      <c r="AT3" s="282">
        <v>0</v>
      </c>
      <c r="AV3" s="260" t="str">
        <f>IF(B3="Stunty Superstar",(IF($K$40="Español","Forcejear",(IF($K$40="Deutsch","Ball entreißen",(IF($K$40="Français","Blocage","Dauntless")))))),(IF($J$24="Español","Forcejear",(IF($J$24="Deutsch","Ball entreißen",(IF($J$24="Français","Blocage","Dauntless")))))))</f>
        <v>Dauntless</v>
      </c>
      <c r="AW3" s="258" t="s">
        <v>196</v>
      </c>
      <c r="AX3" s="260" t="str">
        <f>IF($K$40="Español","Echarse a un Lado",(IF($K$40="Deutsch","Ausweichen",(IF($K$40="Français","Équilibre","Diving Catch")))))</f>
        <v>Diving Catch</v>
      </c>
      <c r="AY3" s="258" t="s">
        <v>197</v>
      </c>
      <c r="AZ3" s="258" t="str">
        <f>IF($K$40="Español","Cañonero",(IF($K$40="Deutsch","Hau wech das Leder",(IF($K$40="Français","Chef","Cannoneer")))))</f>
        <v>Cannoneer</v>
      </c>
      <c r="BA3" s="258" t="s">
        <v>199</v>
      </c>
      <c r="BB3" s="260" t="str">
        <f>IF($K$40="Español","Apartar",(IF($K$40="Deutsch","Greifer",(IF($K$40="Français","Blocage multiple","Brawler")))))</f>
        <v>Brawler</v>
      </c>
      <c r="BC3" s="258" t="s">
        <v>198</v>
      </c>
      <c r="BD3" s="260" t="str">
        <f>IF($K$40="Español","Boca Monstruosa",(IF($K$40="Deutsch","Eisenharte Haut",(IF($K$40="Français","Cornes","Claw / Claws")))))</f>
        <v>Claw / Claws</v>
      </c>
      <c r="BE3" s="258" t="s">
        <v>200</v>
      </c>
    </row>
    <row r="4" spans="1:57" s="275" customFormat="1" ht="22.5" customHeight="1">
      <c r="A4" s="476" t="str">
        <f>IF(J40="Italiano","AVANZAMIENTO GIOCATORI",(IF(J40="Español","MEJORAS DEL JUGADORE",(IF(J40="Deutsch","SPIELERVERBESSERUNGEN",(IF(J40="Français","AMÉLIORATIONS DE JOUEUR","PLAYER UPGRADES")))))))</f>
        <v>PLAYER UPGRADES</v>
      </c>
      <c r="B4" s="476"/>
      <c r="C4" s="476"/>
      <c r="D4" s="476"/>
      <c r="E4" s="476"/>
      <c r="F4" s="476"/>
      <c r="G4" s="476"/>
      <c r="H4" s="476"/>
      <c r="I4" s="476"/>
      <c r="J4" s="476"/>
      <c r="K4" s="476"/>
      <c r="L4" s="476"/>
      <c r="M4" s="476"/>
      <c r="N4" s="476"/>
      <c r="O4" s="476"/>
      <c r="P4" s="476"/>
      <c r="Q4" s="476"/>
      <c r="R4" s="476"/>
      <c r="S4" s="476"/>
      <c r="T4" s="475"/>
      <c r="U4" s="29"/>
      <c r="V4" s="281" t="str">
        <f>IF($B$3="Stunty Superstar",C43,(IF($B$3="Legendary Linemen",F43,(IF($B$3="Brutal Blockers",I43,(IF($B$3="Reliable Ringers",L43,(IF($B$3="Bona Fide Big Guy",O43,"")))))))))</f>
        <v>Dirty Player (+1), Sneaky Git, Loner (5+)</v>
      </c>
      <c r="W4" s="282">
        <f>IF($B$3="Stunty Superstar",D43,(IF($B$3="Legendary Linemen",G43,(IF($B$3="Brutal Blockers",J43,(IF($B$3="Reliable Ringers",M43,(IF($B$3="Bona Fide Big Guy",P43,"")))))))))</f>
        <v>50000</v>
      </c>
      <c r="X4" s="278"/>
      <c r="Y4" s="278"/>
      <c r="Z4" s="278"/>
      <c r="AA4" s="278"/>
      <c r="AB4" s="278"/>
      <c r="AC4" s="278"/>
      <c r="AD4" s="278"/>
      <c r="AE4" s="278"/>
      <c r="AF4" s="278"/>
      <c r="AG4" s="278"/>
      <c r="AH4" s="278"/>
      <c r="AI4" s="278"/>
      <c r="AK4" s="286">
        <v>1</v>
      </c>
      <c r="AL4" s="287">
        <v>0</v>
      </c>
      <c r="AM4" s="287">
        <f>IF(B3="Legendary Linemen",0,-1)</f>
        <v>-1</v>
      </c>
      <c r="AN4" s="287">
        <f>IF(B3="Brutal Blockers",0,-1)</f>
        <v>-1</v>
      </c>
      <c r="AO4" s="282">
        <v>1</v>
      </c>
      <c r="AP4" s="286">
        <f>IF(OR(B3="Legendary Linemen",B3="Bona Fide Big Guy"),20000,30000)</f>
        <v>30000</v>
      </c>
      <c r="AQ4" s="287">
        <v>0</v>
      </c>
      <c r="AR4" s="287">
        <f>IF(OR(B3="Stunty Superstar",B3="Bona Fide Big Guy"),40000,(IF(B3="Legendary Linemen",0,50000)))</f>
        <v>40000</v>
      </c>
      <c r="AS4" s="287">
        <f>IF(B3="Brutal Blockers",0,30000)</f>
        <v>30000</v>
      </c>
      <c r="AT4" s="282">
        <f>IF(B3="Stunty Superstar",30000,(IF(B3="Reliable Ringers",40000,20000)))</f>
        <v>30000</v>
      </c>
      <c r="AV4" s="260" t="str">
        <f>IF(B3="Stunty Superstar",(IF($K$40="Español","Furia",(IF($K$40="Deutsch","Ballgefühl",(IF($K$40="Français","Frappe précise","Fend")))))),(IF($J$24="Español","Furia",(IF($J$24="Deutsch","Ballgefühl",(IF($J$24="Français","Frappe précise","Dirty Player (+1)")))))))</f>
        <v>Fend</v>
      </c>
      <c r="AW4" s="258" t="s">
        <v>196</v>
      </c>
      <c r="AX4" s="260" t="str">
        <f>IF($K$40="Español","En Pie de un Salto",(IF($K$40="Deutsch","Fangsicher",(IF($K$40="Français","Esquive","Diving Tackle")))))</f>
        <v>Diving Tackle</v>
      </c>
      <c r="AY4" s="258" t="s">
        <v>197</v>
      </c>
      <c r="AZ4" s="260" t="str">
        <f>IF($K$40="Español","Dejada",(IF($K$40="Deutsch","Im Laufen passen",(IF($K$40="Français","Délestage","Cloud Burster")))))</f>
        <v>Cloud Burster</v>
      </c>
      <c r="BA4" s="258" t="s">
        <v>199</v>
      </c>
      <c r="BB4" s="260" t="str">
        <f>IF($K$40="Español","Brazo Fuerte",(IF($K$40="Deutsch","Knochenbrecher (+1)",(IF($K$40="Français","Bras musclé","Break Tackle")))))</f>
        <v>Break Tackle</v>
      </c>
      <c r="BC4" s="258" t="s">
        <v>198</v>
      </c>
      <c r="BD4" s="260" t="str">
        <f>IF($K$40="Español","Brazos Adicionales",(IF($K$40="Deutsch","Große Hand",(IF($K$40="Français","Deux tête","Disturbing Presence")))))</f>
        <v>Disturbing Presence</v>
      </c>
      <c r="BE4" s="258" t="s">
        <v>200</v>
      </c>
    </row>
    <row r="5" spans="1:57" s="275" customFormat="1" ht="22.5" customHeight="1">
      <c r="A5" s="466" t="s">
        <v>1270</v>
      </c>
      <c r="B5" s="467"/>
      <c r="C5" s="467"/>
      <c r="D5" s="467"/>
      <c r="E5" s="467"/>
      <c r="F5" s="467"/>
      <c r="G5" s="467"/>
      <c r="H5" s="468"/>
      <c r="I5" s="262" t="str">
        <f>IF(Roster!$J$25="Italiano","COSTO",(IF(Roster!$J$25="Español","PRECIO",(IF(Roster!$J$25="Deutsch","WERT",(IF(Roster!$J$25="Français","VALEUR","COST")))))))</f>
        <v>COSTO</v>
      </c>
      <c r="J5" s="262" t="str">
        <f>IF(Roster!$J$25="Español","MO",(IF(Roster!$J$25="Deutsch","BE",(IF(Roster!$J$25="Français","M","MA")))))</f>
        <v>MA</v>
      </c>
      <c r="K5" s="262" t="str">
        <f>IF(Roster!$J$25="Italiano","COSTO",(IF(Roster!$J$25="Español","PRECIO",(IF(Roster!$J$25="Deutsch","WERT",(IF(Roster!$J$25="Français","VALEUR","COST")))))))</f>
        <v>COSTO</v>
      </c>
      <c r="L5" s="262" t="str">
        <f>IF(Roster!$J$25="Español","FU",(IF(Roster!$J$25="Français","F","ST")))</f>
        <v>ST</v>
      </c>
      <c r="M5" s="262" t="str">
        <f>IF(Roster!$J$25="Italiano","COSTO",(IF(Roster!$J$25="Español","PRECIO",(IF(Roster!$J$25="Deutsch","WERT",(IF(Roster!$J$25="Français","VALEUR","COST")))))))</f>
        <v>COSTO</v>
      </c>
      <c r="N5" s="262" t="str">
        <f>IF(Roster!$J$25="Deutsch","GE","AG")</f>
        <v>AG</v>
      </c>
      <c r="O5" s="262" t="str">
        <f>IF(Roster!$J$25="Italiano","COSTO",(IF(Roster!$J$25="Español","PRECIO",(IF(Roster!$J$25="Deutsch","WERT",(IF(Roster!$J$25="Français","VALEUR","COST")))))))</f>
        <v>COSTO</v>
      </c>
      <c r="P5" s="262" t="str">
        <f>IF(Roster!$J$25="Deutsch","WG",(IF(Roster!$J$25="Français","CP","PA")))</f>
        <v>PA</v>
      </c>
      <c r="Q5" s="262" t="str">
        <f>IF(Roster!$J$25="Italiano","COSTO",(IF(Roster!$J$25="Español","PRECIO",(IF(Roster!$J$25="Deutsch","WERT",(IF(Roster!$J$25="Français","VALEUR","COST")))))))</f>
        <v>COSTO</v>
      </c>
      <c r="R5" s="262" t="str">
        <f>IF(Roster!$J$25="Español","AR",(IF(Roster!$J$25="Deutsch","RW",(IF(Roster!$J$25="Français","AR","AV")))))</f>
        <v>AV</v>
      </c>
      <c r="S5" s="262" t="str">
        <f>IF(Roster!$J$25="Italiano","COSTO",(IF(Roster!$J$25="Español","PRECIO",(IF(Roster!$J$25="Deutsch","WERT",(IF(Roster!$J$25="Français","VALEUR","COST")))))))</f>
        <v>COSTO</v>
      </c>
      <c r="T5" s="475"/>
      <c r="U5" s="29"/>
      <c r="V5" s="281" t="b">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0</v>
      </c>
      <c r="W5" s="282">
        <f t="shared" ref="W5:W10" si="0">IF($B$3="Stunty Superstar",D44,(IF($B$3="Legendary Linemen",G44,(IF($B$3="Brutal Blockers",J44,(IF($B$3="Reliable Ringers",M44,(IF($B$3="Bona Fide Big Guy",P44,"")))))))))</f>
        <v>80000</v>
      </c>
      <c r="X5" s="278"/>
      <c r="Y5" s="276" t="s">
        <v>1272</v>
      </c>
      <c r="Z5" s="288">
        <v>0</v>
      </c>
      <c r="AA5" s="288">
        <v>0</v>
      </c>
      <c r="AB5" s="288">
        <v>0</v>
      </c>
      <c r="AC5" s="288">
        <v>0</v>
      </c>
      <c r="AD5" s="288">
        <v>0</v>
      </c>
      <c r="AE5" s="279" t="str">
        <f>""</f>
        <v/>
      </c>
      <c r="AF5" s="279" t="str">
        <f>""</f>
        <v/>
      </c>
      <c r="AG5" s="279" t="str">
        <f>""</f>
        <v/>
      </c>
      <c r="AH5" s="279" t="str">
        <f>""</f>
        <v/>
      </c>
      <c r="AI5" s="289">
        <v>0</v>
      </c>
      <c r="AK5" s="286">
        <v>2</v>
      </c>
      <c r="AL5" s="287">
        <v>0</v>
      </c>
      <c r="AM5" s="287">
        <f>IF(B3="Legendary Linemen",0,-2)</f>
        <v>-2</v>
      </c>
      <c r="AN5" s="287">
        <f>IF(B3="Brutal Blockers",0,-2)</f>
        <v>-2</v>
      </c>
      <c r="AO5" s="282">
        <v>2</v>
      </c>
      <c r="AP5" s="286">
        <f>IF(OR(B3="Stunty Superstar",B3="Reliable Ringers"),70000,(IF(B3="Legendary Linemen",40000,50000)))</f>
        <v>70000</v>
      </c>
      <c r="AQ5" s="287">
        <v>0</v>
      </c>
      <c r="AR5" s="287">
        <f>IF(OR(B3="Stunty Superstar",B3="Bona Fide Big Guy"),80000,(IF(B3="Legendary Linemen",0,100000)))</f>
        <v>80000</v>
      </c>
      <c r="AS5" s="287">
        <f>IF(B3="Brutal Blockers",0,70000)</f>
        <v>70000</v>
      </c>
      <c r="AT5" s="282">
        <f>IF(B3="Stunty Superstar",70000,(IF(B3="Reliable Ringers",80000,40000)))</f>
        <v>70000</v>
      </c>
      <c r="AV5" s="260" t="str">
        <f>IF(B3="Stunty Superstar",(IF($K$40="Español","Manos Seguras",(IF($K$40="Deutsch","Block",(IF($K$40="Français","Frénésie ","Frenzy")))))),(IF($J$24="Español","Juego Sucio (+1)",(IF($J$24="Deutsch","Block",(IF($J$24="Français","Frénésie ","Fend")))))))</f>
        <v>Frenzy</v>
      </c>
      <c r="AW5" s="258" t="s">
        <v>196</v>
      </c>
      <c r="AX5" s="260" t="str">
        <f>IF($K$40="Español","Esprintar",(IF($K$40="Deutsch","Fliegender Tackle",(IF($K$40="Français","Glissade contrôlée","Dodge")))))</f>
        <v>Dodge</v>
      </c>
      <c r="AY5" s="258" t="s">
        <v>197</v>
      </c>
      <c r="AZ5" s="260" t="str">
        <f>IF($K$40="Español","Líder",(IF($K$40="Deutsch","In die Wolken",(IF($K$40="Français","Fumblerooskie","Dump-Off")))))</f>
        <v>Dump-Off</v>
      </c>
      <c r="BA5" s="258" t="s">
        <v>199</v>
      </c>
      <c r="BB5" s="260" t="str">
        <f>IF($K$40="Español","Cabeza Dura",(IF($K$40="Deutsch","Mehrfachblock",(IF($K$40="Français","Châtaigne (+1)","Grab")))))</f>
        <v>Grab</v>
      </c>
      <c r="BC5" s="258" t="s">
        <v>198</v>
      </c>
      <c r="BD5" s="260" t="str">
        <f>IF($K$40="Español","Cola Prensil",(IF($K$40="Deutsch","Hörner",(IF($K$40="Français","Grande gueule","Extra Arms")))))</f>
        <v>Extra Arms</v>
      </c>
      <c r="BE5" s="258" t="s">
        <v>200</v>
      </c>
    </row>
    <row r="6" spans="1:57" s="275" customFormat="1" ht="22.5" customHeight="1">
      <c r="A6" s="472"/>
      <c r="B6" s="473"/>
      <c r="C6" s="473"/>
      <c r="D6" s="473"/>
      <c r="E6" s="473"/>
      <c r="F6" s="473"/>
      <c r="G6" s="473"/>
      <c r="H6" s="474"/>
      <c r="I6" s="290">
        <f>IFERROR((VLOOKUP(A6,V4:W10,2,FALSE)),0)</f>
        <v>0</v>
      </c>
      <c r="J6" s="306">
        <v>0</v>
      </c>
      <c r="K6" s="290">
        <f>IFERROR((VLOOKUP(J6,AK3:AT7,6,FALSE)),"ILEGAL")</f>
        <v>0</v>
      </c>
      <c r="L6" s="306">
        <v>0</v>
      </c>
      <c r="M6" s="290">
        <f>IFERROR((VLOOKUP(L6,AL3:AT7,6,FALSE)),"ILEGAL")</f>
        <v>0</v>
      </c>
      <c r="N6" s="306">
        <v>0</v>
      </c>
      <c r="O6" s="290">
        <f>IFERROR((VLOOKUP(N6,AM3:AT7,6,FALSE)),"ILEGAL")</f>
        <v>0</v>
      </c>
      <c r="P6" s="306">
        <v>0</v>
      </c>
      <c r="Q6" s="290">
        <f>IFERROR((VLOOKUP(P6,AN3:AT7,6,FALSE)),"ILEGAL")</f>
        <v>0</v>
      </c>
      <c r="R6" s="306">
        <v>0</v>
      </c>
      <c r="S6" s="290">
        <f>IFERROR((VLOOKUP(R6,AO3:AT7,6,FALSE)),"ILEGAL")</f>
        <v>0</v>
      </c>
      <c r="T6" s="475"/>
      <c r="U6" s="29"/>
      <c r="V6" s="281" t="str">
        <f>IF($B$3="Stunty Superstar",C45,(IF($B$3="Legendary Linemen",F45,(IF($B$3="Brutal Blockers",I45,(IF($B$3="Reliable Ringers",L45,(IF($B$3="Bona Fide Big Guy",O45,"")))))))))</f>
        <v>Bombardier, Secret Weapon</v>
      </c>
      <c r="W6" s="282">
        <f t="shared" si="0"/>
        <v>40000</v>
      </c>
      <c r="X6" s="278"/>
      <c r="Y6" s="281" t="s">
        <v>1274</v>
      </c>
      <c r="Z6" s="287">
        <v>5</v>
      </c>
      <c r="AA6" s="287">
        <v>2</v>
      </c>
      <c r="AB6" s="287">
        <v>3</v>
      </c>
      <c r="AC6" s="287">
        <v>4</v>
      </c>
      <c r="AD6" s="287">
        <v>6</v>
      </c>
      <c r="AE6" s="291" t="str">
        <f>IF(((COUNTIF(AE3,"A"))+(COUNTIF(AE3,"B"))+(COUNTIF(AE3,"H"))+(COUNTIF(AE3,"I"))+(COUNTIF(AE3,"M")))=1,"Loner (5+)","Loner (4+)")</f>
        <v>Loner (4+)</v>
      </c>
      <c r="AF6" s="291" t="s">
        <v>272</v>
      </c>
      <c r="AG6" s="291" t="s">
        <v>1275</v>
      </c>
      <c r="AH6" s="291" t="s">
        <v>1276</v>
      </c>
      <c r="AI6" s="282">
        <v>30000</v>
      </c>
      <c r="AK6" s="286">
        <v>-1</v>
      </c>
      <c r="AL6" s="287">
        <v>-1</v>
      </c>
      <c r="AM6" s="287">
        <v>1</v>
      </c>
      <c r="AN6" s="287">
        <v>1</v>
      </c>
      <c r="AO6" s="282">
        <v>-1</v>
      </c>
      <c r="AP6" s="286">
        <v>-10000</v>
      </c>
      <c r="AQ6" s="287">
        <v>-10000</v>
      </c>
      <c r="AR6" s="287">
        <v>-10000</v>
      </c>
      <c r="AS6" s="287">
        <v>-10000</v>
      </c>
      <c r="AT6" s="282">
        <v>-10000</v>
      </c>
      <c r="AV6" s="260" t="str">
        <f>IF(B3="Stunty Superstar",(IF($K$40="Español","Patada",(IF($K$40="Deutsch","Kicken",(IF($K$40="Français","Intrépide","Kick")))))),(IF($J$24="Español","Manos Seguras",(IF($J$24="Deutsch","Brutal (+1)",(IF($J$24="Français","Intrépide","Frenzy")))))))</f>
        <v>Kick</v>
      </c>
      <c r="AW6" s="258" t="s">
        <v>196</v>
      </c>
      <c r="AX6" s="260" t="str">
        <f>IF($K$40="Español","Esquivar",(IF($K$40="Deutsch","Gewandt",(IF($K$40="Français","Libération contrôlée","Defensive")))))</f>
        <v>Defensive</v>
      </c>
      <c r="AY6" s="258" t="s">
        <v>197</v>
      </c>
      <c r="AZ6" s="260" t="str">
        <f>IF($K$40="Español","Nervios de Acero",(IF($K$40="Deutsch","Immer am Ball",(IF($K$40="Français","Nerfs d’acier","Fumblerooskie")))))</f>
        <v>Fumblerooskie</v>
      </c>
      <c r="BA6" s="258" t="s">
        <v>199</v>
      </c>
      <c r="BB6" s="260" t="str">
        <f>IF($K$40="Español","Crujir",(IF($K$40="Deutsch","Ramme",(IF($K$40="Français","Clé de bras","Guard")))))</f>
        <v>Guard</v>
      </c>
      <c r="BC6" s="258" t="s">
        <v>198</v>
      </c>
      <c r="BD6" s="260" t="str">
        <f>IF($K$40="Español","Cuernos",(IF($K$40="Deutsch","Klammerschwanz",(IF($K$40="Français","Griffes","Foul Appearance")))))</f>
        <v>Foul Appearance</v>
      </c>
      <c r="BE6" s="258" t="s">
        <v>200</v>
      </c>
    </row>
    <row r="7" spans="1:57" s="275" customFormat="1" ht="22.5" customHeight="1">
      <c r="A7" s="266" t="str">
        <f>IF(Roster!$J$25="Italiano","TIPO",(IF(Roster!$J$25="Español","TIPO",(IF(Roster!$J$25="Deutsch","POSITION",(IF(Roster!$J$25="Français","POSTE","TYPE")))))))</f>
        <v>TIPO</v>
      </c>
      <c r="B7" s="264" t="str">
        <f>IF($J$40="Italiano","AVANZAMENTO 1",(IF($J$40="Español","MEJORA 1",(IF($J$40="Deutsch","VERBES-SERUNG 1",(IF($J$40="Français","AMÉLIORATION 1","UPGRADE 1")))))))</f>
        <v>UPGRADE 1</v>
      </c>
      <c r="C7" s="263" t="str">
        <f>IF(Roster!$J$25="Italiano","COSTO",(IF(Roster!$J$25="Español","PRECIO",(IF(Roster!$J$25="Deutsch","WERT",(IF(Roster!$J$25="Français","VALEUR","COST")))))))</f>
        <v>COSTO</v>
      </c>
      <c r="D7" s="459" t="str">
        <f>IF($J$40="Italiano","AVANZAMENTO 2",(IF($J$40="Español","MEJORA 2",(IF($J$40="Deutsch","VERBES-SERUNG 2",(IF($J$40="Français","AMÉLIORATION 2","UPGRADE 2")))))))</f>
        <v>UPGRADE 2</v>
      </c>
      <c r="E7" s="460"/>
      <c r="F7" s="263" t="str">
        <f>IF(Roster!$J$25="Italiano","COSTO",(IF(Roster!$J$25="Español","PRECIO",(IF(Roster!$J$25="Deutsch","WERT",(IF(Roster!$J$25="Français","VALEUR","COST")))))))</f>
        <v>COSTO</v>
      </c>
      <c r="G7" s="459" t="str">
        <f>IF($J$40="Italiano","AVANZAMENTO 3",(IF($J$40="Español","MEJORA 3",(IF($J$40="Deutsch","VERBES-SERUNG 3",(IF($J$40="Français","AMÉLIORATION 3","UPGRADE 3")))))))</f>
        <v>UPGRADE 3</v>
      </c>
      <c r="H7" s="460"/>
      <c r="I7" s="262" t="str">
        <f>IF(Roster!$J$25="Italiano","COSTO",(IF(Roster!$J$25="Español","PRECIO",(IF(Roster!$J$25="Deutsch","WERT",(IF(Roster!$J$25="Français","VALEUR","COST")))))))</f>
        <v>COSTO</v>
      </c>
      <c r="J7" s="459" t="str">
        <f>IF($J$40="Italiano","AVANZAMENTO 4",(IF($J$40="Español","MEJORA 4",(IF($J$40="Deutsch","VERBES-SERUNG 4",(IF($J$40="Français","AMÉLIORATION 4","UPGRADE 4")))))))</f>
        <v>UPGRADE 4</v>
      </c>
      <c r="K7" s="460"/>
      <c r="L7" s="262" t="str">
        <f>IF(Roster!$J$25="Italiano","COSTO",(IF(Roster!$J$25="Español","PRECIO",(IF(Roster!$J$25="Deutsch","WERT",(IF(Roster!$J$25="Français","VALEUR","COST")))))))</f>
        <v>COSTO</v>
      </c>
      <c r="M7" s="459" t="str">
        <f>IF($J$40="Italiano","AVANZAMENTO 5",(IF($J$40="Español","MEJORA 5",(IF($J$40="Deutsch","VERBES-SERUNG 5",(IF($J$40="Français","AMÉLIORATION 5","UPGRADE 5")))))))</f>
        <v>UPGRADE 5</v>
      </c>
      <c r="N7" s="460"/>
      <c r="O7" s="262" t="str">
        <f>IF(Roster!$J$25="Italiano","COSTO",(IF(Roster!$J$25="Español","PRECIO",(IF(Roster!$J$25="Deutsch","WERT",(IF(Roster!$J$25="Français","VALEUR","COST")))))))</f>
        <v>COSTO</v>
      </c>
      <c r="P7" s="459" t="str">
        <f>IF($J$40="Italiano","AVANZAMENTO 6",(IF($J$40="Español","MEJORA 6",(IF($J$40="Deutsch","VERBES-SERUNG 6",(IF($J$40="Français","AMÉLIORATION 6","UPGRADE 6")))))))</f>
        <v>UPGRADE 6</v>
      </c>
      <c r="Q7" s="460"/>
      <c r="R7" s="262" t="str">
        <f>IF(Roster!$J$25="Italiano","COSTO",(IF(Roster!$J$25="Español","PRECIO",(IF(Roster!$J$25="Deutsch","WERT",(IF(Roster!$J$25="Français","VALEUR","COST")))))))</f>
        <v>COSTO</v>
      </c>
      <c r="S7" s="262" t="s">
        <v>1271</v>
      </c>
      <c r="T7" s="475"/>
      <c r="U7" s="29"/>
      <c r="V7" s="281" t="str">
        <f>IF($B$3="Stunty Superstar",C46,(IF($B$3="Legendary Linemen",F46,(IF($B$3="Brutal Blockers",I46,(IF($B$3="Reliable Ringers",L46,(IF($B$3="Bona Fide Big Guy",O46,"")))))))))</f>
        <v>Stab, Secret Weapon</v>
      </c>
      <c r="W7" s="282">
        <f t="shared" si="0"/>
        <v>20000</v>
      </c>
      <c r="X7" s="278"/>
      <c r="Y7" s="281" t="s">
        <v>1277</v>
      </c>
      <c r="Z7" s="287">
        <v>6</v>
      </c>
      <c r="AA7" s="287">
        <v>3</v>
      </c>
      <c r="AB7" s="287">
        <v>3</v>
      </c>
      <c r="AC7" s="287">
        <v>4</v>
      </c>
      <c r="AD7" s="287">
        <v>9</v>
      </c>
      <c r="AE7" s="291" t="str">
        <f>IF(((COUNTIF(AE3,"A"))+(COUNTIF(AE3,"B"))+(COUNTIF(AE3,"H"))+(COUNTIF(AE3,"I"))+(COUNTIF(AE3,"M")))=1,"Loner (5+)","Loner (4+)")</f>
        <v>Loner (4+)</v>
      </c>
      <c r="AF7" s="291" t="str">
        <f>""</f>
        <v/>
      </c>
      <c r="AG7" s="291" t="str">
        <f>""</f>
        <v/>
      </c>
      <c r="AH7" s="291" t="str">
        <f>""</f>
        <v/>
      </c>
      <c r="AI7" s="282">
        <v>50000</v>
      </c>
      <c r="AK7" s="292">
        <v>-2</v>
      </c>
      <c r="AL7" s="293">
        <f>IF(B3="Stunty Superstar",0,-2)</f>
        <v>0</v>
      </c>
      <c r="AM7" s="293">
        <v>2</v>
      </c>
      <c r="AN7" s="293">
        <v>2</v>
      </c>
      <c r="AO7" s="294">
        <v>-2</v>
      </c>
      <c r="AP7" s="292">
        <v>-20000</v>
      </c>
      <c r="AQ7" s="293">
        <v>-20000</v>
      </c>
      <c r="AR7" s="293">
        <v>-20000</v>
      </c>
      <c r="AS7" s="293">
        <v>-20000</v>
      </c>
      <c r="AT7" s="294">
        <v>-20000</v>
      </c>
      <c r="AV7" s="260" t="str">
        <f>IF(B3="Stunty Superstar",(IF($K$40="Español","Perseguir",(IF($K$40="Deutsch","Manndeckung",(IF($K$40="Français","Lutte","Pro")))))),(IF($J$24="Español","Patada",(IF($J$24="Deutsch","Kicken",(IF($J$24="Français","Joueur Déloyal (+1)","Kick")))))))</f>
        <v>Pro</v>
      </c>
      <c r="AW7" s="258" t="s">
        <v>196</v>
      </c>
      <c r="AX7" s="260" t="str">
        <f>IF($K$40="Español","Furtivo",(IF($K$40="Deutsch","Hechtsprung",(IF($K$40="Français","Réception ","Jump Up")))))</f>
        <v>Jump Up</v>
      </c>
      <c r="AY7" s="258" t="s">
        <v>197</v>
      </c>
      <c r="AZ7" s="260" t="str">
        <f>IF($K$40="Español","Partenubes",(IF($K$40="Deutsch","Kanonier",(IF($K$40="Français","Passe","Hail Mary Pass")))))</f>
        <v>Hail Mary Pass</v>
      </c>
      <c r="BA7" s="258" t="s">
        <v>199</v>
      </c>
      <c r="BB7" s="258" t="str">
        <f>IF($K$40="Español","Defensa",(IF($K$40="Deutsch","Raufbold",(IF($K$40="Français","Crâne épais","Juggernaut")))))</f>
        <v>Juggernaut</v>
      </c>
      <c r="BC7" s="258" t="s">
        <v>198</v>
      </c>
      <c r="BD7" s="260" t="str">
        <f>IF($K$40="Español","Dos Cabezas",(IF($K$40="Deutsch","Klauen",(IF($K$40="Français","Main démesurée","Horns")))))</f>
        <v>Horns</v>
      </c>
      <c r="BE7" s="258" t="s">
        <v>200</v>
      </c>
    </row>
    <row r="8" spans="1:57" s="275" customFormat="1" ht="22.5" customHeight="1">
      <c r="A8" s="261" t="str">
        <f>IF($J$40="Italiano","GENERALE:",(IF($J$40="Français","GÉNÉRALE:","GENERAL:")))</f>
        <v>GENERAL:</v>
      </c>
      <c r="B8" s="306"/>
      <c r="C8" s="290">
        <f>IF(B8&lt;&gt;"",(IF(B3="Legendary Linemen",20000,(IF(B3="Reliable Ringers",30000,(IF(B3="Mercenaries",0,40000)))))),0)</f>
        <v>0</v>
      </c>
      <c r="D8" s="457"/>
      <c r="E8" s="458"/>
      <c r="F8" s="290" t="str">
        <f>IF(B3&lt;&gt;"Legendary Linemen","ILEGAL",(IF(D8&lt;&gt;"",50000,0)))</f>
        <v>ILEGAL</v>
      </c>
      <c r="G8" s="457"/>
      <c r="H8" s="458"/>
      <c r="I8" s="290" t="str">
        <f>IF(B3&lt;&gt;"Legendary Linemen","ILEGAL",(IF(G8&lt;&gt;"",80000,0)))</f>
        <v>ILEGAL</v>
      </c>
      <c r="J8" s="457"/>
      <c r="K8" s="458"/>
      <c r="L8" s="290" t="str">
        <f>IF(B3&lt;&gt;"Legendary Linemen","ILEGAL",(IF(J8&lt;&gt;"",110000,0)))</f>
        <v>ILEGAL</v>
      </c>
      <c r="M8" s="457"/>
      <c r="N8" s="458"/>
      <c r="O8" s="290" t="str">
        <f>IF(B3&lt;&gt;"Legendary Linemen","ILEGAL",(IF(M8&lt;&gt;"",140000,0)))</f>
        <v>ILEGAL</v>
      </c>
      <c r="P8" s="457"/>
      <c r="Q8" s="458"/>
      <c r="R8" s="290" t="str">
        <f>IF(B3&lt;&gt;"Legendary Linemen","ILEGAL",(IF(P8&lt;&gt;"",170000,0)))</f>
        <v>ILEGAL</v>
      </c>
      <c r="S8" s="290">
        <f>SUM(C8,F8,I8,L8,O8,R8)</f>
        <v>0</v>
      </c>
      <c r="T8" s="475"/>
      <c r="U8" s="29"/>
      <c r="V8" s="281" t="str">
        <f>IF($B$3="Stunty Superstar",C47,(IF($B$3="Legendary Linemen",F47,(IF($B$3="Brutal Blockers",I47,(IF($B$3="Reliable Ringers",L47,(IF($B$3="Bona Fide Big Guy",O47,"")))))))))</f>
        <v>Chainsaw, No Hands, Secret Weapon</v>
      </c>
      <c r="W8" s="282">
        <f t="shared" si="0"/>
        <v>70000</v>
      </c>
      <c r="X8" s="278"/>
      <c r="Y8" s="281" t="s">
        <v>1279</v>
      </c>
      <c r="Z8" s="287">
        <v>4</v>
      </c>
      <c r="AA8" s="287">
        <v>4</v>
      </c>
      <c r="AB8" s="287">
        <v>4</v>
      </c>
      <c r="AC8" s="287">
        <v>6</v>
      </c>
      <c r="AD8" s="287">
        <v>9</v>
      </c>
      <c r="AE8" s="291" t="str">
        <f>IF(((COUNTIF(AE3,"A"))+(COUNTIF(AE3,"B"))+(COUNTIF(AE3,"H"))+(COUNTIF(AE3,"I"))+(COUNTIF(AE3,"M")))=1,"Loner (5+)","Loner (4+)")</f>
        <v>Loner (4+)</v>
      </c>
      <c r="AF8" s="291" t="str">
        <f>IF(OR(AE3="H",AE3="M"),"Mighty Blow (+2)","")</f>
        <v/>
      </c>
      <c r="AG8" s="291" t="str">
        <f>""</f>
        <v/>
      </c>
      <c r="AH8" s="291" t="str">
        <f>""</f>
        <v/>
      </c>
      <c r="AI8" s="282">
        <v>70000</v>
      </c>
      <c r="AK8" s="278"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0" t="str">
        <f>IF(B3="Stunty Superstar",(IF($K$40="Español","Placaje Defensivo",(IF($K$40="Deutsch","Profi",(IF($K$40="Français","Parade","Shadowing")))))),(IF($J$24="Español","Perseguir",(IF($J$24="Deutsch","Manndeckung",(IF($J$24="Français","Lutte","Pro")))))))</f>
        <v>Shadowing</v>
      </c>
      <c r="AW8" s="258" t="s">
        <v>196</v>
      </c>
      <c r="AX8" s="260" t="str">
        <f>IF($K$40="Español","Pies Firmes",(IF($K$40="Deutsch","Heimtückisch",(IF($K$40="Français","Réception plongeante ","Leap")))))</f>
        <v>Leap</v>
      </c>
      <c r="AY8" s="258" t="s">
        <v>197</v>
      </c>
      <c r="AZ8" s="260" t="str">
        <f>IF($K$40="Español","Pasar",(IF($K$40="Deutsch","Nerven aus Stahl",(IF($K$40="Français","Passe assurée","Leader")))))</f>
        <v>Leader</v>
      </c>
      <c r="BA8" s="258" t="s">
        <v>199</v>
      </c>
      <c r="BB8" s="258" t="str">
        <f>IF($K$40="Español","Golpe Mortífero (+1)",(IF($K$40="Deutsch","Schweres Gerät",(IF($K$40="Français","Esquive en force","Mighty Blow (+1)")))))</f>
        <v>Mighty Blow (+1)</v>
      </c>
      <c r="BC8" s="258" t="s">
        <v>198</v>
      </c>
      <c r="BD8" s="258" t="str">
        <f>IF($K$40="Español","Garra / Garras",(IF($K$40="Deutsch","Monströses Maul",(IF($K$40="Français","Queue préhensile","Iron Hard Skin")))))</f>
        <v>Iron Hard Skin</v>
      </c>
      <c r="BE8" s="258" t="s">
        <v>200</v>
      </c>
    </row>
    <row r="9" spans="1:57" s="275" customFormat="1" ht="22.5" customHeight="1">
      <c r="A9" s="261" t="str">
        <f>IF($J$40="Italiano","FORZA:",(IF($J$40="Español","FUERZA:",(IF($J$40="Français","FORCE:","STRENGTH:")))))</f>
        <v>STRENGTH:</v>
      </c>
      <c r="B9" s="306"/>
      <c r="C9" s="290">
        <f>IF(B9&lt;&gt;"",(IF(B3="Stunty Superstar",0,(IF(B3="Reliable Ringers",50000,(IF(B3="Mercenaries",0,30000)))))),0)</f>
        <v>0</v>
      </c>
      <c r="D9" s="457"/>
      <c r="E9" s="458"/>
      <c r="F9" s="290" t="str">
        <f>IF($B$3&lt;&gt;"Brutal Blockers",(IF($B$3&lt;&gt;"Bona Fide Big Guy","ILEGAL",(IF(D9&lt;&gt;"",70000,0)))),(IF(D9&lt;&gt;"",70000,0)))</f>
        <v>ILEGAL</v>
      </c>
      <c r="G9" s="457"/>
      <c r="H9" s="458"/>
      <c r="I9" s="290" t="str">
        <f>IF($B$3&lt;&gt;"Brutal Blockers",(IF($B$3&lt;&gt;"Bona Fide Big Guy","ILEGAL",(IF(G9&lt;&gt;"",110000,0)))),(IF(G9&lt;&gt;"",110000,0)))</f>
        <v>ILEGAL</v>
      </c>
      <c r="J9" s="457"/>
      <c r="K9" s="458"/>
      <c r="L9" s="290" t="str">
        <f>IF($B$3&lt;&gt;"Brutal Blockers",(IF($B$3&lt;&gt;"Bona Fide Big Guy","ILEGAL",(IF(J9&lt;&gt;"",150000,0)))),(IF(J9&lt;&gt;"",150000,0)))</f>
        <v>ILEGAL</v>
      </c>
      <c r="M9" s="457"/>
      <c r="N9" s="458"/>
      <c r="O9" s="290" t="str">
        <f>IF($B$3&lt;&gt;"Brutal Blockers",(IF($B$3&lt;&gt;"Bona Fide Big Guy","ILEGAL",(IF(M9&lt;&gt;"",190000,0)))),(IF(M9&lt;&gt;"",190000,0)))</f>
        <v>ILEGAL</v>
      </c>
      <c r="P9" s="457"/>
      <c r="Q9" s="458"/>
      <c r="R9" s="290" t="str">
        <f>IF($B$3&lt;&gt;"Brutal Blockers",(IF($B$3&lt;&gt;"Bona Fide Big Guy","ILEGAL",(IF(P9&lt;&gt;"",230000,0)))),(IF(P9&lt;&gt;"",230000,0)))</f>
        <v>ILEGAL</v>
      </c>
      <c r="S9" s="290">
        <f t="shared" ref="S9:S12" si="1">SUM(C9,F9,I9,L9,O9,R9)</f>
        <v>0</v>
      </c>
      <c r="T9" s="475"/>
      <c r="V9" s="281" t="str">
        <f>IF($B$3="Stunty Superstar",C48,(IF($B$3="Legendary Linemen",F48,(IF($B$3="Brutal Blockers",I48,(IF($B$3="Reliable Ringers",L48,(IF($B$3="Bona Fide Big Guy",O48,"")))))))))</f>
        <v>Pogo Stick</v>
      </c>
      <c r="W9" s="282">
        <f t="shared" si="0"/>
        <v>50000</v>
      </c>
      <c r="X9" s="278"/>
      <c r="Y9" s="281" t="s">
        <v>1268</v>
      </c>
      <c r="Z9" s="287">
        <v>6</v>
      </c>
      <c r="AA9" s="287">
        <v>3</v>
      </c>
      <c r="AB9" s="287">
        <v>2</v>
      </c>
      <c r="AC9" s="287">
        <v>3</v>
      </c>
      <c r="AD9" s="287">
        <v>8</v>
      </c>
      <c r="AE9" s="291" t="str">
        <f>IF(((COUNTIF(AE3,"A"))+(COUNTIF(AE3,"B"))+(COUNTIF(AE3,"H"))+(COUNTIF(AE3,"I"))+(COUNTIF(AE3,"M")))=1,"Loner (5+)","Loner (4+)")</f>
        <v>Loner (4+)</v>
      </c>
      <c r="AF9" s="291" t="str">
        <f>""</f>
        <v/>
      </c>
      <c r="AG9" s="291" t="str">
        <f>""</f>
        <v/>
      </c>
      <c r="AH9" s="291" t="str">
        <f>""</f>
        <v/>
      </c>
      <c r="AI9" s="282">
        <v>70000</v>
      </c>
      <c r="AV9" s="260" t="str">
        <f>IF(B3="Stunty Superstar",(IF($K$40="Español","Placar",(IF($K$40="Deutsch","Rasend",(IF($K$40="Français","Poursuite","Strip Ball")))))),(IF($J$24="Español","Placaje Defensivo",(IF($J$24="Deutsch","Profi",(IF($J$24="Français","Parade","Shadowing")))))))</f>
        <v>Strip Ball</v>
      </c>
      <c r="AW9" s="258" t="s">
        <v>196</v>
      </c>
      <c r="AX9" s="260" t="str">
        <f>IF($K$40="Español","Placaje Heroico",(IF($K$40="Deutsch","Sichere Hände",(IF($K$40="Français","Rétablissement","Safe Pair of Hands")))))</f>
        <v>Safe Pair of Hands</v>
      </c>
      <c r="AY9" s="258" t="s">
        <v>197</v>
      </c>
      <c r="AZ9" s="260" t="str">
        <f>IF($K$40="Español","Pase a la Carrera",(IF($K$40="Deutsch","Scheinpatzer",(IF($K$40="Français","Passe dans la course","Nerves of Steel")))))</f>
        <v>Nerves of Steel</v>
      </c>
      <c r="BA9" s="258" t="s">
        <v>199</v>
      </c>
      <c r="BB9" s="258" t="str">
        <f>IF($K$40="Español","Imparable",(IF($K$40="Deutsch","Standfest",(IF($K$40="Français","Garde","Multiple Blocks")))))</f>
        <v>Multiple Blocks</v>
      </c>
      <c r="BC9" s="258" t="s">
        <v>198</v>
      </c>
      <c r="BD9" s="258" t="str">
        <f>IF($K$40="Español","Mano Grande",(IF($K$40="Deutsch","Sehr lange Beine",(IF($K$40="Français","Peau de fer","Monstrous Mouth")))))</f>
        <v>Monstrous Mouth</v>
      </c>
      <c r="BE9" s="258" t="s">
        <v>200</v>
      </c>
    </row>
    <row r="10" spans="1:57" s="275" customFormat="1" ht="22.5" customHeight="1">
      <c r="A10" s="261" t="str">
        <f>IF($J$40="Italiano","AGILITÀ:",(IF($J$40="Español","AGILIDAD:",(IF($J$40="Deutsch","AGILITÄT:",(IF($J$40="Français","AGILITÉ:","AGILITY:")))))))</f>
        <v>AGILITY:</v>
      </c>
      <c r="B10" s="306"/>
      <c r="C10" s="290">
        <f>IF(B10&lt;&gt;"",(IF(B3="Stunty Superstar",10000,(IF(B3="Brutal Blockers",40000,(IF(OR(B3="Mercenaries",B3="Bona Fide Big Guy"),0,30000)))))),0)</f>
        <v>0</v>
      </c>
      <c r="D10" s="457"/>
      <c r="E10" s="458"/>
      <c r="F10" s="290">
        <f>IF($B$3&lt;&gt;"Stunty Superstar",(IF($B$3&lt;&gt;"Reliable Ringers","ILEGAL",(IF(D10&lt;&gt;"",70000,0)))),(IF(D10&lt;&gt;"",30000,0)))</f>
        <v>0</v>
      </c>
      <c r="G10" s="457"/>
      <c r="H10" s="458"/>
      <c r="I10" s="290">
        <f>IF($B$3&lt;&gt;"Stunty Superstar",(IF($B$3&lt;&gt;"Reliable Ringers","ILEGAL",(IF(G10&lt;&gt;"",110000,0)))),(IF(G10&lt;&gt;"",50000,0)))</f>
        <v>0</v>
      </c>
      <c r="J10" s="457"/>
      <c r="K10" s="458"/>
      <c r="L10" s="290">
        <f>IF($B$3&lt;&gt;"Stunty Superstar",(IF($B$3&lt;&gt;"Reliable Ringers","ILEGAL",(IF(J10&lt;&gt;"",150000,0)))),(IF(J10&lt;&gt;"",70000,0)))</f>
        <v>0</v>
      </c>
      <c r="M10" s="457"/>
      <c r="N10" s="458"/>
      <c r="O10" s="290">
        <f>IF($B$3&lt;&gt;"Stunty Superstar",(IF($B$3&lt;&gt;"Reliable Ringers","ILEGAL",(IF(M10&lt;&gt;"",190000,0)))),(IF(M10&lt;&gt;"",90000,0)))</f>
        <v>0</v>
      </c>
      <c r="P10" s="457"/>
      <c r="Q10" s="458"/>
      <c r="R10" s="290">
        <f>IF($B$3&lt;&gt;"Stunty Superstar",(IF($B$3&lt;&gt;"Reliable Ringers","ILEGAL",(IF(P10&lt;&gt;"",230000,0)))),(IF(P10&lt;&gt;"",110000,0)))</f>
        <v>0</v>
      </c>
      <c r="S10" s="290">
        <f t="shared" si="1"/>
        <v>0</v>
      </c>
      <c r="T10" s="475"/>
      <c r="V10" s="283" t="str">
        <f>IF($B$3="Stunty Superstar",C49,(IF($B$3="Legendary Linemen",F49,(IF($B$3="Brutal Blockers",I49,(IF($B$3="Reliable Ringers",L49,(IF($B$3="Bona Fide Big Guy",O49,"")))))))))</f>
        <v>Ball &amp; Chain, Secret Weapon, No Hands, +3ST, -2MA</v>
      </c>
      <c r="W10" s="294">
        <f t="shared" si="0"/>
        <v>70000</v>
      </c>
      <c r="X10" s="278"/>
      <c r="Y10" s="283" t="s">
        <v>1280</v>
      </c>
      <c r="Z10" s="293">
        <v>4</v>
      </c>
      <c r="AA10" s="293">
        <v>5</v>
      </c>
      <c r="AB10" s="293">
        <v>4</v>
      </c>
      <c r="AC10" s="293">
        <v>5</v>
      </c>
      <c r="AD10" s="293">
        <v>9</v>
      </c>
      <c r="AE10" s="284" t="str">
        <f>IF(((COUNTIF(AE3,"A"))+(COUNTIF(AE3,"B"))+(COUNTIF(AE3,"H"))+(COUNTIF(AE3,"I"))+(COUNTIF(AE3,"M")))=1,"Loner (5+)","Loner (4+)")</f>
        <v>Loner (4+)</v>
      </c>
      <c r="AF10" s="284" t="str">
        <f>IF(OR(AE3="J",AE3="K",AE3="L",AE3="M",AE3="N"),"","Bone Head")</f>
        <v>Bone Head</v>
      </c>
      <c r="AG10" s="284" t="str">
        <f>IF(OR(AE3="H",AE3="M"),"Mighty Blow (+2)","Mighty Blow (+1)")</f>
        <v>Mighty Blow (+1)</v>
      </c>
      <c r="AH10" s="284" t="str">
        <f>IF(OR(AE3="K",AE3="L"),"","Throw Team Mate")</f>
        <v>Throw Team Mate</v>
      </c>
      <c r="AI10" s="294">
        <v>130000</v>
      </c>
      <c r="AV10" s="260" t="str">
        <f>IF(B3="Stunty Superstar",(IF($K$40="Español","Profesional",(IF($K$40="Deutsch","Tackle",(IF($K$40="Français","Prise sûre","Sure Hands")))))),(IF($J$24="Español","Placar",(IF($J$24="Deutsch","Rasend",(IF($J$24="Français","Poursuite","Strip Ball")))))))</f>
        <v>Sure Hands</v>
      </c>
      <c r="AW10" s="258" t="s">
        <v>196</v>
      </c>
      <c r="AX10" s="260" t="str">
        <f>IF($K$40="Español","Proteger el Cuero",(IF($K$40="Deutsch","Springen",(IF($K$40="Français","Saut","Sidestep")))))</f>
        <v>Sidestep</v>
      </c>
      <c r="AY10" s="258" t="s">
        <v>197</v>
      </c>
      <c r="AZ10" s="260" t="str">
        <f>IF($K$40="Español","Pase a lo Loco",(IF($K$40="Deutsch","Sicherer Pass",(IF($K$40="Français","Passe désespérée","On the Ball")))))</f>
        <v>On the Ball</v>
      </c>
      <c r="BA10" s="258" t="s">
        <v>199</v>
      </c>
      <c r="BB10" s="258" t="str">
        <f>IF($K$40="Español","Llave de Brazo",(IF($K$40="Deutsch","Starker Wurfarm",(IF($K$40="Français","Juggernaut","Pile Diver")))))</f>
        <v>Pile Diver</v>
      </c>
      <c r="BC10" s="258" t="s">
        <v>198</v>
      </c>
      <c r="BD10" s="260" t="str">
        <f>IF($K$40="Español","Piel Ferrea",(IF($K$40="Deutsch","Tentakel",(IF($K$40="Français","Présence perturbante","Prehensile Tail")))))</f>
        <v>Prehensile Tail</v>
      </c>
      <c r="BE10" s="258" t="s">
        <v>200</v>
      </c>
    </row>
    <row r="11" spans="1:57" s="275" customFormat="1" ht="22.5" customHeight="1">
      <c r="A11" s="261" t="str">
        <f>IF($J$40="Español","PASE:",(IF($J$40="Français","PASSER:","PASS:")))</f>
        <v>PASS:</v>
      </c>
      <c r="B11" s="306"/>
      <c r="C11" s="290">
        <f>IF(B11&lt;&gt;"",(IF(B3="Mercenaries",0,(IF(OR(B3="Reliable Ringers",B3="Bona Fide Big Guy"),30000,20000)))),0)</f>
        <v>0</v>
      </c>
      <c r="D11" s="457"/>
      <c r="E11" s="458"/>
      <c r="F11" s="290" t="s">
        <v>1269</v>
      </c>
      <c r="G11" s="457"/>
      <c r="H11" s="458"/>
      <c r="I11" s="290" t="s">
        <v>1269</v>
      </c>
      <c r="J11" s="457"/>
      <c r="K11" s="458"/>
      <c r="L11" s="290" t="s">
        <v>1269</v>
      </c>
      <c r="M11" s="457"/>
      <c r="N11" s="458"/>
      <c r="O11" s="290" t="s">
        <v>1269</v>
      </c>
      <c r="P11" s="457"/>
      <c r="Q11" s="458"/>
      <c r="R11" s="290" t="s">
        <v>1269</v>
      </c>
      <c r="S11" s="290">
        <f t="shared" si="1"/>
        <v>0</v>
      </c>
      <c r="T11" s="475"/>
      <c r="V11" s="278"/>
      <c r="W11" s="278"/>
      <c r="X11" s="278"/>
      <c r="Y11" s="278"/>
      <c r="Z11" s="278"/>
      <c r="AA11" s="278"/>
      <c r="AB11" s="278"/>
      <c r="AC11" s="278"/>
      <c r="AD11" s="278"/>
      <c r="AE11" s="278"/>
      <c r="AF11" s="278"/>
      <c r="AG11" s="278"/>
      <c r="AH11" s="278"/>
      <c r="AI11" s="278"/>
      <c r="AV11" s="260" t="str">
        <f>IF(B3="Stunty Superstar",(IF($K$40="Español","Robar Balón",(IF($K$40="Deutsch","Unerschrocken",(IF($K$40="Français","Pro","Tackle")))))),(IF($J$24="Español","Profesional",(IF($J$24="Deutsch","Tackle",(IF($J$24="Français","Prise sûre","Sure Hands")))))))</f>
        <v>Tackle</v>
      </c>
      <c r="AW11" s="258" t="s">
        <v>196</v>
      </c>
      <c r="AX11" s="260" t="str">
        <f>IF($K$40="Español","Recepción Heroica",(IF($K$40="Deutsch","Sprinten",(IF($K$40="Français","Sprint","Sneaky Git")))))</f>
        <v>Sneaky Git</v>
      </c>
      <c r="AY11" s="258" t="s">
        <v>197</v>
      </c>
      <c r="AZ11" s="260" t="str">
        <f>IF($K$40="Español","Pase Precipitado",(IF($K$40="Deutsch","Teamkapitän",(IF($K$40="Français","Perce-nuage","Pass")))))</f>
        <v>Pass</v>
      </c>
      <c r="BA11" s="258" t="s">
        <v>199</v>
      </c>
      <c r="BB11" s="258" t="str">
        <f>IF($K$40="Español","Luchador",(IF($K$40="Deutsch","Tackle durchbrechen",(IF($K$40="Français","Mateau-pilon","Stand Firm")))))</f>
        <v>Stand Firm</v>
      </c>
      <c r="BC11" s="258" t="s">
        <v>198</v>
      </c>
      <c r="BD11" s="260" t="str">
        <f>IF($K$40="Español","Piernas muy Largas",(IF($K$40="Deutsch","Verstörende Präsenz",(IF($K$40="Français","Répulsion","Tentacles")))))</f>
        <v>Tentacles</v>
      </c>
      <c r="BE11" s="258" t="s">
        <v>200</v>
      </c>
    </row>
    <row r="12" spans="1:57" s="275" customFormat="1" ht="22.5" customHeight="1">
      <c r="A12" s="262" t="str">
        <f>IF($J$40="Italiano","MUTAZIONE:",(IF($J$40="Español","MUTACIÓN:","MUTATION:")))</f>
        <v>MUTATION:</v>
      </c>
      <c r="B12" s="306"/>
      <c r="C12" s="290" t="str">
        <f>IF(B3="Stunty Superstar","ILEGAL",(IF(B12&lt;&gt;"",(IF(B3="Mercenaries",0,(IF(OR(B3="Brutal Blockers",B3="Bona Fide Big Guy"),40000,IF(B3="Legendary Linemen",30000,(IF(B12="Big Hand",30000,(IF(B12="Extra Arms",20000,(IF(B12="Two Heads",30000,(IF(B12="Very Long Legs",30000,0))))))))))))),0)))</f>
        <v>ILEGAL</v>
      </c>
      <c r="D12" s="457"/>
      <c r="E12" s="458"/>
      <c r="F12" s="290" t="str">
        <f>IF(OR($B$3="Stunty Superstar",$B$3="Brutal Blockers",$B$3="Bona Fide Big Guy",$B$3="Mercenaries"),"ILEGAL",(IF(D12&lt;&gt;"",(IF($B$3="Legendary Linemen",70000,(IF(D12="Big Hand",30000,(IF(D12="Extra Arms",20000,(IF(D12="Two Heads",30000,(IF(D12="Very Long Legs",30000,"ILEGAL")))))))))),0)))</f>
        <v>ILEGAL</v>
      </c>
      <c r="G12" s="457"/>
      <c r="H12" s="458"/>
      <c r="I12" s="290" t="str">
        <f>IF(OR($B$3="Stunty Superstar",$B$3="Brutal Blockers",$B$3="Bona Fide Big Guy",$B$3="Mercenaries"),"ILEGAL",(IF(G12&lt;&gt;"",(IF($B$3="Legendary Linemen",110000,(IF(G12="Big Hand",30000,(IF(G12="Extra Arms",20000,(IF(G12="Two Heads",30000,(IF(G12="Very Long Legs",30000,0)))))))))),0)))</f>
        <v>ILEGAL</v>
      </c>
      <c r="J12" s="457"/>
      <c r="K12" s="458"/>
      <c r="L12" s="290" t="str">
        <f>IF(OR($B$3="Stunty Superstar",$B$3="Brutal Blockers",$B$3="Bona Fide Big Guy",$B$3="Mercenaries"),"ILEGAL",(IF(J12&lt;&gt;"",(IF($B$3="Legendary Linemen",150000,(IF(J12="Big Hand",30000,(IF(J12="Extra Arms",20000,(IF(J12="Two Heads",30000,(IF(J12="Very Long Legs",30000,0)))))))))),0)))</f>
        <v>ILEGAL</v>
      </c>
      <c r="M12" s="457"/>
      <c r="N12" s="458"/>
      <c r="O12" s="290" t="str">
        <f>IF(B3&lt;&gt;"Legendary Linemen","ILEGAL",(IF(M12&lt;&gt;"",190000,0)))</f>
        <v>ILEGAL</v>
      </c>
      <c r="P12" s="457"/>
      <c r="Q12" s="458"/>
      <c r="R12" s="290" t="str">
        <f>IF(B3&lt;&gt;"Legendary Linemen","ILEGAL",(IF(P12&lt;&gt;"",230000,0)))</f>
        <v>ILEGAL</v>
      </c>
      <c r="S12" s="290">
        <f t="shared" si="1"/>
        <v>0</v>
      </c>
      <c r="T12" s="475"/>
      <c r="V12" s="295" t="s">
        <v>1271</v>
      </c>
      <c r="W12" s="296">
        <f>SUM(Y12:AI12)</f>
        <v>0</v>
      </c>
      <c r="X12" s="296"/>
      <c r="Y12" s="296">
        <f>IF(K6="ILEGAL",0,K6)</f>
        <v>0</v>
      </c>
      <c r="Z12" s="296">
        <f>IF(M6="ILEGAL",0,M6)</f>
        <v>0</v>
      </c>
      <c r="AA12" s="296">
        <f>IF(O6="ILEGAL",0,O6)</f>
        <v>0</v>
      </c>
      <c r="AB12" s="296">
        <f>IF(Q6="ILEGAL",0,Q6)</f>
        <v>0</v>
      </c>
      <c r="AC12" s="296">
        <f>IF(S6="ILEGAL",0,S6)</f>
        <v>0</v>
      </c>
      <c r="AD12" s="296">
        <f>I6</f>
        <v>0</v>
      </c>
      <c r="AE12" s="296">
        <f>S8</f>
        <v>0</v>
      </c>
      <c r="AF12" s="296">
        <f>S9</f>
        <v>0</v>
      </c>
      <c r="AG12" s="296">
        <f>S10</f>
        <v>0</v>
      </c>
      <c r="AH12" s="296">
        <f>S11</f>
        <v>0</v>
      </c>
      <c r="AI12" s="297">
        <f>S12</f>
        <v>0</v>
      </c>
      <c r="AV12" s="260" t="str">
        <f>IF(B3="Stunty Superstar",(IF($K$40="Español","Zafarse",(IF($K$40="Deutsch","Wrestling",(IF($K$40="Français","Tacle","Wrestle")))))),(IF($J$24="Español","Robar Balón",(IF($J$24="Deutsch","Unerschrocken",(IF($J$24="Français","Pro","Tackle")))))))</f>
        <v>Wrestle</v>
      </c>
      <c r="AW12" s="258" t="s">
        <v>196</v>
      </c>
      <c r="AX12" s="260" t="str">
        <f>IF($K$40="Español","Romper Defensas",(IF($K$40="Deutsch","Sprintensicher",(IF($K$40="Français","Sournois","Sprint")))))</f>
        <v>Sprint</v>
      </c>
      <c r="AY12" s="258" t="s">
        <v>197</v>
      </c>
      <c r="AZ12" s="260" t="str">
        <f>IF($K$40="Español","Pase Seguro",(IF($K$40="Deutsch","Wurfsicher",(IF($K$40="Français","Précision","Running Pass")))))</f>
        <v>Running Pass</v>
      </c>
      <c r="BA12" s="258" t="s">
        <v>199</v>
      </c>
      <c r="BB12" s="258" t="str">
        <f>IF($K$40="Español","Mantenerse Firme",(IF($K$40="Deutsch","Robust",(IF($K$40="Français","Projection","Strong Arm")))))</f>
        <v>Strong Arm</v>
      </c>
      <c r="BC12" s="258" t="s">
        <v>198</v>
      </c>
      <c r="BD12" s="260" t="str">
        <f>IF($K$40="Español","Presencia Perturbadora",(IF($K$40="Deutsch","Zwei Köpfe",(IF($K$40="Français","Tentacule","Two Heads")))))</f>
        <v>Two Heads</v>
      </c>
      <c r="BE12" s="258" t="s">
        <v>200</v>
      </c>
    </row>
    <row r="13" spans="1:57" s="275" customFormat="1" ht="15" customHeight="1">
      <c r="A13" s="268"/>
      <c r="B13" s="298"/>
      <c r="C13" s="298"/>
      <c r="D13" s="298"/>
      <c r="E13" s="298"/>
      <c r="F13" s="298"/>
      <c r="G13" s="298"/>
      <c r="H13" s="298"/>
      <c r="I13" s="298"/>
      <c r="J13" s="298"/>
      <c r="K13" s="298"/>
      <c r="L13" s="298"/>
      <c r="M13" s="298"/>
      <c r="N13" s="298"/>
      <c r="O13" s="298"/>
      <c r="P13" s="298"/>
      <c r="Q13" s="298"/>
      <c r="R13" s="298"/>
      <c r="S13" s="298"/>
      <c r="T13" s="475"/>
      <c r="V13" s="287"/>
      <c r="W13" s="287"/>
      <c r="X13" s="287"/>
      <c r="Y13" s="287"/>
      <c r="Z13" s="287"/>
      <c r="AA13" s="287"/>
      <c r="AB13" s="287"/>
      <c r="AC13" s="287"/>
      <c r="AD13" s="287"/>
      <c r="AE13" s="287"/>
      <c r="AF13" s="287"/>
      <c r="AG13" s="287"/>
      <c r="AH13" s="287"/>
      <c r="AI13" s="287"/>
      <c r="AV13" s="260" t="str">
        <f>IF(B3="Stunty Superstar","",(IF($J$24="Español","Zafarse",(IF($J$24="Deutsch","Wrestling",(IF($J$24="Français","Tacle","Wrestle")))))))</f>
        <v/>
      </c>
      <c r="AW13" s="258" t="s">
        <v>196</v>
      </c>
      <c r="AX13" s="260" t="str">
        <f>IF($K$40="Español","Saltar",(IF($K$40="Deutsch","Wehrhaft",(IF($K$40="Français","Tacle plongeant ","Sure Feet")))))</f>
        <v>Sure Feet</v>
      </c>
      <c r="AY13" s="258" t="s">
        <v>197</v>
      </c>
      <c r="AZ13" s="260" t="str">
        <f>IF($K$40="Español","Precisión",(IF($K$40="Deutsch","Zielsicher",(IF($K$40="Français","Sur le ballon","Safe Pass")))))</f>
        <v>Safe Pass</v>
      </c>
      <c r="BA13" s="258" t="s">
        <v>199</v>
      </c>
      <c r="BB13" s="258" t="str">
        <f>IF($K$40="Español","Placaje Múltiple",(IF($K$40="Deutsch","Unterstützen",(IF($K$40="Français","Stabilité","Thick Skull")))))</f>
        <v>Thick Skull</v>
      </c>
      <c r="BC13" s="258" t="s">
        <v>198</v>
      </c>
      <c r="BD13" s="260" t="str">
        <f>IF($K$40="Español","Tentáculos",(IF($K$40="Deutsch","Zusätzliche Arme",(IF($K$40="Français","Très longues jambes","Very Long Legs")))))</f>
        <v>Very Long Legs</v>
      </c>
      <c r="BE13" s="258" t="s">
        <v>200</v>
      </c>
    </row>
    <row r="14" spans="1:57" ht="21.75" customHeight="1">
      <c r="A14" s="477" t="str">
        <f>IF(Roster!$J$25="Italiano","MERCENARIO 2",(IF(Roster!$J$25="Español","MERCENARIO 2",(IF(Roster!$J$25="Français","MERCENAIRE 2","MERCENARY 2")))))</f>
        <v>MERCENARIO 2</v>
      </c>
      <c r="B14" s="477"/>
      <c r="C14" s="477"/>
      <c r="D14" s="477"/>
      <c r="E14" s="477"/>
      <c r="F14" s="477"/>
      <c r="G14" s="477"/>
      <c r="H14" s="477"/>
      <c r="I14" s="477"/>
      <c r="J14" s="477"/>
      <c r="K14" s="477"/>
      <c r="L14" s="477"/>
      <c r="M14" s="477"/>
      <c r="N14" s="477"/>
      <c r="O14" s="477"/>
      <c r="P14" s="477"/>
      <c r="Q14" s="477"/>
      <c r="R14" s="477"/>
      <c r="S14" s="477"/>
      <c r="T14" s="475"/>
    </row>
    <row r="15" spans="1:57" s="275" customFormat="1" ht="22.5" customHeight="1">
      <c r="A15" s="262" t="str">
        <f>IF(Roster!$J$25="Italiano","MERCENARIO 2",(IF(Roster!$J$25="Español","MERCENARIO 2",(IF(Roster!$J$25="Français","MERCENAIRE 2","MERCENARY 2")))))</f>
        <v>MERCENARIO 2</v>
      </c>
      <c r="B15" s="262" t="str">
        <f>IF(Roster!$J$25="Italiano","TIPO",(IF(Roster!$J$25="Español","TIPO",(IF(Roster!$J$25="Deutsch","POSITION",(IF(Roster!$J$25="Français","POSTE","TYPE")))))))</f>
        <v>TIPO</v>
      </c>
      <c r="C15" s="262" t="str">
        <f>IF(Roster!$J$25="Español","MO",(IF(Roster!$J$25="Deutsch","BE",(IF(Roster!$J$25="Français","M","MA")))))</f>
        <v>MA</v>
      </c>
      <c r="D15" s="262" t="str">
        <f>IF(Roster!$J$25="Español","FU",(IF(Roster!$J$25="Français","F","ST")))</f>
        <v>ST</v>
      </c>
      <c r="E15" s="262" t="str">
        <f>IF(Roster!$J$25="Deutsch","GE","AG")</f>
        <v>AG</v>
      </c>
      <c r="F15" s="262" t="str">
        <f>IF(Roster!$J$25="Deutsch","WG",(IF(Roster!$J$25="Français","CP","PA")))</f>
        <v>PA</v>
      </c>
      <c r="G15" s="262" t="str">
        <f>IF(Roster!$J$25="Español","AR",(IF(Roster!$J$25="Deutsch","RW",(IF(Roster!$J$25="Français","AR","AV")))))</f>
        <v>AV</v>
      </c>
      <c r="H15" s="466" t="str">
        <f>IF(Roster!$J$25="Italiano","ABILITÀ",(IF(Roster!$J$25="Español","HABILIDADES",(IF(Roster!$J$25="Deutsch","FERTIGKEITEN",(IF(Roster!$J$25="Français","COMPÉTENCES","SKILLS")))))))</f>
        <v>ABILITÀ</v>
      </c>
      <c r="I15" s="467"/>
      <c r="J15" s="467"/>
      <c r="K15" s="467"/>
      <c r="L15" s="467"/>
      <c r="M15" s="467"/>
      <c r="N15" s="467"/>
      <c r="O15" s="467"/>
      <c r="P15" s="467"/>
      <c r="Q15" s="467"/>
      <c r="R15" s="468"/>
      <c r="S15" s="262" t="str">
        <f>IF(Roster!$J$25="Italiano","COSTO",(IF(Roster!$J$25="Español","PRECIO",(IF(Roster!$J$25="Deutsch","WERT",(IF(Roster!$J$25="Français","VALEUR","COST")))))))</f>
        <v>COSTO</v>
      </c>
      <c r="T15" s="475"/>
      <c r="V15" s="276" t="s">
        <v>261</v>
      </c>
      <c r="W15" s="277" t="s">
        <v>206</v>
      </c>
      <c r="X15" s="278"/>
      <c r="Y15" s="276" t="s">
        <v>1273</v>
      </c>
      <c r="Z15" s="279"/>
      <c r="AA15" s="279"/>
      <c r="AB15" s="277"/>
      <c r="AC15" s="278"/>
      <c r="AD15" s="278"/>
      <c r="AE15" s="278"/>
      <c r="AF15" s="276" t="s">
        <v>1278</v>
      </c>
      <c r="AG15" s="279"/>
      <c r="AH15" s="279"/>
      <c r="AI15" s="277"/>
      <c r="AK15" s="463" t="s">
        <v>1318</v>
      </c>
      <c r="AL15" s="464"/>
      <c r="AM15" s="464"/>
      <c r="AN15" s="464"/>
      <c r="AO15" s="465"/>
      <c r="AP15" s="463" t="s">
        <v>1319</v>
      </c>
      <c r="AQ15" s="464"/>
      <c r="AR15" s="464"/>
      <c r="AS15" s="464"/>
      <c r="AT15" s="465"/>
      <c r="AV15" s="223"/>
    </row>
    <row r="16" spans="1:57" s="275" customFormat="1" ht="30" customHeight="1">
      <c r="A16" s="306"/>
      <c r="B16" s="306" t="s">
        <v>1272</v>
      </c>
      <c r="C16" s="280" t="str">
        <f>IF((VLOOKUP(B16,Y18:AD23,2,FALSE))+J19+(IF(AE16="G",-2,0))+(IF(OR(AE16="O",AE16="N"),-1,0))=0,"",(VLOOKUP(B16,Y18:AD23,2,FALSE))+J19+(IF(AE16="G",-2,0))+(IF(OR(AE16="O",AE16="N"),-1,0)))</f>
        <v/>
      </c>
      <c r="D16" s="280" t="str">
        <f>IF((VLOOKUP(B16,Y18:AD23,3,FALSE))+L19+(IF(AE16="G",3,0))+(IF(OR(AE16="O",AE16="N"),2,0))=0,"",(VLOOKUP(B16,Y18:AD23,3,FALSE))+L19+(IF(AE16="G",3,0))+(IF(OR(AE16="O",AE16="N"),2,0)))</f>
        <v/>
      </c>
      <c r="E16" s="280" t="str">
        <f>IF((VLOOKUP(B16,Y18:AD23,4,FALSE)+N19+(IF(AE16="J",1,0)))=0,"",(VLOOKUP(B16,Y18:AD23,4,FALSE)+N19+(IF(AE16="J",1,0))&amp;"+"))</f>
        <v/>
      </c>
      <c r="F16" s="280" t="str">
        <f>IF((VLOOKUP(B16,Y18:AD23,5,FALSE)+P19)=0,"",(VLOOKUP(B16,Y18:AD23,5,FALSE)+P19&amp;"+"))</f>
        <v/>
      </c>
      <c r="G16" s="280" t="str">
        <f>IF((VLOOKUP(B16,Y18:AD23,6,FALSE)+R19)=0,"",(VLOOKUP(B16,Y18:AD23,6,FALSE)+R19&amp;"+"))</f>
        <v/>
      </c>
      <c r="H16" s="469" t="str">
        <f>Y16&amp;(IF(Z16&lt;&gt;"",", ",""))&amp;Z16&amp;(IF(AA16&lt;&gt;"",", ",""))&amp;AA16&amp;(IF(AB16&lt;&gt;"",", ",""))&amp;AB16&amp;(IF(AF16&lt;&gt;"",", ",""))&amp;AF16&amp;(IF(AG16&lt;&gt;"",", ",""))&amp;AG16&amp;(IF(AH16&lt;&gt;"",", ",""))&amp;AH16&amp;(IF(AI16&lt;&gt;"",", ",""))&amp;AI16&amp;AK21</f>
        <v/>
      </c>
      <c r="I16" s="470"/>
      <c r="J16" s="470"/>
      <c r="K16" s="470"/>
      <c r="L16" s="470"/>
      <c r="M16" s="470"/>
      <c r="N16" s="470"/>
      <c r="O16" s="470"/>
      <c r="P16" s="470"/>
      <c r="Q16" s="470"/>
      <c r="R16" s="471"/>
      <c r="S16" s="280">
        <f>(VLOOKUP(B16,Y18:AI23,11,FALSE))+W25</f>
        <v>0</v>
      </c>
      <c r="T16" s="475"/>
      <c r="V16" s="281"/>
      <c r="W16" s="282">
        <v>0</v>
      </c>
      <c r="X16" s="267"/>
      <c r="Y16" s="283" t="str">
        <f>VLOOKUP(B16,Y18:AH23,7,FALSE)</f>
        <v/>
      </c>
      <c r="Z16" s="284" t="str">
        <f>VLOOKUP(B16,Y18:AH23,8,FALSE)</f>
        <v/>
      </c>
      <c r="AA16" s="284" t="str">
        <f>VLOOKUP(B16,Y18:AH23,9,FALSE)</f>
        <v/>
      </c>
      <c r="AB16" s="285" t="str">
        <f>VLOOKUP(B16,Y18:AH23,10,FALSE)</f>
        <v/>
      </c>
      <c r="AC16" s="278"/>
      <c r="AD16" s="278"/>
      <c r="AE16" s="278" t="str">
        <f>IFERROR((VLOOKUP(A19,R41:W55,2,FALSE)),"")</f>
        <v/>
      </c>
      <c r="AF16" s="283" t="str">
        <f>IFERROR((VLOOKUP(A19,R41:W55,3,FALSE)),"")</f>
        <v/>
      </c>
      <c r="AG16" s="284" t="str">
        <f>IFERROR((VLOOKUP(A19,R41:W55,4,FALSE)),"")</f>
        <v/>
      </c>
      <c r="AH16" s="284" t="str">
        <f>IFERROR((VLOOKUP(A19,R41:W55,5,FALSE)),"")</f>
        <v/>
      </c>
      <c r="AI16" s="285" t="str">
        <f>IFERROR((VLOOKUP(A19,R41:W55,6,FALSE)),"")</f>
        <v/>
      </c>
      <c r="AK16" s="286">
        <v>0</v>
      </c>
      <c r="AL16" s="287">
        <v>0</v>
      </c>
      <c r="AM16" s="287">
        <v>0</v>
      </c>
      <c r="AN16" s="287">
        <v>0</v>
      </c>
      <c r="AO16" s="282">
        <v>0</v>
      </c>
      <c r="AP16" s="286">
        <v>0</v>
      </c>
      <c r="AQ16" s="287">
        <v>0</v>
      </c>
      <c r="AR16" s="287">
        <v>0</v>
      </c>
      <c r="AS16" s="287">
        <v>0</v>
      </c>
      <c r="AT16" s="282">
        <v>0</v>
      </c>
      <c r="AV16" s="299"/>
    </row>
    <row r="17" spans="1:48" s="275" customFormat="1" ht="22.5" customHeight="1">
      <c r="A17" s="476" t="str">
        <f>IF(AR3="Italiano","AVANZAMIENTO GIOCATORI",(IF(AR3="Español","MEJORAS DEL JUGADORE",(IF(AR3="Deutsch","SPIELERVERBESSERUNGEN",(IF(AR3="Français","AMÉLIORATIONS DE JOUEUR","PLAYER UPGRADES")))))))</f>
        <v>PLAYER UPGRADES</v>
      </c>
      <c r="B17" s="476"/>
      <c r="C17" s="476"/>
      <c r="D17" s="476"/>
      <c r="E17" s="476"/>
      <c r="F17" s="476"/>
      <c r="G17" s="476"/>
      <c r="H17" s="476"/>
      <c r="I17" s="476"/>
      <c r="J17" s="476"/>
      <c r="K17" s="476"/>
      <c r="L17" s="476"/>
      <c r="M17" s="476"/>
      <c r="N17" s="476"/>
      <c r="O17" s="476"/>
      <c r="P17" s="476"/>
      <c r="Q17" s="476"/>
      <c r="R17" s="476"/>
      <c r="S17" s="476"/>
      <c r="T17" s="475"/>
      <c r="V17" s="281" t="str">
        <f t="shared" ref="V17:W23" si="2">IF($B$16="Stunty Superstar",C43,(IF($B$16="Legendary Linemen",F43,(IF($B$16="Brutal Blockers",I43,(IF($B$16="Reliable Ringers",L43,(IF($B$16="Bona Fide Big Guy",O43,"")))))))))</f>
        <v/>
      </c>
      <c r="W17" s="282" t="str">
        <f t="shared" si="2"/>
        <v/>
      </c>
      <c r="X17" s="278"/>
      <c r="Y17" s="278"/>
      <c r="Z17" s="278"/>
      <c r="AA17" s="278"/>
      <c r="AB17" s="278"/>
      <c r="AC17" s="278"/>
      <c r="AD17" s="278"/>
      <c r="AE17" s="278"/>
      <c r="AF17" s="278"/>
      <c r="AG17" s="278"/>
      <c r="AH17" s="278"/>
      <c r="AI17" s="278"/>
      <c r="AK17" s="286">
        <v>1</v>
      </c>
      <c r="AL17" s="287">
        <v>0</v>
      </c>
      <c r="AM17" s="287">
        <f>IF(B16="Legendary Linemen",0,-1)</f>
        <v>-1</v>
      </c>
      <c r="AN17" s="287">
        <f>IF(B16="Brutal Blockers",0,-1)</f>
        <v>-1</v>
      </c>
      <c r="AO17" s="282">
        <v>1</v>
      </c>
      <c r="AP17" s="286">
        <f>IF(OR(B16="Legendary Linemen",B16="Bona Fide Big Guy"),20000,30000)</f>
        <v>30000</v>
      </c>
      <c r="AQ17" s="287">
        <v>0</v>
      </c>
      <c r="AR17" s="287">
        <f>IF(OR(B16="Stunty Superstar",B16="Bona Fide Big Guy"),40000,(IF(B16="Legendary Linemen",0,50000)))</f>
        <v>50000</v>
      </c>
      <c r="AS17" s="287">
        <f>IF(B16="Brutal Blockers",0,30000)</f>
        <v>30000</v>
      </c>
      <c r="AT17" s="282">
        <f>IF(B16="Stunty Superstar",30000,(IF(B16="Reliable Ringers",40000,20000)))</f>
        <v>20000</v>
      </c>
      <c r="AV17" s="299"/>
    </row>
    <row r="18" spans="1:48" s="275" customFormat="1" ht="22.5" customHeight="1">
      <c r="A18" s="466" t="s">
        <v>1270</v>
      </c>
      <c r="B18" s="467"/>
      <c r="C18" s="467"/>
      <c r="D18" s="467"/>
      <c r="E18" s="467"/>
      <c r="F18" s="467"/>
      <c r="G18" s="467"/>
      <c r="H18" s="468"/>
      <c r="I18" s="262" t="str">
        <f>IF(Roster!$J$25="Italiano","COSTO",(IF(Roster!$J$25="Español","PRECIO",(IF(Roster!$J$25="Deutsch","WERT",(IF(Roster!$J$25="Français","VALEUR","COST")))))))</f>
        <v>COSTO</v>
      </c>
      <c r="J18" s="262" t="str">
        <f>IF(Roster!$J$25="Español","MO",(IF(Roster!$J$25="Deutsch","BE",(IF(Roster!$J$25="Français","M","MA")))))</f>
        <v>MA</v>
      </c>
      <c r="K18" s="262" t="str">
        <f>IF(Roster!$J$25="Italiano","COSTO",(IF(Roster!$J$25="Español","PRECIO",(IF(Roster!$J$25="Deutsch","WERT",(IF(Roster!$J$25="Français","VALEUR","COST")))))))</f>
        <v>COSTO</v>
      </c>
      <c r="L18" s="262" t="str">
        <f>IF(Roster!$J$25="Español","FU",(IF(Roster!$J$25="Français","F","ST")))</f>
        <v>ST</v>
      </c>
      <c r="M18" s="262" t="str">
        <f>IF(Roster!$J$25="Italiano","COSTO",(IF(Roster!$J$25="Español","PRECIO",(IF(Roster!$J$25="Deutsch","WERT",(IF(Roster!$J$25="Français","VALEUR","COST")))))))</f>
        <v>COSTO</v>
      </c>
      <c r="N18" s="262" t="str">
        <f>IF(Roster!$J$25="Deutsch","GE","AG")</f>
        <v>AG</v>
      </c>
      <c r="O18" s="262" t="str">
        <f>IF(Roster!$J$25="Italiano","COSTO",(IF(Roster!$J$25="Español","PRECIO",(IF(Roster!$J$25="Deutsch","WERT",(IF(Roster!$J$25="Français","VALEUR","COST")))))))</f>
        <v>COSTO</v>
      </c>
      <c r="P18" s="262" t="str">
        <f>IF(Roster!$J$25="Deutsch","WG",(IF(Roster!$J$25="Français","CP","PA")))</f>
        <v>PA</v>
      </c>
      <c r="Q18" s="262" t="str">
        <f>IF(Roster!$J$25="Italiano","COSTO",(IF(Roster!$J$25="Español","PRECIO",(IF(Roster!$J$25="Deutsch","WERT",(IF(Roster!$J$25="Français","VALEUR","COST")))))))</f>
        <v>COSTO</v>
      </c>
      <c r="R18" s="262" t="str">
        <f>IF(Roster!$J$25="Español","AR",(IF(Roster!$J$25="Deutsch","RW",(IF(Roster!$J$25="Français","AR","AV")))))</f>
        <v>AV</v>
      </c>
      <c r="S18" s="262" t="str">
        <f>IF(Roster!$J$25="Italiano","COSTO",(IF(Roster!$J$25="Español","PRECIO",(IF(Roster!$J$25="Deutsch","WERT",(IF(Roster!$J$25="Français","VALEUR","COST")))))))</f>
        <v>COSTO</v>
      </c>
      <c r="T18" s="475"/>
      <c r="U18" s="265"/>
      <c r="V18" s="281" t="str">
        <f t="shared" si="2"/>
        <v/>
      </c>
      <c r="W18" s="282" t="str">
        <f t="shared" si="2"/>
        <v/>
      </c>
      <c r="X18" s="278"/>
      <c r="Y18" s="276" t="s">
        <v>1272</v>
      </c>
      <c r="Z18" s="288">
        <v>0</v>
      </c>
      <c r="AA18" s="288">
        <v>0</v>
      </c>
      <c r="AB18" s="288">
        <v>0</v>
      </c>
      <c r="AC18" s="288">
        <v>0</v>
      </c>
      <c r="AD18" s="288">
        <v>0</v>
      </c>
      <c r="AE18" s="279" t="str">
        <f>""</f>
        <v/>
      </c>
      <c r="AF18" s="279" t="str">
        <f>""</f>
        <v/>
      </c>
      <c r="AG18" s="279" t="str">
        <f>""</f>
        <v/>
      </c>
      <c r="AH18" s="279" t="str">
        <f>""</f>
        <v/>
      </c>
      <c r="AI18" s="289">
        <v>0</v>
      </c>
      <c r="AK18" s="286">
        <v>2</v>
      </c>
      <c r="AL18" s="287">
        <v>0</v>
      </c>
      <c r="AM18" s="287">
        <f>IF(B16="Legendary Linemen",0,-2)</f>
        <v>-2</v>
      </c>
      <c r="AN18" s="287">
        <f>IF(B16="Brutal Blockers",0,-2)</f>
        <v>-2</v>
      </c>
      <c r="AO18" s="282">
        <v>2</v>
      </c>
      <c r="AP18" s="286">
        <f>IF(OR(B16="Stunty Superstar",B16="Reliable Ringers"),48000,(IF(B16="Legendary Linemen",40000,50000)))</f>
        <v>50000</v>
      </c>
      <c r="AQ18" s="287">
        <v>0</v>
      </c>
      <c r="AR18" s="287">
        <f>IF(OR(B16="Stunty Superstar",B16="Bona Fide Big Guy"),80000,(IF(B16="Legendary Linemen",0,100000)))</f>
        <v>100000</v>
      </c>
      <c r="AS18" s="287">
        <f>IF(B16="Brutal Blockers",0,70000)</f>
        <v>70000</v>
      </c>
      <c r="AT18" s="282">
        <f>IF(B16="Stunty Superstar",48000,(IF(B16="Reliable Ringers",80000,40000)))</f>
        <v>40000</v>
      </c>
      <c r="AV18" s="299"/>
    </row>
    <row r="19" spans="1:48" s="275" customFormat="1" ht="22.5" customHeight="1">
      <c r="A19" s="472"/>
      <c r="B19" s="473"/>
      <c r="C19" s="473"/>
      <c r="D19" s="473"/>
      <c r="E19" s="473"/>
      <c r="F19" s="473"/>
      <c r="G19" s="473"/>
      <c r="H19" s="474"/>
      <c r="I19" s="290">
        <f>IFERROR((VLOOKUP(A19,V17:W23,2,FALSE)),0)</f>
        <v>0</v>
      </c>
      <c r="J19" s="306">
        <v>0</v>
      </c>
      <c r="K19" s="290">
        <f>IFERROR((VLOOKUP(J19,AK16:AT20,6,FALSE)),"ILEGAL")</f>
        <v>0</v>
      </c>
      <c r="L19" s="306">
        <v>0</v>
      </c>
      <c r="M19" s="290">
        <f>IFERROR((VLOOKUP(L19,AL16:AT20,6,FALSE)),"ILEGAL")</f>
        <v>0</v>
      </c>
      <c r="N19" s="306">
        <v>0</v>
      </c>
      <c r="O19" s="290">
        <f>IFERROR((VLOOKUP(N19,AM16:AT20,6,FALSE)),"ILEGAL")</f>
        <v>0</v>
      </c>
      <c r="P19" s="306">
        <v>0</v>
      </c>
      <c r="Q19" s="290">
        <f>IFERROR((VLOOKUP(P19,AN16:AT20,6,FALSE)),"ILEGAL")</f>
        <v>0</v>
      </c>
      <c r="R19" s="306">
        <v>0</v>
      </c>
      <c r="S19" s="290">
        <f>IFERROR((VLOOKUP(R19,AO16:AT20,6,FALSE)),"ILEGAL")</f>
        <v>0</v>
      </c>
      <c r="T19" s="475"/>
      <c r="V19" s="281" t="str">
        <f t="shared" si="2"/>
        <v/>
      </c>
      <c r="W19" s="282" t="str">
        <f t="shared" si="2"/>
        <v/>
      </c>
      <c r="X19" s="278"/>
      <c r="Y19" s="281" t="s">
        <v>1274</v>
      </c>
      <c r="Z19" s="287">
        <v>5</v>
      </c>
      <c r="AA19" s="287">
        <v>2</v>
      </c>
      <c r="AB19" s="287">
        <v>3</v>
      </c>
      <c r="AC19" s="287">
        <v>4</v>
      </c>
      <c r="AD19" s="287">
        <v>6</v>
      </c>
      <c r="AE19" s="291" t="str">
        <f>IF(((COUNTIF(AE16,"A"))+(COUNTIF(AE16,"B"))+(COUNTIF(AE16,"H"))+(COUNTIF(AE16,"I"))+(COUNTIF(AE16,"M")))=1,"Loner (5+)","Loner (4+)")</f>
        <v>Loner (4+)</v>
      </c>
      <c r="AF19" s="291" t="s">
        <v>272</v>
      </c>
      <c r="AG19" s="291" t="s">
        <v>1275</v>
      </c>
      <c r="AH19" s="291" t="s">
        <v>1276</v>
      </c>
      <c r="AI19" s="282">
        <v>30000</v>
      </c>
      <c r="AK19" s="286">
        <v>-1</v>
      </c>
      <c r="AL19" s="287">
        <v>-1</v>
      </c>
      <c r="AM19" s="287">
        <v>1</v>
      </c>
      <c r="AN19" s="287">
        <v>1</v>
      </c>
      <c r="AO19" s="282">
        <v>-1</v>
      </c>
      <c r="AP19" s="286">
        <v>-10000</v>
      </c>
      <c r="AQ19" s="287">
        <v>-10000</v>
      </c>
      <c r="AR19" s="287">
        <v>-10000</v>
      </c>
      <c r="AS19" s="287">
        <v>-10000</v>
      </c>
      <c r="AT19" s="282">
        <v>-10000</v>
      </c>
      <c r="AV19" s="299"/>
    </row>
    <row r="20" spans="1:48" s="275" customFormat="1" ht="22.5" customHeight="1">
      <c r="A20" s="266" t="str">
        <f>IF(Roster!$J$25="Italiano","TIPO",(IF(Roster!$J$25="Español","TIPO",(IF(Roster!$J$25="Deutsch","POSITION",(IF(Roster!$J$25="Français","POSTE","TYPE")))))))</f>
        <v>TIPO</v>
      </c>
      <c r="B20" s="264" t="str">
        <f>IF($J$40="Italiano","AVANZAMENTO 1",(IF($J$40="Español","MEJORA 1",(IF($J$40="Deutsch","VERBES-SERUNG 1",(IF($J$40="Français","AMÉLIORATION 1","UPGRADE 1")))))))</f>
        <v>UPGRADE 1</v>
      </c>
      <c r="C20" s="263" t="str">
        <f>IF(Roster!$J$25="Italiano","COSTO",(IF(Roster!$J$25="Español","PRECIO",(IF(Roster!$J$25="Deutsch","WERT",(IF(Roster!$J$25="Français","VALEUR","COST")))))))</f>
        <v>COSTO</v>
      </c>
      <c r="D20" s="459" t="str">
        <f>IF($J$40="Italiano","AVANZAMENTO 2",(IF($J$40="Español","MEJORA 2",(IF($J$40="Deutsch","VERBES-SERUNG 2",(IF($J$40="Français","AMÉLIORATION 2","UPGRADE 2")))))))</f>
        <v>UPGRADE 2</v>
      </c>
      <c r="E20" s="460"/>
      <c r="F20" s="263" t="str">
        <f>IF(Roster!$J$25="Italiano","COSTO",(IF(Roster!$J$25="Español","PRECIO",(IF(Roster!$J$25="Deutsch","WERT",(IF(Roster!$J$25="Français","VALEUR","COST")))))))</f>
        <v>COSTO</v>
      </c>
      <c r="G20" s="459" t="str">
        <f>IF($J$40="Italiano","AVANZAMENTO 3",(IF($J$40="Español","MEJORA 3",(IF($J$40="Deutsch","VERBES-SERUNG 3",(IF($J$40="Français","AMÉLIORATION 3","UPGRADE 3")))))))</f>
        <v>UPGRADE 3</v>
      </c>
      <c r="H20" s="460"/>
      <c r="I20" s="262" t="str">
        <f>IF(Roster!$J$25="Italiano","COSTO",(IF(Roster!$J$25="Español","PRECIO",(IF(Roster!$J$25="Deutsch","WERT",(IF(Roster!$J$25="Français","VALEUR","COST")))))))</f>
        <v>COSTO</v>
      </c>
      <c r="J20" s="459" t="str">
        <f>IF($J$40="Italiano","AVANZAMENTO 4",(IF($J$40="Español","MEJORA 4",(IF($J$40="Deutsch","VERBES-SERUNG 4",(IF($J$40="Français","AMÉLIORATION 4","UPGRADE 4")))))))</f>
        <v>UPGRADE 4</v>
      </c>
      <c r="K20" s="460"/>
      <c r="L20" s="262" t="str">
        <f>IF(Roster!$J$25="Italiano","COSTO",(IF(Roster!$J$25="Español","PRECIO",(IF(Roster!$J$25="Deutsch","WERT",(IF(Roster!$J$25="Français","VALEUR","COST")))))))</f>
        <v>COSTO</v>
      </c>
      <c r="M20" s="459" t="str">
        <f>IF($J$40="Italiano","AVANZAMENTO 5",(IF($J$40="Español","MEJORA 5",(IF($J$40="Deutsch","VERBES-SERUNG 5",(IF($J$40="Français","AMÉLIORATION 5","UPGRADE 5")))))))</f>
        <v>UPGRADE 5</v>
      </c>
      <c r="N20" s="460"/>
      <c r="O20" s="262" t="str">
        <f>IF(Roster!$J$25="Italiano","COSTO",(IF(Roster!$J$25="Español","PRECIO",(IF(Roster!$J$25="Deutsch","WERT",(IF(Roster!$J$25="Français","VALEUR","COST")))))))</f>
        <v>COSTO</v>
      </c>
      <c r="P20" s="459" t="str">
        <f>IF($J$40="Italiano","AVANZAMENTO 6",(IF($J$40="Español","MEJORA 6",(IF($J$40="Deutsch","VERBES-SERUNG 6",(IF($J$40="Français","AMÉLIORATION 6","UPGRADE 6")))))))</f>
        <v>UPGRADE 6</v>
      </c>
      <c r="Q20" s="460"/>
      <c r="R20" s="262" t="str">
        <f>IF(Roster!$J$25="Italiano","COSTO",(IF(Roster!$J$25="Español","PRECIO",(IF(Roster!$J$25="Deutsch","WERT",(IF(Roster!$J$25="Français","VALEUR","COST")))))))</f>
        <v>COSTO</v>
      </c>
      <c r="S20" s="262" t="s">
        <v>1271</v>
      </c>
      <c r="T20" s="475"/>
      <c r="V20" s="281" t="str">
        <f t="shared" si="2"/>
        <v/>
      </c>
      <c r="W20" s="282" t="str">
        <f t="shared" si="2"/>
        <v/>
      </c>
      <c r="X20" s="278"/>
      <c r="Y20" s="281" t="s">
        <v>1277</v>
      </c>
      <c r="Z20" s="287">
        <v>6</v>
      </c>
      <c r="AA20" s="287">
        <v>3</v>
      </c>
      <c r="AB20" s="287">
        <v>3</v>
      </c>
      <c r="AC20" s="287">
        <v>4</v>
      </c>
      <c r="AD20" s="287">
        <v>9</v>
      </c>
      <c r="AE20" s="291" t="str">
        <f>IF(((COUNTIF(AE16,"A"))+(COUNTIF(AE16,"B"))+(COUNTIF(AE16,"H"))+(COUNTIF(AE16,"I"))+(COUNTIF(AE16,"M")))=1,"Loner (5+)","Loner (4+)")</f>
        <v>Loner (4+)</v>
      </c>
      <c r="AF20" s="291" t="str">
        <f>""</f>
        <v/>
      </c>
      <c r="AG20" s="291" t="str">
        <f>""</f>
        <v/>
      </c>
      <c r="AH20" s="291" t="str">
        <f>""</f>
        <v/>
      </c>
      <c r="AI20" s="282">
        <v>50000</v>
      </c>
      <c r="AK20" s="292">
        <v>-2</v>
      </c>
      <c r="AL20" s="293">
        <f>IF(B16="Stunty Superstar",0,-2)</f>
        <v>-2</v>
      </c>
      <c r="AM20" s="293">
        <v>2</v>
      </c>
      <c r="AN20" s="293">
        <v>2</v>
      </c>
      <c r="AO20" s="294">
        <v>-2</v>
      </c>
      <c r="AP20" s="292">
        <v>-20000</v>
      </c>
      <c r="AQ20" s="293">
        <v>-20000</v>
      </c>
      <c r="AR20" s="293">
        <v>-20000</v>
      </c>
      <c r="AS20" s="293">
        <v>-20000</v>
      </c>
      <c r="AT20" s="294">
        <v>-20000</v>
      </c>
      <c r="AV20" s="299"/>
    </row>
    <row r="21" spans="1:48" s="275" customFormat="1" ht="22.5" customHeight="1">
      <c r="A21" s="261" t="str">
        <f>IF($J$40="Italiano","GENERALE:",(IF($J$40="Français","GÉNÉRALE:","GENERAL:")))</f>
        <v>GENERAL:</v>
      </c>
      <c r="B21" s="306"/>
      <c r="C21" s="290">
        <f>IF(B21&lt;&gt;"",(IF(B16="Legendary Linemen",20000,(IF(B16="Reliable Ringers",30000,(IF(B16="Mercenaries",0,40000)))))),0)</f>
        <v>0</v>
      </c>
      <c r="D21" s="457"/>
      <c r="E21" s="458"/>
      <c r="F21" s="290" t="str">
        <f>IF(B16&lt;&gt;"Legendary Linemen","ILEGAL",(IF(D21&lt;&gt;"",50000,0)))</f>
        <v>ILEGAL</v>
      </c>
      <c r="G21" s="457"/>
      <c r="H21" s="458"/>
      <c r="I21" s="290" t="str">
        <f>IF(B16&lt;&gt;"Legendary Linemen","ILEGAL",(IF(G21&lt;&gt;"",80000,0)))</f>
        <v>ILEGAL</v>
      </c>
      <c r="J21" s="457"/>
      <c r="K21" s="458"/>
      <c r="L21" s="290" t="str">
        <f>IF(B16&lt;&gt;"Legendary Linemen","ILEGAL",(IF(J21&lt;&gt;"",110000,0)))</f>
        <v>ILEGAL</v>
      </c>
      <c r="M21" s="457"/>
      <c r="N21" s="458"/>
      <c r="O21" s="290" t="str">
        <f>IF(B16&lt;&gt;"Legendary Linemen","ILEGAL",(IF(M21&lt;&gt;"",140000,0)))</f>
        <v>ILEGAL</v>
      </c>
      <c r="P21" s="457"/>
      <c r="Q21" s="458"/>
      <c r="R21" s="290" t="str">
        <f>IF(B16&lt;&gt;"Legendary Linemen","ILEGAL",(IF(P21&lt;&gt;"",170000,0)))</f>
        <v>ILEGAL</v>
      </c>
      <c r="S21" s="290">
        <f>SUM(C21,F21,I21,L21,O21,R21)</f>
        <v>0</v>
      </c>
      <c r="T21" s="475"/>
      <c r="V21" s="281" t="str">
        <f t="shared" si="2"/>
        <v/>
      </c>
      <c r="W21" s="282" t="str">
        <f t="shared" si="2"/>
        <v/>
      </c>
      <c r="X21" s="278"/>
      <c r="Y21" s="281" t="s">
        <v>1279</v>
      </c>
      <c r="Z21" s="287">
        <v>4</v>
      </c>
      <c r="AA21" s="287">
        <v>4</v>
      </c>
      <c r="AB21" s="287">
        <v>4</v>
      </c>
      <c r="AC21" s="287">
        <v>6</v>
      </c>
      <c r="AD21" s="287">
        <v>9</v>
      </c>
      <c r="AE21" s="291" t="str">
        <f>IF(((COUNTIF(AE16,"A"))+(COUNTIF(AE16,"B"))+(COUNTIF(AE16,"H"))+(COUNTIF(AE16,"I"))+(COUNTIF(AE16,"M")))=1,"Loner (5+)","Loner (4+)")</f>
        <v>Loner (4+)</v>
      </c>
      <c r="AF21" s="291" t="str">
        <f>IF(OR(AE16="H",AE16="M"),"Mighty Blow (+2)","")</f>
        <v/>
      </c>
      <c r="AG21" s="291" t="str">
        <f>""</f>
        <v/>
      </c>
      <c r="AH21" s="291" t="str">
        <f>""</f>
        <v/>
      </c>
      <c r="AI21" s="282">
        <v>70000</v>
      </c>
      <c r="AK21" s="278"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9"/>
    </row>
    <row r="22" spans="1:48" s="275" customFormat="1" ht="22.5" customHeight="1">
      <c r="A22" s="261" t="str">
        <f>IF($J$40="Italiano","FORZA:",(IF($J$40="Español","FUERZA:",(IF($J$40="Français","FORCE:","STRENGTH:")))))</f>
        <v>STRENGTH:</v>
      </c>
      <c r="B22" s="306"/>
      <c r="C22" s="290">
        <f>IF(B22&lt;&gt;"",(IF(B16="Stunty Superstar",0,(IF(B16="Reliable Ringers",50000,(IF(B16="Mercenaries",0,30000)))))),0)</f>
        <v>0</v>
      </c>
      <c r="D22" s="457"/>
      <c r="E22" s="458"/>
      <c r="F22" s="290" t="str">
        <f>IF($B$3&lt;&gt;"Brutal Blockers",(IF($B$3&lt;&gt;"Bona Fide Big Guy","ILEGAL",(IF(D22&lt;&gt;"",70000,0)))),(IF(D22&lt;&gt;"",70000,0)))</f>
        <v>ILEGAL</v>
      </c>
      <c r="G22" s="457"/>
      <c r="H22" s="458"/>
      <c r="I22" s="290" t="str">
        <f>IF($B$3&lt;&gt;"Brutal Blockers",(IF($B$3&lt;&gt;"Bona Fide Big Guy","ILEGAL",(IF(G22&lt;&gt;"",110000,0)))),(IF(G22&lt;&gt;"",110000,0)))</f>
        <v>ILEGAL</v>
      </c>
      <c r="J22" s="457"/>
      <c r="K22" s="458"/>
      <c r="L22" s="290" t="str">
        <f>IF($B$3&lt;&gt;"Brutal Blockers",(IF($B$3&lt;&gt;"Bona Fide Big Guy","ILEGAL",(IF(J22&lt;&gt;"",150000,0)))),(IF(J22&lt;&gt;"",150000,0)))</f>
        <v>ILEGAL</v>
      </c>
      <c r="M22" s="457"/>
      <c r="N22" s="458"/>
      <c r="O22" s="290" t="str">
        <f>IF($B$3&lt;&gt;"Brutal Blockers",(IF($B$3&lt;&gt;"Bona Fide Big Guy","ILEGAL",(IF(M22&lt;&gt;"",190000,0)))),(IF(M22&lt;&gt;"",190000,0)))</f>
        <v>ILEGAL</v>
      </c>
      <c r="P22" s="457"/>
      <c r="Q22" s="458"/>
      <c r="R22" s="290" t="str">
        <f>IF($B$3&lt;&gt;"Brutal Blockers",(IF($B$3&lt;&gt;"Bona Fide Big Guy","ILEGAL",(IF(P22&lt;&gt;"",230000,0)))),(IF(P22&lt;&gt;"",230000,0)))</f>
        <v>ILEGAL</v>
      </c>
      <c r="S22" s="290">
        <f t="shared" ref="S22:S25" si="3">SUM(C22,F22,I22,L22,O22,R22)</f>
        <v>0</v>
      </c>
      <c r="T22" s="475"/>
      <c r="V22" s="281" t="str">
        <f t="shared" si="2"/>
        <v/>
      </c>
      <c r="W22" s="282" t="str">
        <f t="shared" si="2"/>
        <v/>
      </c>
      <c r="X22" s="278"/>
      <c r="Y22" s="281" t="s">
        <v>1268</v>
      </c>
      <c r="Z22" s="287">
        <v>6</v>
      </c>
      <c r="AA22" s="287">
        <v>3</v>
      </c>
      <c r="AB22" s="287">
        <v>2</v>
      </c>
      <c r="AC22" s="287">
        <v>3</v>
      </c>
      <c r="AD22" s="287">
        <v>8</v>
      </c>
      <c r="AE22" s="291" t="str">
        <f>IF(((COUNTIF(AE16,"A"))+(COUNTIF(AE16,"B"))+(COUNTIF(AE16,"H"))+(COUNTIF(AE16,"I"))+(COUNTIF(AE16,"M")))=1,"Loner (5+)","Loner (4+)")</f>
        <v>Loner (4+)</v>
      </c>
      <c r="AF22" s="291" t="str">
        <f>""</f>
        <v/>
      </c>
      <c r="AG22" s="291" t="str">
        <f>""</f>
        <v/>
      </c>
      <c r="AH22" s="291" t="str">
        <f>""</f>
        <v/>
      </c>
      <c r="AI22" s="282">
        <v>70000</v>
      </c>
      <c r="AV22" s="299"/>
    </row>
    <row r="23" spans="1:48" s="275" customFormat="1" ht="22.5" customHeight="1">
      <c r="A23" s="261" t="str">
        <f>IF($J$40="Italiano","AGILITÀ:",(IF($J$40="Español","AGILIDAD:",(IF($J$40="Deutsch","AGILITÄT:",(IF($J$40="Français","AGILITÉ:","AGILITY:")))))))</f>
        <v>AGILITY:</v>
      </c>
      <c r="B23" s="306"/>
      <c r="C23" s="290">
        <f>IF(B23&lt;&gt;"",(IF(B16="Stunty Superstar",10000,(IF(B16="Brutal Blockers",40000,(IF(OR(B16="Mercenaries",B16="Bona Fide Big Guy"),0,30000)))))),0)</f>
        <v>0</v>
      </c>
      <c r="D23" s="457"/>
      <c r="E23" s="458"/>
      <c r="F23" s="290">
        <f>IF($B$3&lt;&gt;"Stunty Superstar",(IF($B$3&lt;&gt;"Reliable Ringers","ILEGAL",(IF(D23&lt;&gt;"",70000,0)))),(IF(D23&lt;&gt;"",30000,0)))</f>
        <v>0</v>
      </c>
      <c r="G23" s="457"/>
      <c r="H23" s="458"/>
      <c r="I23" s="290">
        <f>IF($B$3&lt;&gt;"Stunty Superstar",(IF($B$3&lt;&gt;"Reliable Ringers","ILEGAL",(IF(G23&lt;&gt;"",110000,0)))),(IF(G23&lt;&gt;"",50000,0)))</f>
        <v>0</v>
      </c>
      <c r="J23" s="457"/>
      <c r="K23" s="458"/>
      <c r="L23" s="290">
        <f>IF($B$3&lt;&gt;"Stunty Superstar",(IF($B$3&lt;&gt;"Reliable Ringers","ILEGAL",(IF(J23&lt;&gt;"",150000,0)))),(IF(J23&lt;&gt;"",70000,0)))</f>
        <v>0</v>
      </c>
      <c r="M23" s="457"/>
      <c r="N23" s="458"/>
      <c r="O23" s="290">
        <f>IF($B$3&lt;&gt;"Stunty Superstar",(IF($B$3&lt;&gt;"Reliable Ringers","ILEGAL",(IF(M23&lt;&gt;"",190000,0)))),(IF(M23&lt;&gt;"",90000,0)))</f>
        <v>0</v>
      </c>
      <c r="P23" s="457"/>
      <c r="Q23" s="458"/>
      <c r="R23" s="290">
        <f>IF($B$3&lt;&gt;"Stunty Superstar",(IF($B$3&lt;&gt;"Reliable Ringers","ILEGAL",(IF(P23&lt;&gt;"",230000,0)))),(IF(P23&lt;&gt;"",110000,0)))</f>
        <v>0</v>
      </c>
      <c r="S23" s="290">
        <f t="shared" si="3"/>
        <v>0</v>
      </c>
      <c r="T23" s="475"/>
      <c r="V23" s="283" t="str">
        <f t="shared" si="2"/>
        <v/>
      </c>
      <c r="W23" s="294" t="str">
        <f t="shared" si="2"/>
        <v/>
      </c>
      <c r="X23" s="278"/>
      <c r="Y23" s="283" t="s">
        <v>1280</v>
      </c>
      <c r="Z23" s="293">
        <v>4</v>
      </c>
      <c r="AA23" s="293">
        <v>5</v>
      </c>
      <c r="AB23" s="293">
        <v>4</v>
      </c>
      <c r="AC23" s="293">
        <v>5</v>
      </c>
      <c r="AD23" s="293">
        <v>9</v>
      </c>
      <c r="AE23" s="284" t="str">
        <f>IF(((COUNTIF(AE16,"A"))+(COUNTIF(AE16,"B"))+(COUNTIF(AE16,"H"))+(COUNTIF(AE16,"I"))+(COUNTIF(AE16,"M")))=1,"Loner (5+)","Loner (4+)")</f>
        <v>Loner (4+)</v>
      </c>
      <c r="AF23" s="284" t="str">
        <f>IF(OR(AE16="J",AE16="K",AE16="L",AE16="M",AE16="N"),"","Bone Head")</f>
        <v>Bone Head</v>
      </c>
      <c r="AG23" s="284" t="str">
        <f>IF(OR(AE16="H",AE16="M"),"Mighty Blow (+2)","Mighty Blow (+1)")</f>
        <v>Mighty Blow (+1)</v>
      </c>
      <c r="AH23" s="284" t="str">
        <f>IF(OR(AE16="K",AE16="L"),"","Throw Team Mate")</f>
        <v>Throw Team Mate</v>
      </c>
      <c r="AI23" s="294">
        <v>130000</v>
      </c>
      <c r="AV23" s="299"/>
    </row>
    <row r="24" spans="1:48" s="275" customFormat="1" ht="22.5" customHeight="1">
      <c r="A24" s="261" t="str">
        <f>IF($J$40="Español","PASE:",(IF($J$40="Français","PASSER:","PASS:")))</f>
        <v>PASS:</v>
      </c>
      <c r="B24" s="306"/>
      <c r="C24" s="290">
        <f>IF(B24&lt;&gt;"",(IF(B16="Mercenaries",0,(IF(OR(B16="Reliable Ringers",B16="Bona Fide Big Guy"),30000,20000)))),0)</f>
        <v>0</v>
      </c>
      <c r="D24" s="457"/>
      <c r="E24" s="458"/>
      <c r="F24" s="290" t="s">
        <v>1269</v>
      </c>
      <c r="G24" s="457"/>
      <c r="H24" s="458"/>
      <c r="I24" s="290" t="s">
        <v>1269</v>
      </c>
      <c r="J24" s="457"/>
      <c r="K24" s="458"/>
      <c r="L24" s="290" t="s">
        <v>1269</v>
      </c>
      <c r="M24" s="457"/>
      <c r="N24" s="458"/>
      <c r="O24" s="290" t="s">
        <v>1269</v>
      </c>
      <c r="P24" s="457"/>
      <c r="Q24" s="458"/>
      <c r="R24" s="290" t="s">
        <v>1269</v>
      </c>
      <c r="S24" s="290">
        <f t="shared" si="3"/>
        <v>0</v>
      </c>
      <c r="T24" s="475"/>
      <c r="V24" s="278"/>
      <c r="W24" s="278"/>
      <c r="X24" s="278"/>
      <c r="Y24" s="278"/>
      <c r="Z24" s="278"/>
      <c r="AA24" s="278"/>
      <c r="AB24" s="278"/>
      <c r="AC24" s="278"/>
      <c r="AD24" s="278"/>
      <c r="AE24" s="278"/>
      <c r="AF24" s="278"/>
      <c r="AG24" s="278"/>
      <c r="AH24" s="278"/>
      <c r="AI24" s="278"/>
      <c r="AV24" s="299"/>
    </row>
    <row r="25" spans="1:48" s="275" customFormat="1" ht="22.5" customHeight="1">
      <c r="A25" s="262" t="str">
        <f>IF($J$40="Italiano","MUTAZIONE:",(IF($J$40="Español","MUTACIÓN:","MUTATION:")))</f>
        <v>MUTATION:</v>
      </c>
      <c r="B25" s="306"/>
      <c r="C25" s="290">
        <f>IF(B16="Stunty Superstar","ILEGAL",(IF(B25&lt;&gt;"",(IF(B16="Mercenaries",0,(IF(OR(B16="Brutal Blockers",B16="Bona Fide Big Guy"),40000,IF(B16="Legendary Linemen",30000,(IF(B25="Big Hand",30000,(IF(B25="Extra Arms",20000,(IF(B25="Two Heads",30000,(IF(B25="Very Long Legs",30000,0))))))))))))),0)))</f>
        <v>0</v>
      </c>
      <c r="D25" s="457"/>
      <c r="E25" s="458"/>
      <c r="F25" s="290" t="str">
        <f>IF(OR($B$3="Stunty Superstar",$B$3="Brutal Blockers",$B$3="Bona Fide Big Guy",$B$3="Mercenaries"),"ILEGAL",(IF(D25&lt;&gt;"",(IF($B$3="Legendary Linemen",70000,(IF(D25="Big Hand",30000,(IF(D25="Extra Arms",20000,(IF(D25="Two Heads",30000,(IF(D25="Very Long Legs",30000,"ILEGAL")))))))))),0)))</f>
        <v>ILEGAL</v>
      </c>
      <c r="G25" s="457"/>
      <c r="H25" s="458"/>
      <c r="I25" s="290" t="str">
        <f>IF(OR($B$3="Stunty Superstar",$B$3="Brutal Blockers",$B$3="Bona Fide Big Guy",$B$3="Mercenaries"),"ILEGAL",(IF(G25&lt;&gt;"",(IF($B$3="Legendary Linemen",110000,(IF(G25="Big Hand",30000,(IF(G25="Extra Arms",20000,(IF(G25="Two Heads",30000,(IF(G25="Very Long Legs",30000,0)))))))))),0)))</f>
        <v>ILEGAL</v>
      </c>
      <c r="J25" s="457"/>
      <c r="K25" s="458"/>
      <c r="L25" s="290" t="str">
        <f>IF(OR($B$3="Stunty Superstar",$B$3="Brutal Blockers",$B$3="Bona Fide Big Guy",$B$3="Mercenaries"),"ILEGAL",(IF(J25&lt;&gt;"",(IF($B$3="Legendary Linemen",150000,(IF(J25="Big Hand",30000,(IF(J25="Extra Arms",20000,(IF(J25="Two Heads",30000,(IF(J25="Very Long Legs",30000,0)))))))))),0)))</f>
        <v>ILEGAL</v>
      </c>
      <c r="M25" s="457"/>
      <c r="N25" s="458"/>
      <c r="O25" s="290" t="str">
        <f>IF(B16&lt;&gt;"Legendary Linemen","ILEGAL",(IF(M25&lt;&gt;"",190000,0)))</f>
        <v>ILEGAL</v>
      </c>
      <c r="P25" s="457"/>
      <c r="Q25" s="458"/>
      <c r="R25" s="290" t="str">
        <f>IF(B16&lt;&gt;"Legendary Linemen","ILEGAL",(IF(P25&lt;&gt;"",230000,0)))</f>
        <v>ILEGAL</v>
      </c>
      <c r="S25" s="290">
        <f t="shared" si="3"/>
        <v>0</v>
      </c>
      <c r="T25" s="475"/>
      <c r="V25" s="295" t="s">
        <v>1271</v>
      </c>
      <c r="W25" s="296">
        <f>SUM(Y25:AI25)</f>
        <v>0</v>
      </c>
      <c r="X25" s="296"/>
      <c r="Y25" s="296">
        <f>IF(K19="ILEGAL",0,K19)</f>
        <v>0</v>
      </c>
      <c r="Z25" s="296">
        <f>IF(M19="ILEGAL",0,M19)</f>
        <v>0</v>
      </c>
      <c r="AA25" s="296">
        <f>IF(O19="ILEGAL",0,O19)</f>
        <v>0</v>
      </c>
      <c r="AB25" s="296">
        <f>IF(Q19="ILEGAL",0,Q19)</f>
        <v>0</v>
      </c>
      <c r="AC25" s="296">
        <f>IF(S19="ILEGAL",0,S19)</f>
        <v>0</v>
      </c>
      <c r="AD25" s="296">
        <f>I19</f>
        <v>0</v>
      </c>
      <c r="AE25" s="296">
        <f>S21</f>
        <v>0</v>
      </c>
      <c r="AF25" s="296">
        <f>S22</f>
        <v>0</v>
      </c>
      <c r="AG25" s="296">
        <f>S23</f>
        <v>0</v>
      </c>
      <c r="AH25" s="296">
        <f>S24</f>
        <v>0</v>
      </c>
      <c r="AI25" s="297">
        <f>S25</f>
        <v>0</v>
      </c>
      <c r="AV25" s="299"/>
    </row>
    <row r="26" spans="1:48" s="275" customFormat="1" ht="15" customHeight="1">
      <c r="A26" s="268"/>
      <c r="B26" s="298"/>
      <c r="C26" s="298"/>
      <c r="D26" s="298"/>
      <c r="E26" s="298"/>
      <c r="F26" s="298"/>
      <c r="G26" s="298"/>
      <c r="H26" s="298"/>
      <c r="I26" s="298"/>
      <c r="J26" s="298"/>
      <c r="K26" s="298"/>
      <c r="L26" s="298"/>
      <c r="M26" s="298"/>
      <c r="N26" s="298"/>
      <c r="O26" s="298"/>
      <c r="P26" s="298"/>
      <c r="Q26" s="298"/>
      <c r="R26" s="298"/>
      <c r="S26" s="298"/>
      <c r="T26" s="475"/>
      <c r="V26" s="287"/>
      <c r="W26" s="287"/>
      <c r="X26" s="287"/>
      <c r="Y26" s="287"/>
      <c r="Z26" s="287"/>
      <c r="AA26" s="287"/>
      <c r="AB26" s="287"/>
      <c r="AC26" s="287"/>
      <c r="AD26" s="287"/>
      <c r="AE26" s="287"/>
      <c r="AF26" s="287"/>
      <c r="AG26" s="287"/>
      <c r="AH26" s="287"/>
      <c r="AI26" s="287"/>
      <c r="AV26" s="299"/>
    </row>
    <row r="27" spans="1:48" ht="21.75" customHeight="1">
      <c r="A27" s="477" t="str">
        <f>IF(Roster!$J$25="Italiano","MERCENARIO 3",(IF(Roster!$J$25="Español","MERCENARIO 3",(IF(Roster!$J$25="Français","MERCENAIRE 3","MERCENARY 3")))))</f>
        <v>MERCENARIO 3</v>
      </c>
      <c r="B27" s="477"/>
      <c r="C27" s="477"/>
      <c r="D27" s="477"/>
      <c r="E27" s="477"/>
      <c r="F27" s="477"/>
      <c r="G27" s="477"/>
      <c r="H27" s="477"/>
      <c r="I27" s="477"/>
      <c r="J27" s="477"/>
      <c r="K27" s="477"/>
      <c r="L27" s="477"/>
      <c r="M27" s="477"/>
      <c r="N27" s="477"/>
      <c r="O27" s="477"/>
      <c r="P27" s="477"/>
      <c r="Q27" s="477"/>
      <c r="R27" s="477"/>
      <c r="S27" s="477"/>
      <c r="T27" s="475"/>
    </row>
    <row r="28" spans="1:48" s="275" customFormat="1" ht="22.5" customHeight="1">
      <c r="A28" s="262" t="str">
        <f>IF(Roster!$J$25="Italiano","MERCENARIO 3",(IF(Roster!$J$25="Español","MERCENARIO 3",(IF(Roster!$J$25="Français","MERCENAIRE 3","MERCENARY 3")))))</f>
        <v>MERCENARIO 3</v>
      </c>
      <c r="B28" s="262" t="str">
        <f>IF(Roster!$J$25="Italiano","TIPO",(IF(Roster!$J$25="Español","TIPO",(IF(Roster!$J$25="Deutsch","POSITION",(IF(Roster!$J$25="Français","POSTE","TYPE")))))))</f>
        <v>TIPO</v>
      </c>
      <c r="C28" s="262" t="str">
        <f>IF(Roster!$J$25="Español","MO",(IF(Roster!$J$25="Deutsch","BE",(IF(Roster!$J$25="Français","M","MA")))))</f>
        <v>MA</v>
      </c>
      <c r="D28" s="262" t="str">
        <f>IF(Roster!$J$25="Español","FU",(IF(Roster!$J$25="Français","F","ST")))</f>
        <v>ST</v>
      </c>
      <c r="E28" s="262" t="str">
        <f>IF(Roster!$J$25="Deutsch","GE","AG")</f>
        <v>AG</v>
      </c>
      <c r="F28" s="262" t="str">
        <f>IF(Roster!$J$25="Deutsch","WG",(IF(Roster!$J$25="Français","CP","PA")))</f>
        <v>PA</v>
      </c>
      <c r="G28" s="262" t="str">
        <f>IF(Roster!$J$25="Español","AR",(IF(Roster!$J$25="Deutsch","RW",(IF(Roster!$J$25="Français","AR","AV")))))</f>
        <v>AV</v>
      </c>
      <c r="H28" s="466" t="str">
        <f>IF(Roster!$J$25="Italiano","ABILITÀ",(IF(Roster!$J$25="Español","HABILIDADES",(IF(Roster!$J$25="Deutsch","FERTIGKEITEN",(IF(Roster!$J$25="Français","COMPÉTENCES","SKILLS")))))))</f>
        <v>ABILITÀ</v>
      </c>
      <c r="I28" s="467"/>
      <c r="J28" s="467"/>
      <c r="K28" s="467"/>
      <c r="L28" s="467"/>
      <c r="M28" s="467"/>
      <c r="N28" s="467"/>
      <c r="O28" s="467"/>
      <c r="P28" s="467"/>
      <c r="Q28" s="467"/>
      <c r="R28" s="468"/>
      <c r="S28" s="262" t="str">
        <f>IF(Roster!$J$25="Italiano","COSTO",(IF(Roster!$J$25="Español","PRECIO",(IF(Roster!$J$25="Deutsch","WERT",(IF(Roster!$J$25="Français","VALEUR","COST")))))))</f>
        <v>COSTO</v>
      </c>
      <c r="T28" s="475"/>
      <c r="V28" s="276" t="s">
        <v>261</v>
      </c>
      <c r="W28" s="277" t="s">
        <v>206</v>
      </c>
      <c r="X28" s="278"/>
      <c r="Y28" s="276" t="s">
        <v>1273</v>
      </c>
      <c r="Z28" s="279"/>
      <c r="AA28" s="279"/>
      <c r="AB28" s="277"/>
      <c r="AC28" s="278"/>
      <c r="AD28" s="278"/>
      <c r="AE28" s="278"/>
      <c r="AF28" s="276" t="s">
        <v>1278</v>
      </c>
      <c r="AG28" s="279"/>
      <c r="AH28" s="279"/>
      <c r="AI28" s="277"/>
      <c r="AK28" s="463" t="s">
        <v>1318</v>
      </c>
      <c r="AL28" s="464"/>
      <c r="AM28" s="464"/>
      <c r="AN28" s="464"/>
      <c r="AO28" s="465"/>
      <c r="AP28" s="463" t="s">
        <v>1319</v>
      </c>
      <c r="AQ28" s="464"/>
      <c r="AR28" s="464"/>
      <c r="AS28" s="464"/>
      <c r="AT28" s="465"/>
    </row>
    <row r="29" spans="1:48" s="275" customFormat="1" ht="30" customHeight="1">
      <c r="A29" s="306"/>
      <c r="B29" s="306" t="s">
        <v>1268</v>
      </c>
      <c r="C29" s="280">
        <f>IF((VLOOKUP(B29,Y31:AD36,2,FALSE))+J32+(IF(AE29="G",-2,0))+(IF(OR(AE29="O",AE29="N"),-1,0))=0,"",(VLOOKUP(B29,Y31:AD36,2,FALSE))+J32+(IF(AE29="G",-2,0))+(IF(OR(AE29="O",AE29="N"),-1,0)))</f>
        <v>6</v>
      </c>
      <c r="D29" s="280">
        <f>IF((VLOOKUP(B29,Y31:AD36,3,FALSE))+L32+(IF(AE29="G",3,0))+(IF(OR(AE29="O",AE29="N"),2,0))=0,"",(VLOOKUP(B29,Y31:AD36,3,FALSE))+L32+(IF(AE29="G",3,0))+(IF(OR(AE29="O",AE29="N"),2,0)))</f>
        <v>3</v>
      </c>
      <c r="E29" s="280" t="str">
        <f>IF((VLOOKUP(B29,Y31:AD36,4,FALSE)+N32+(IF(AE29="J",1,0)))=0,"",(VLOOKUP(B29,Y31:AD36,4,FALSE)+N32+(IF(AE29="J",1,0))&amp;"+"))</f>
        <v>2+</v>
      </c>
      <c r="F29" s="280" t="str">
        <f>IF((VLOOKUP(B29,Y31:AD36,5,FALSE)+P32)=0,"",(VLOOKUP(B29,Y31:AD36,5,FALSE)+P32&amp;"+"))</f>
        <v>3+</v>
      </c>
      <c r="G29" s="280" t="str">
        <f>IF((VLOOKUP(B29,Y31:AD36,6,FALSE)+R32)=0,"",(VLOOKUP(B29,Y31:AD36,6,FALSE)+R32&amp;"+"))</f>
        <v>8+</v>
      </c>
      <c r="H29" s="469" t="str">
        <f>Y29&amp;(IF(Z29&lt;&gt;"",", ",""))&amp;Z29&amp;(IF(AA29&lt;&gt;"",", ",""))&amp;AA29&amp;(IF(AB29&lt;&gt;"",", ",""))&amp;AB29&amp;(IF(AF29&lt;&gt;"",", ",""))&amp;AF29&amp;(IF(AG29&lt;&gt;"",", ",""))&amp;AG29&amp;(IF(AH29&lt;&gt;"",", ",""))&amp;AH29&amp;(IF(AI29&lt;&gt;"",", ",""))&amp;AI29&amp;AK34</f>
        <v>Loner (4+)</v>
      </c>
      <c r="I29" s="470"/>
      <c r="J29" s="470"/>
      <c r="K29" s="470"/>
      <c r="L29" s="470"/>
      <c r="M29" s="470"/>
      <c r="N29" s="470"/>
      <c r="O29" s="470"/>
      <c r="P29" s="470"/>
      <c r="Q29" s="470"/>
      <c r="R29" s="471"/>
      <c r="S29" s="280">
        <f>(VLOOKUP(B29,Y31:AI36,11,FALSE))+W38</f>
        <v>70000</v>
      </c>
      <c r="T29" s="475"/>
      <c r="V29" s="281"/>
      <c r="W29" s="282">
        <v>0</v>
      </c>
      <c r="X29" s="267"/>
      <c r="Y29" s="283" t="str">
        <f>VLOOKUP(B29,Y31:AH36,7,FALSE)</f>
        <v>Loner (4+)</v>
      </c>
      <c r="Z29" s="284" t="str">
        <f>VLOOKUP(B29,Y31:AH36,8,FALSE)</f>
        <v/>
      </c>
      <c r="AA29" s="284" t="str">
        <f>VLOOKUP(B29,Y31:AH36,9,FALSE)</f>
        <v/>
      </c>
      <c r="AB29" s="285" t="str">
        <f>VLOOKUP(B29,Y31:AH36,10,FALSE)</f>
        <v/>
      </c>
      <c r="AC29" s="278"/>
      <c r="AD29" s="278"/>
      <c r="AE29" s="278" t="str">
        <f>IFERROR((VLOOKUP(A32,R41:W55,2,FALSE)),"")</f>
        <v/>
      </c>
      <c r="AF29" s="283" t="str">
        <f>IFERROR((VLOOKUP(A32,R41:W55,3,FALSE)),"")</f>
        <v/>
      </c>
      <c r="AG29" s="284" t="str">
        <f>IFERROR((VLOOKUP(A32,R41:W55,4,FALSE)),"")</f>
        <v/>
      </c>
      <c r="AH29" s="284" t="str">
        <f>IFERROR((VLOOKUP(A32,R41:W55,5,FALSE)),"")</f>
        <v/>
      </c>
      <c r="AI29" s="285" t="str">
        <f>IFERROR((VLOOKUP(A32,R41:W55,6,FALSE)),"")</f>
        <v/>
      </c>
      <c r="AK29" s="286">
        <v>0</v>
      </c>
      <c r="AL29" s="287">
        <v>0</v>
      </c>
      <c r="AM29" s="287">
        <v>0</v>
      </c>
      <c r="AN29" s="287">
        <v>0</v>
      </c>
      <c r="AO29" s="282">
        <v>0</v>
      </c>
      <c r="AP29" s="286">
        <v>0</v>
      </c>
      <c r="AQ29" s="287">
        <v>0</v>
      </c>
      <c r="AR29" s="287">
        <v>0</v>
      </c>
      <c r="AS29" s="287">
        <v>0</v>
      </c>
      <c r="AT29" s="282">
        <v>0</v>
      </c>
    </row>
    <row r="30" spans="1:48" s="275" customFormat="1" ht="22.5" customHeight="1">
      <c r="A30" s="476" t="str">
        <f>IF(BC8="Italiano","AVANZAMIENTO GIOCATORI",(IF(BC8="Español","MEJORAS DEL JUGADORE",(IF(BC8="Deutsch","SPIELERVERBESSERUNGEN",(IF(BC8="Français","AMÉLIORATIONS DE JOUEUR","PLAYER UPGRADES")))))))</f>
        <v>PLAYER UPGRADES</v>
      </c>
      <c r="B30" s="476"/>
      <c r="C30" s="476"/>
      <c r="D30" s="476"/>
      <c r="E30" s="476"/>
      <c r="F30" s="476"/>
      <c r="G30" s="476"/>
      <c r="H30" s="476"/>
      <c r="I30" s="476"/>
      <c r="J30" s="476"/>
      <c r="K30" s="476"/>
      <c r="L30" s="476"/>
      <c r="M30" s="476"/>
      <c r="N30" s="476"/>
      <c r="O30" s="476"/>
      <c r="P30" s="476"/>
      <c r="Q30" s="476"/>
      <c r="R30" s="476"/>
      <c r="S30" s="476"/>
      <c r="T30" s="475"/>
      <c r="V30" s="281" t="str">
        <f t="shared" ref="V30:W36" si="4">IF($B$29="Stunty Superstar",C43,(IF($B$29="Legendary Linemen",F43,(IF($B$29="Brutal Blockers",I43,(IF($B$29="Reliable Ringers",L43,(IF($B$29="Bona Fide Big Guy",O43,"")))))))))</f>
        <v/>
      </c>
      <c r="W30" s="282">
        <f t="shared" si="4"/>
        <v>70000</v>
      </c>
      <c r="X30" s="278"/>
      <c r="Y30" s="278"/>
      <c r="Z30" s="278"/>
      <c r="AA30" s="278"/>
      <c r="AB30" s="278"/>
      <c r="AC30" s="278"/>
      <c r="AD30" s="278"/>
      <c r="AE30" s="278"/>
      <c r="AF30" s="278"/>
      <c r="AG30" s="278"/>
      <c r="AH30" s="278"/>
      <c r="AI30" s="278"/>
      <c r="AK30" s="286">
        <v>1</v>
      </c>
      <c r="AL30" s="287">
        <v>0</v>
      </c>
      <c r="AM30" s="287">
        <f>IF(B29="Legendary Linemen",0,-1)</f>
        <v>-1</v>
      </c>
      <c r="AN30" s="287">
        <f>IF(B29="Brutal Blockers",0,-1)</f>
        <v>-1</v>
      </c>
      <c r="AO30" s="282">
        <v>1</v>
      </c>
      <c r="AP30" s="286">
        <f>IF(OR(B29="Legendary Linemen",B29="Bona Fide Big Guy"),20000,30000)</f>
        <v>30000</v>
      </c>
      <c r="AQ30" s="287">
        <v>0</v>
      </c>
      <c r="AR30" s="287">
        <f>IF(OR(B29="Stunty Superstar",B29="Bona Fide Big Guy"),40000,(IF(B29="Legendary Linemen",0,50000)))</f>
        <v>50000</v>
      </c>
      <c r="AS30" s="287">
        <f>IF(B29="Brutal Blockers",0,30000)</f>
        <v>30000</v>
      </c>
      <c r="AT30" s="282">
        <f>IF(B29="Stunty Superstar",30000,(IF(B29="Reliable Ringers",40000,20000)))</f>
        <v>40000</v>
      </c>
    </row>
    <row r="31" spans="1:48" s="275" customFormat="1" ht="22.5" customHeight="1">
      <c r="A31" s="466" t="s">
        <v>1270</v>
      </c>
      <c r="B31" s="467"/>
      <c r="C31" s="467"/>
      <c r="D31" s="467"/>
      <c r="E31" s="467"/>
      <c r="F31" s="467"/>
      <c r="G31" s="467"/>
      <c r="H31" s="468"/>
      <c r="I31" s="262" t="str">
        <f>IF(Roster!$J$25="Italiano","COSTO",(IF(Roster!$J$25="Español","PRECIO",(IF(Roster!$J$25="Deutsch","WERT",(IF(Roster!$J$25="Français","VALEUR","COST")))))))</f>
        <v>COSTO</v>
      </c>
      <c r="J31" s="262" t="str">
        <f>IF(Roster!$J$25="Español","MO",(IF(Roster!$J$25="Deutsch","BE",(IF(Roster!$J$25="Français","M","MA")))))</f>
        <v>MA</v>
      </c>
      <c r="K31" s="262" t="str">
        <f>IF(Roster!$J$25="Italiano","COSTO",(IF(Roster!$J$25="Español","PRECIO",(IF(Roster!$J$25="Deutsch","WERT",(IF(Roster!$J$25="Français","VALEUR","COST")))))))</f>
        <v>COSTO</v>
      </c>
      <c r="L31" s="262" t="str">
        <f>IF(Roster!$J$25="Español","FU",(IF(Roster!$J$25="Français","F","ST")))</f>
        <v>ST</v>
      </c>
      <c r="M31" s="262" t="str">
        <f>IF(Roster!$J$25="Italiano","COSTO",(IF(Roster!$J$25="Español","PRECIO",(IF(Roster!$J$25="Deutsch","WERT",(IF(Roster!$J$25="Français","VALEUR","COST")))))))</f>
        <v>COSTO</v>
      </c>
      <c r="N31" s="262" t="str">
        <f>IF(Roster!$J$25="Deutsch","GE","AG")</f>
        <v>AG</v>
      </c>
      <c r="O31" s="262" t="str">
        <f>IF(Roster!$J$25="Italiano","COSTO",(IF(Roster!$J$25="Español","PRECIO",(IF(Roster!$J$25="Deutsch","WERT",(IF(Roster!$J$25="Français","VALEUR","COST")))))))</f>
        <v>COSTO</v>
      </c>
      <c r="P31" s="262" t="str">
        <f>IF(Roster!$J$25="Deutsch","WG",(IF(Roster!$J$25="Français","CP","PA")))</f>
        <v>PA</v>
      </c>
      <c r="Q31" s="262" t="str">
        <f>IF(Roster!$J$25="Italiano","COSTO",(IF(Roster!$J$25="Español","PRECIO",(IF(Roster!$J$25="Deutsch","WERT",(IF(Roster!$J$25="Français","VALEUR","COST")))))))</f>
        <v>COSTO</v>
      </c>
      <c r="R31" s="262" t="str">
        <f>IF(Roster!$J$25="Español","AR",(IF(Roster!$J$25="Deutsch","RW",(IF(Roster!$J$25="Français","AR","AV")))))</f>
        <v>AV</v>
      </c>
      <c r="S31" s="262" t="str">
        <f>IF(Roster!$J$25="Italiano","COSTO",(IF(Roster!$J$25="Español","PRECIO",(IF(Roster!$J$25="Deutsch","WERT",(IF(Roster!$J$25="Français","VALEUR","COST")))))))</f>
        <v>COSTO</v>
      </c>
      <c r="T31" s="475"/>
      <c r="U31" s="265"/>
      <c r="V31" s="281" t="str">
        <f t="shared" si="4"/>
        <v/>
      </c>
      <c r="W31" s="282">
        <f t="shared" si="4"/>
        <v>20000</v>
      </c>
      <c r="X31" s="278"/>
      <c r="Y31" s="276" t="s">
        <v>1272</v>
      </c>
      <c r="Z31" s="288">
        <v>0</v>
      </c>
      <c r="AA31" s="288">
        <v>0</v>
      </c>
      <c r="AB31" s="288">
        <v>0</v>
      </c>
      <c r="AC31" s="288">
        <v>0</v>
      </c>
      <c r="AD31" s="288">
        <v>0</v>
      </c>
      <c r="AE31" s="279" t="str">
        <f>""</f>
        <v/>
      </c>
      <c r="AF31" s="279" t="str">
        <f>""</f>
        <v/>
      </c>
      <c r="AG31" s="279" t="str">
        <f>""</f>
        <v/>
      </c>
      <c r="AH31" s="279" t="str">
        <f>""</f>
        <v/>
      </c>
      <c r="AI31" s="289">
        <v>0</v>
      </c>
      <c r="AK31" s="286">
        <v>2</v>
      </c>
      <c r="AL31" s="287">
        <v>0</v>
      </c>
      <c r="AM31" s="287">
        <f>IF(B29="Legendary Linemen",0,-2)</f>
        <v>-2</v>
      </c>
      <c r="AN31" s="287">
        <f>IF(B29="Brutal Blockers",0,-2)</f>
        <v>-2</v>
      </c>
      <c r="AO31" s="282">
        <v>2</v>
      </c>
      <c r="AP31" s="286">
        <f>IF(OR(B29="Stunty Superstar",B29="Reliable Ringers"),48000,(IF(B29="Legendary Linemen",40000,50000)))</f>
        <v>48000</v>
      </c>
      <c r="AQ31" s="287">
        <v>0</v>
      </c>
      <c r="AR31" s="287">
        <f>IF(OR(B29="Stunty Superstar",B29="Bona Fide Big Guy"),80000,(IF(B29="Legendary Linemen",0,100000)))</f>
        <v>100000</v>
      </c>
      <c r="AS31" s="287">
        <f>IF(B29="Brutal Blockers",0,48000)</f>
        <v>48000</v>
      </c>
      <c r="AT31" s="282">
        <f>IF(B29="Stunty Superstar",48000,(IF(B29="Reliable Ringers",80000,40000)))</f>
        <v>80000</v>
      </c>
    </row>
    <row r="32" spans="1:48" s="275" customFormat="1" ht="22.5" customHeight="1">
      <c r="A32" s="472"/>
      <c r="B32" s="473"/>
      <c r="C32" s="473"/>
      <c r="D32" s="473"/>
      <c r="E32" s="473"/>
      <c r="F32" s="473"/>
      <c r="G32" s="473"/>
      <c r="H32" s="474"/>
      <c r="I32" s="290">
        <f>IFERROR((VLOOKUP(A32,V30:W36,2,FALSE)),0)</f>
        <v>0</v>
      </c>
      <c r="J32" s="306">
        <v>0</v>
      </c>
      <c r="K32" s="290">
        <f>IFERROR((VLOOKUP(J32,AK29:AT33,6,FALSE)),"ILEGAL")</f>
        <v>0</v>
      </c>
      <c r="L32" s="306">
        <v>0</v>
      </c>
      <c r="M32" s="290">
        <f>IFERROR((VLOOKUP(L32,AL29:AT33,6,FALSE)),"ILEGAL")</f>
        <v>0</v>
      </c>
      <c r="N32" s="306">
        <v>0</v>
      </c>
      <c r="O32" s="290">
        <f>IFERROR((VLOOKUP(N32,AM29:AT33,6,FALSE)),"ILEGAL")</f>
        <v>0</v>
      </c>
      <c r="P32" s="306">
        <v>0</v>
      </c>
      <c r="Q32" s="290">
        <f>IFERROR((VLOOKUP(P32,AN29:AT33,6,FALSE)),"ILEGAL")</f>
        <v>0</v>
      </c>
      <c r="R32" s="306">
        <v>0</v>
      </c>
      <c r="S32" s="290">
        <f>IFERROR((VLOOKUP(R32,AO29:AT33,6,FALSE)),"ILEGAL")</f>
        <v>0</v>
      </c>
      <c r="T32" s="475"/>
      <c r="V32" s="281" t="str">
        <f t="shared" si="4"/>
        <v/>
      </c>
      <c r="W32" s="282">
        <f t="shared" si="4"/>
        <v>0</v>
      </c>
      <c r="X32" s="278"/>
      <c r="Y32" s="281" t="s">
        <v>1274</v>
      </c>
      <c r="Z32" s="287">
        <v>5</v>
      </c>
      <c r="AA32" s="287">
        <v>2</v>
      </c>
      <c r="AB32" s="287">
        <v>3</v>
      </c>
      <c r="AC32" s="287">
        <v>4</v>
      </c>
      <c r="AD32" s="287">
        <v>6</v>
      </c>
      <c r="AE32" s="291" t="str">
        <f>IF(((COUNTIF(AE29,"A"))+(COUNTIF(AE29,"B"))+(COUNTIF(AE29,"H"))+(COUNTIF(AE29,"I"))+(COUNTIF(AE29,"M")))=1,"Loner (5+)","Loner (4+)")</f>
        <v>Loner (4+)</v>
      </c>
      <c r="AF32" s="291" t="s">
        <v>272</v>
      </c>
      <c r="AG32" s="291" t="s">
        <v>1275</v>
      </c>
      <c r="AH32" s="291" t="s">
        <v>1276</v>
      </c>
      <c r="AI32" s="282">
        <v>30000</v>
      </c>
      <c r="AK32" s="286">
        <v>-1</v>
      </c>
      <c r="AL32" s="287">
        <v>-1</v>
      </c>
      <c r="AM32" s="287">
        <v>1</v>
      </c>
      <c r="AN32" s="287">
        <v>1</v>
      </c>
      <c r="AO32" s="282">
        <v>-1</v>
      </c>
      <c r="AP32" s="286">
        <v>-10000</v>
      </c>
      <c r="AQ32" s="287">
        <v>-10000</v>
      </c>
      <c r="AR32" s="287">
        <v>-10000</v>
      </c>
      <c r="AS32" s="287">
        <v>-10000</v>
      </c>
      <c r="AT32" s="282">
        <v>-10000</v>
      </c>
    </row>
    <row r="33" spans="1:46" s="275" customFormat="1" ht="22.5" customHeight="1">
      <c r="A33" s="266" t="str">
        <f>IF(Roster!$J$25="Italiano","TIPO",(IF(Roster!$J$25="Español","TIPO",(IF(Roster!$J$25="Deutsch","POSITION",(IF(Roster!$J$25="Français","POSTE","TYPE")))))))</f>
        <v>TIPO</v>
      </c>
      <c r="B33" s="264" t="str">
        <f>IF($J$40="Italiano","AVANZAMENTO 1",(IF($J$40="Español","MEJORA 1",(IF($J$40="Deutsch","VERBES-SERUNG 1",(IF($J$40="Français","AMÉLIORATION 1","UPGRADE 1")))))))</f>
        <v>UPGRADE 1</v>
      </c>
      <c r="C33" s="263" t="str">
        <f>IF(Roster!$J$25="Italiano","COSTO",(IF(Roster!$J$25="Español","PRECIO",(IF(Roster!$J$25="Deutsch","WERT",(IF(Roster!$J$25="Français","VALEUR","COST")))))))</f>
        <v>COSTO</v>
      </c>
      <c r="D33" s="459" t="str">
        <f>IF($J$40="Italiano","AVANZAMENTO 2",(IF($J$40="Español","MEJORA 2",(IF($J$40="Deutsch","VERBES-SERUNG 2",(IF($J$40="Français","AMÉLIORATION 2","UPGRADE 2")))))))</f>
        <v>UPGRADE 2</v>
      </c>
      <c r="E33" s="460"/>
      <c r="F33" s="263" t="str">
        <f>IF(Roster!$J$25="Italiano","COSTO",(IF(Roster!$J$25="Español","PRECIO",(IF(Roster!$J$25="Deutsch","WERT",(IF(Roster!$J$25="Français","VALEUR","COST")))))))</f>
        <v>COSTO</v>
      </c>
      <c r="G33" s="459" t="str">
        <f>IF($J$40="Italiano","AVANZAMENTO 3",(IF($J$40="Español","MEJORA 3",(IF($J$40="Deutsch","VERBES-SERUNG 3",(IF($J$40="Français","AMÉLIORATION 3","UPGRADE 3")))))))</f>
        <v>UPGRADE 3</v>
      </c>
      <c r="H33" s="460"/>
      <c r="I33" s="262" t="str">
        <f>IF(Roster!$J$25="Italiano","COSTO",(IF(Roster!$J$25="Español","PRECIO",(IF(Roster!$J$25="Deutsch","WERT",(IF(Roster!$J$25="Français","VALEUR","COST")))))))</f>
        <v>COSTO</v>
      </c>
      <c r="J33" s="459" t="str">
        <f>IF($J$40="Italiano","AVANZAMENTO 4",(IF($J$40="Español","MEJORA 4",(IF($J$40="Deutsch","VERBES-SERUNG 4",(IF($J$40="Français","AMÉLIORATION 4","UPGRADE 4")))))))</f>
        <v>UPGRADE 4</v>
      </c>
      <c r="K33" s="460"/>
      <c r="L33" s="262" t="str">
        <f>IF(Roster!$J$25="Italiano","COSTO",(IF(Roster!$J$25="Español","PRECIO",(IF(Roster!$J$25="Deutsch","WERT",(IF(Roster!$J$25="Français","VALEUR","COST")))))))</f>
        <v>COSTO</v>
      </c>
      <c r="M33" s="459" t="str">
        <f>IF($J$40="Italiano","AVANZAMENTO 5",(IF($J$40="Español","MEJORA 5",(IF($J$40="Deutsch","VERBES-SERUNG 5",(IF($J$40="Français","AMÉLIORATION 5","UPGRADE 5")))))))</f>
        <v>UPGRADE 5</v>
      </c>
      <c r="N33" s="460"/>
      <c r="O33" s="262" t="str">
        <f>IF(Roster!$J$25="Italiano","COSTO",(IF(Roster!$J$25="Español","PRECIO",(IF(Roster!$J$25="Deutsch","WERT",(IF(Roster!$J$25="Français","VALEUR","COST")))))))</f>
        <v>COSTO</v>
      </c>
      <c r="P33" s="459" t="str">
        <f>IF($J$40="Italiano","AVANZAMENTO 6",(IF($J$40="Español","MEJORA 6",(IF($J$40="Deutsch","VERBES-SERUNG 6",(IF($J$40="Français","AMÉLIORATION 6","UPGRADE 6")))))))</f>
        <v>UPGRADE 6</v>
      </c>
      <c r="Q33" s="460"/>
      <c r="R33" s="262" t="str">
        <f>IF(Roster!$J$25="Italiano","COSTO",(IF(Roster!$J$25="Español","PRECIO",(IF(Roster!$J$25="Deutsch","WERT",(IF(Roster!$J$25="Français","VALEUR","COST")))))))</f>
        <v>COSTO</v>
      </c>
      <c r="S33" s="262" t="s">
        <v>1271</v>
      </c>
      <c r="T33" s="475"/>
      <c r="V33" s="281" t="str">
        <f t="shared" si="4"/>
        <v/>
      </c>
      <c r="W33" s="282">
        <f t="shared" si="4"/>
        <v>0</v>
      </c>
      <c r="X33" s="278"/>
      <c r="Y33" s="281" t="s">
        <v>1277</v>
      </c>
      <c r="Z33" s="287">
        <v>6</v>
      </c>
      <c r="AA33" s="287">
        <v>3</v>
      </c>
      <c r="AB33" s="287">
        <v>3</v>
      </c>
      <c r="AC33" s="287">
        <v>4</v>
      </c>
      <c r="AD33" s="287">
        <v>9</v>
      </c>
      <c r="AE33" s="291" t="str">
        <f>IF(((COUNTIF(AE29,"A"))+(COUNTIF(AE29,"B"))+(COUNTIF(AE29,"H"))+(COUNTIF(AE29,"I"))+(COUNTIF(AE29,"M")))=1,"Loner (5+)","Loner (4+)")</f>
        <v>Loner (4+)</v>
      </c>
      <c r="AF33" s="291" t="str">
        <f>""</f>
        <v/>
      </c>
      <c r="AG33" s="291" t="str">
        <f>""</f>
        <v/>
      </c>
      <c r="AH33" s="291" t="str">
        <f>""</f>
        <v/>
      </c>
      <c r="AI33" s="282">
        <v>50000</v>
      </c>
      <c r="AK33" s="292">
        <v>-2</v>
      </c>
      <c r="AL33" s="293">
        <f>IF(B29="Stunty Superstar",0,-2)</f>
        <v>-2</v>
      </c>
      <c r="AM33" s="293">
        <v>2</v>
      </c>
      <c r="AN33" s="293">
        <v>2</v>
      </c>
      <c r="AO33" s="294">
        <v>-2</v>
      </c>
      <c r="AP33" s="292">
        <v>-20000</v>
      </c>
      <c r="AQ33" s="293">
        <v>-20000</v>
      </c>
      <c r="AR33" s="293">
        <v>-20000</v>
      </c>
      <c r="AS33" s="293">
        <v>-20000</v>
      </c>
      <c r="AT33" s="294">
        <v>-20000</v>
      </c>
    </row>
    <row r="34" spans="1:46" s="275" customFormat="1" ht="22.5" customHeight="1">
      <c r="A34" s="261" t="str">
        <f>IF($J$40="Italiano","GENERALE:",(IF($J$40="Français","GÉNÉRALE:","GENERAL:")))</f>
        <v>GENERAL:</v>
      </c>
      <c r="B34" s="306"/>
      <c r="C34" s="290">
        <f>IF(B34&lt;&gt;"",(IF(B29="Legendary Linemen",20000,(IF(B29="Reliable Ringers",30000,(IF(B29="Mercenaries",0,40000)))))),0)</f>
        <v>0</v>
      </c>
      <c r="D34" s="457"/>
      <c r="E34" s="458"/>
      <c r="F34" s="290" t="str">
        <f>IF(B29&lt;&gt;"Legendary Linemen","ILEGAL",(IF(D34&lt;&gt;"",50000,0)))</f>
        <v>ILEGAL</v>
      </c>
      <c r="G34" s="457"/>
      <c r="H34" s="458"/>
      <c r="I34" s="290" t="str">
        <f>IF(B29&lt;&gt;"Legendary Linemen","ILEGAL",(IF(G34&lt;&gt;"",80000,0)))</f>
        <v>ILEGAL</v>
      </c>
      <c r="J34" s="457"/>
      <c r="K34" s="458"/>
      <c r="L34" s="290" t="str">
        <f>IF(B29&lt;&gt;"Legendary Linemen","ILEGAL",(IF(J34&lt;&gt;"",110000,0)))</f>
        <v>ILEGAL</v>
      </c>
      <c r="M34" s="457"/>
      <c r="N34" s="458"/>
      <c r="O34" s="290" t="str">
        <f>IF(B29&lt;&gt;"Legendary Linemen","ILEGAL",(IF(M34&lt;&gt;"",140000,0)))</f>
        <v>ILEGAL</v>
      </c>
      <c r="P34" s="457"/>
      <c r="Q34" s="458"/>
      <c r="R34" s="290" t="str">
        <f>IF(B29&lt;&gt;"Legendary Linemen","ILEGAL",(IF(P34&lt;&gt;"",170000,0)))</f>
        <v>ILEGAL</v>
      </c>
      <c r="S34" s="290">
        <f>SUM(C34,F34,I34,L34,O34,R34)</f>
        <v>0</v>
      </c>
      <c r="T34" s="475"/>
      <c r="V34" s="281" t="str">
        <f t="shared" si="4"/>
        <v/>
      </c>
      <c r="W34" s="282">
        <f t="shared" si="4"/>
        <v>0</v>
      </c>
      <c r="X34" s="278"/>
      <c r="Y34" s="281" t="s">
        <v>1279</v>
      </c>
      <c r="Z34" s="287">
        <v>4</v>
      </c>
      <c r="AA34" s="287">
        <v>4</v>
      </c>
      <c r="AB34" s="287">
        <v>4</v>
      </c>
      <c r="AC34" s="287">
        <v>6</v>
      </c>
      <c r="AD34" s="287">
        <v>9</v>
      </c>
      <c r="AE34" s="291" t="str">
        <f>IF(((COUNTIF(AE29,"A"))+(COUNTIF(AE29,"B"))+(COUNTIF(AE29,"H"))+(COUNTIF(AE29,"I"))+(COUNTIF(AE29,"M")))=1,"Loner (5+)","Loner (4+)")</f>
        <v>Loner (4+)</v>
      </c>
      <c r="AF34" s="291" t="str">
        <f>IF(OR(AE29="H",AE29="M"),"Mighty Blow (+2)","")</f>
        <v/>
      </c>
      <c r="AG34" s="291" t="str">
        <f>""</f>
        <v/>
      </c>
      <c r="AH34" s="291" t="str">
        <f>""</f>
        <v/>
      </c>
      <c r="AI34" s="282">
        <v>70000</v>
      </c>
      <c r="AK34" s="278"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5" customFormat="1" ht="22.5" customHeight="1">
      <c r="A35" s="261" t="str">
        <f>IF($J$40="Italiano","FORZA:",(IF($J$40="Español","FUERZA:",(IF($J$40="Français","FORCE:","STRENGTH:")))))</f>
        <v>STRENGTH:</v>
      </c>
      <c r="B35" s="306"/>
      <c r="C35" s="290">
        <f>IF(B35&lt;&gt;"",(IF(B29="Stunty Superstar",0,(IF(B29="Reliable Ringers",50000,(IF(B29="Mercenaries",0,30000)))))),0)</f>
        <v>0</v>
      </c>
      <c r="D35" s="457"/>
      <c r="E35" s="458"/>
      <c r="F35" s="290" t="str">
        <f>IF($B$3&lt;&gt;"Brutal Blockers",(IF($B$3&lt;&gt;"Bona Fide Big Guy","ILEGAL",(IF(D35&lt;&gt;"",70000,0)))),(IF(D35&lt;&gt;"",70000,0)))</f>
        <v>ILEGAL</v>
      </c>
      <c r="G35" s="457"/>
      <c r="H35" s="458"/>
      <c r="I35" s="290" t="str">
        <f>IF($B$3&lt;&gt;"Brutal Blockers",(IF($B$3&lt;&gt;"Bona Fide Big Guy","ILEGAL",(IF(G35&lt;&gt;"",110000,0)))),(IF(G35&lt;&gt;"",110000,0)))</f>
        <v>ILEGAL</v>
      </c>
      <c r="J35" s="457"/>
      <c r="K35" s="458"/>
      <c r="L35" s="290" t="str">
        <f>IF($B$3&lt;&gt;"Brutal Blockers",(IF($B$3&lt;&gt;"Bona Fide Big Guy","ILEGAL",(IF(J35&lt;&gt;"",150000,0)))),(IF(J35&lt;&gt;"",150000,0)))</f>
        <v>ILEGAL</v>
      </c>
      <c r="M35" s="457"/>
      <c r="N35" s="458"/>
      <c r="O35" s="290" t="str">
        <f>IF($B$3&lt;&gt;"Brutal Blockers",(IF($B$3&lt;&gt;"Bona Fide Big Guy","ILEGAL",(IF(M35&lt;&gt;"",190000,0)))),(IF(M35&lt;&gt;"",190000,0)))</f>
        <v>ILEGAL</v>
      </c>
      <c r="P35" s="457"/>
      <c r="Q35" s="458"/>
      <c r="R35" s="290" t="str">
        <f>IF($B$3&lt;&gt;"Brutal Blockers",(IF($B$3&lt;&gt;"Bona Fide Big Guy","ILEGAL",(IF(P35&lt;&gt;"",230000,0)))),(IF(P35&lt;&gt;"",230000,0)))</f>
        <v>ILEGAL</v>
      </c>
      <c r="S35" s="290">
        <f t="shared" ref="S35:S38" si="5">SUM(C35,F35,I35,L35,O35,R35)</f>
        <v>0</v>
      </c>
      <c r="T35" s="475"/>
      <c r="V35" s="281" t="str">
        <f t="shared" si="4"/>
        <v/>
      </c>
      <c r="W35" s="282">
        <f t="shared" si="4"/>
        <v>0</v>
      </c>
      <c r="X35" s="278"/>
      <c r="Y35" s="281" t="s">
        <v>1268</v>
      </c>
      <c r="Z35" s="287">
        <v>6</v>
      </c>
      <c r="AA35" s="287">
        <v>3</v>
      </c>
      <c r="AB35" s="287">
        <v>2</v>
      </c>
      <c r="AC35" s="287">
        <v>3</v>
      </c>
      <c r="AD35" s="287">
        <v>8</v>
      </c>
      <c r="AE35" s="291" t="str">
        <f>IF(((COUNTIF(AE29,"A"))+(COUNTIF(AE29,"B"))+(COUNTIF(AE29,"H"))+(COUNTIF(AE29,"I"))+(COUNTIF(AE29,"M")))=1,"Loner (5+)","Loner (4+)")</f>
        <v>Loner (4+)</v>
      </c>
      <c r="AF35" s="291" t="str">
        <f>""</f>
        <v/>
      </c>
      <c r="AG35" s="291" t="str">
        <f>""</f>
        <v/>
      </c>
      <c r="AH35" s="291" t="str">
        <f>""</f>
        <v/>
      </c>
      <c r="AI35" s="282">
        <v>70000</v>
      </c>
    </row>
    <row r="36" spans="1:46" s="275" customFormat="1" ht="22.5" customHeight="1">
      <c r="A36" s="261" t="str">
        <f>IF($J$40="Italiano","AGILITÀ:",(IF($J$40="Español","AGILIDAD:",(IF($J$40="Deutsch","AGILITÄT:",(IF($J$40="Français","AGILITÉ:","AGILITY:")))))))</f>
        <v>AGILITY:</v>
      </c>
      <c r="B36" s="306"/>
      <c r="C36" s="290">
        <f>IF(B36&lt;&gt;"",(IF(B29="Stunty Superstar",10000,(IF(B29="Brutal Blockers",40000,(IF(OR(B29="Mercenaries",B29="Bona Fide Big Guy"),0,30000)))))),0)</f>
        <v>0</v>
      </c>
      <c r="D36" s="457"/>
      <c r="E36" s="458"/>
      <c r="F36" s="290">
        <f>IF($B$3&lt;&gt;"Stunty Superstar",(IF($B$3&lt;&gt;"Reliable Ringers","ILEGAL",(IF(D36&lt;&gt;"",70000,0)))),(IF(D36&lt;&gt;"",30000,0)))</f>
        <v>0</v>
      </c>
      <c r="G36" s="457"/>
      <c r="H36" s="458"/>
      <c r="I36" s="290">
        <f>IF($B$3&lt;&gt;"Stunty Superstar",(IF($B$3&lt;&gt;"Reliable Ringers","ILEGAL",(IF(G36&lt;&gt;"",110000,0)))),(IF(G36&lt;&gt;"",50000,0)))</f>
        <v>0</v>
      </c>
      <c r="J36" s="457"/>
      <c r="K36" s="458"/>
      <c r="L36" s="290">
        <f>IF($B$3&lt;&gt;"Stunty Superstar",(IF($B$3&lt;&gt;"Reliable Ringers","ILEGAL",(IF(J36&lt;&gt;"",150000,0)))),(IF(J36&lt;&gt;"",70000,0)))</f>
        <v>0</v>
      </c>
      <c r="M36" s="457"/>
      <c r="N36" s="458"/>
      <c r="O36" s="290">
        <f>IF($B$3&lt;&gt;"Stunty Superstar",(IF($B$3&lt;&gt;"Reliable Ringers","ILEGAL",(IF(M36&lt;&gt;"",190000,0)))),(IF(M36&lt;&gt;"",90000,0)))</f>
        <v>0</v>
      </c>
      <c r="P36" s="457"/>
      <c r="Q36" s="458"/>
      <c r="R36" s="290">
        <f>IF($B$3&lt;&gt;"Stunty Superstar",(IF($B$3&lt;&gt;"Reliable Ringers","ILEGAL",(IF(P36&lt;&gt;"",230000,0)))),(IF(P36&lt;&gt;"",110000,0)))</f>
        <v>0</v>
      </c>
      <c r="S36" s="290">
        <f t="shared" si="5"/>
        <v>0</v>
      </c>
      <c r="T36" s="475"/>
      <c r="V36" s="283" t="str">
        <f t="shared" si="4"/>
        <v/>
      </c>
      <c r="W36" s="294">
        <f t="shared" si="4"/>
        <v>0</v>
      </c>
      <c r="X36" s="278"/>
      <c r="Y36" s="283" t="s">
        <v>1280</v>
      </c>
      <c r="Z36" s="293">
        <v>4</v>
      </c>
      <c r="AA36" s="293">
        <v>5</v>
      </c>
      <c r="AB36" s="293">
        <v>4</v>
      </c>
      <c r="AC36" s="293">
        <v>5</v>
      </c>
      <c r="AD36" s="293">
        <v>9</v>
      </c>
      <c r="AE36" s="284" t="str">
        <f>IF(((COUNTIF(AE29,"A"))+(COUNTIF(AE29,"B"))+(COUNTIF(AE29,"H"))+(COUNTIF(AE29,"I"))+(COUNTIF(AE29,"M")))=1,"Loner (5+)","Loner (4+)")</f>
        <v>Loner (4+)</v>
      </c>
      <c r="AF36" s="284" t="str">
        <f>IF(OR(AE29="J",AE29="K",AE29="L",AE29="M",AE29="N"),"","Bone Head")</f>
        <v>Bone Head</v>
      </c>
      <c r="AG36" s="284" t="str">
        <f>IF(OR(AE29="H",AE29="M"),"Mighty Blow (+2)","Mighty Blow (+1)")</f>
        <v>Mighty Blow (+1)</v>
      </c>
      <c r="AH36" s="284" t="str">
        <f>IF(OR(AE29="K",AE29="L"),"","Throw Team Mate")</f>
        <v>Throw Team Mate</v>
      </c>
      <c r="AI36" s="294">
        <v>130000</v>
      </c>
    </row>
    <row r="37" spans="1:46" s="275" customFormat="1" ht="22.5" customHeight="1">
      <c r="A37" s="261" t="str">
        <f>IF($J$40="Español","PASE:",(IF($J$40="Français","PASSER:","PASS:")))</f>
        <v>PASS:</v>
      </c>
      <c r="B37" s="306"/>
      <c r="C37" s="290">
        <f>IF(B37&lt;&gt;"",(IF(B29="Mercenaries",0,(IF(OR(B29="Reliable Ringers",B29="Bona Fide Big Guy"),30000,20000)))),0)</f>
        <v>0</v>
      </c>
      <c r="D37" s="457"/>
      <c r="E37" s="458"/>
      <c r="F37" s="290" t="s">
        <v>1269</v>
      </c>
      <c r="G37" s="457"/>
      <c r="H37" s="458"/>
      <c r="I37" s="290" t="s">
        <v>1269</v>
      </c>
      <c r="J37" s="457"/>
      <c r="K37" s="458"/>
      <c r="L37" s="290" t="s">
        <v>1269</v>
      </c>
      <c r="M37" s="457"/>
      <c r="N37" s="458"/>
      <c r="O37" s="290" t="s">
        <v>1269</v>
      </c>
      <c r="P37" s="457"/>
      <c r="Q37" s="458"/>
      <c r="R37" s="290" t="s">
        <v>1269</v>
      </c>
      <c r="S37" s="290">
        <f t="shared" si="5"/>
        <v>0</v>
      </c>
      <c r="T37" s="475"/>
      <c r="V37" s="278"/>
      <c r="W37" s="278"/>
      <c r="X37" s="278"/>
      <c r="Y37" s="278"/>
      <c r="Z37" s="278"/>
      <c r="AA37" s="278"/>
      <c r="AB37" s="278"/>
      <c r="AC37" s="278"/>
      <c r="AD37" s="278"/>
      <c r="AE37" s="278"/>
      <c r="AF37" s="278"/>
      <c r="AG37" s="278"/>
      <c r="AH37" s="278"/>
      <c r="AI37" s="278"/>
    </row>
    <row r="38" spans="1:46" s="275" customFormat="1" ht="22.5" customHeight="1">
      <c r="A38" s="262" t="str">
        <f>IF($J$40="Italiano","MUTAZIONE:",(IF($J$40="Español","MUTACIÓN:","MUTATION:")))</f>
        <v>MUTATION:</v>
      </c>
      <c r="B38" s="306"/>
      <c r="C38" s="290">
        <f>IF(B29="Stunty Superstar","ILEGAL",(IF(B38&lt;&gt;"",(IF(B29="Mercenaries",0,(IF(OR(B29="Brutal Blockers",B29="Bona Fide Big Guy"),40000,IF(B29="Legendary Linemen",30000,(IF(B38="Big Hand",30000,(IF(B38="Extra Arms",20000,(IF(B38="Two Heads",30000,(IF(B38="Very Long Legs",30000,0))))))))))))),0)))</f>
        <v>0</v>
      </c>
      <c r="D38" s="457"/>
      <c r="E38" s="458"/>
      <c r="F38" s="290" t="str">
        <f>IF(OR($B$3="Stunty Superstar",$B$3="Brutal Blockers",$B$3="Bona Fide Big Guy",$B$3="Mercenaries"),"ILEGAL",(IF(D38&lt;&gt;"",(IF($B$3="Legendary Linemen",70000,(IF(D38="Big Hand",30000,(IF(D38="Extra Arms",20000,(IF(D38="Two Heads",30000,(IF(D38="Very Long Legs",30000,"ILEGAL")))))))))),0)))</f>
        <v>ILEGAL</v>
      </c>
      <c r="G38" s="457"/>
      <c r="H38" s="458"/>
      <c r="I38" s="290" t="str">
        <f>IF(OR($B$3="Stunty Superstar",$B$3="Brutal Blockers",$B$3="Bona Fide Big Guy",$B$3="Mercenaries"),"ILEGAL",(IF(G38&lt;&gt;"",(IF($B$3="Legendary Linemen",110000,(IF(G38="Big Hand",30000,(IF(G38="Extra Arms",20000,(IF(G38="Two Heads",30000,(IF(G38="Very Long Legs",30000,0)))))))))),0)))</f>
        <v>ILEGAL</v>
      </c>
      <c r="J38" s="457"/>
      <c r="K38" s="458"/>
      <c r="L38" s="290" t="str">
        <f>IF(OR($B$3="Stunty Superstar",$B$3="Brutal Blockers",$B$3="Bona Fide Big Guy",$B$3="Mercenaries"),"ILEGAL",(IF(J38&lt;&gt;"",(IF($B$3="Legendary Linemen",150000,(IF(J38="Big Hand",30000,(IF(J38="Extra Arms",20000,(IF(J38="Two Heads",30000,(IF(J38="Very Long Legs",30000,0)))))))))),0)))</f>
        <v>ILEGAL</v>
      </c>
      <c r="M38" s="457"/>
      <c r="N38" s="458"/>
      <c r="O38" s="290" t="str">
        <f>IF(B29&lt;&gt;"Legendary Linemen","ILEGAL",(IF(M38&lt;&gt;"",190000,0)))</f>
        <v>ILEGAL</v>
      </c>
      <c r="P38" s="457"/>
      <c r="Q38" s="458"/>
      <c r="R38" s="290" t="str">
        <f>IF(B29&lt;&gt;"Legendary Linemen","ILEGAL",(IF(P38&lt;&gt;"",230000,0)))</f>
        <v>ILEGAL</v>
      </c>
      <c r="S38" s="290">
        <f t="shared" si="5"/>
        <v>0</v>
      </c>
      <c r="T38" s="475"/>
      <c r="V38" s="295" t="s">
        <v>1271</v>
      </c>
      <c r="W38" s="296">
        <f>SUM(Y38:AI38)</f>
        <v>0</v>
      </c>
      <c r="X38" s="296"/>
      <c r="Y38" s="296">
        <f>IF(K32="ILEGAL",0,K32)</f>
        <v>0</v>
      </c>
      <c r="Z38" s="296">
        <f>IF(M32="ILEGAL",0,M32)</f>
        <v>0</v>
      </c>
      <c r="AA38" s="296">
        <f>IF(O32="ILEGAL",0,O32)</f>
        <v>0</v>
      </c>
      <c r="AB38" s="296">
        <f>IF(Q32="ILEGAL",0,Q32)</f>
        <v>0</v>
      </c>
      <c r="AC38" s="296">
        <f>IF(S32="ILEGAL",0,S32)</f>
        <v>0</v>
      </c>
      <c r="AD38" s="296">
        <f>I32</f>
        <v>0</v>
      </c>
      <c r="AE38" s="296">
        <f>S34</f>
        <v>0</v>
      </c>
      <c r="AF38" s="296">
        <f>S35</f>
        <v>0</v>
      </c>
      <c r="AG38" s="296">
        <f>S36</f>
        <v>0</v>
      </c>
      <c r="AH38" s="296">
        <f>S37</f>
        <v>0</v>
      </c>
      <c r="AI38" s="297">
        <f>S38</f>
        <v>0</v>
      </c>
    </row>
    <row r="39" spans="1:46" ht="15" customHeight="1">
      <c r="A39" s="475"/>
      <c r="B39" s="475"/>
      <c r="C39" s="475"/>
      <c r="D39" s="475"/>
      <c r="E39" s="475"/>
      <c r="F39" s="475"/>
      <c r="G39" s="475"/>
      <c r="H39" s="475"/>
      <c r="I39" s="475"/>
      <c r="J39" s="475"/>
      <c r="K39" s="475"/>
      <c r="L39" s="475"/>
      <c r="M39" s="475"/>
      <c r="N39" s="475"/>
      <c r="O39" s="475"/>
      <c r="P39" s="475"/>
      <c r="Q39" s="475"/>
      <c r="R39" s="475"/>
      <c r="S39" s="475"/>
      <c r="T39" s="475"/>
      <c r="W39" s="273"/>
      <c r="X39" s="273"/>
      <c r="Y39" s="273"/>
    </row>
    <row r="40" spans="1:46" ht="12.75" hidden="1" customHeight="1">
      <c r="W40" s="273"/>
      <c r="X40" s="273"/>
      <c r="Y40" s="273"/>
    </row>
    <row r="41" spans="1:46" ht="12.75" hidden="1" customHeight="1">
      <c r="C41" s="461" t="s">
        <v>1281</v>
      </c>
      <c r="D41" s="462"/>
      <c r="F41" s="461" t="s">
        <v>1282</v>
      </c>
      <c r="G41" s="462"/>
      <c r="I41" s="461" t="s">
        <v>1283</v>
      </c>
      <c r="J41" s="462"/>
      <c r="L41" s="461" t="s">
        <v>1284</v>
      </c>
      <c r="M41" s="462"/>
      <c r="N41" s="300"/>
      <c r="O41" s="461" t="s">
        <v>1285</v>
      </c>
      <c r="P41" s="462"/>
      <c r="R41" s="291" t="s">
        <v>1286</v>
      </c>
      <c r="S41" s="291" t="s">
        <v>197</v>
      </c>
      <c r="T41" s="291" t="s">
        <v>1287</v>
      </c>
      <c r="U41" s="291" t="s">
        <v>1288</v>
      </c>
      <c r="V41" s="291" t="str">
        <f>""</f>
        <v/>
      </c>
      <c r="W41" s="291" t="str">
        <f>""</f>
        <v/>
      </c>
      <c r="X41" s="291" t="str">
        <f>""</f>
        <v/>
      </c>
      <c r="Y41" s="273"/>
    </row>
    <row r="42" spans="1:46" ht="12.75" hidden="1" customHeight="1">
      <c r="A42" s="301"/>
      <c r="B42" s="302"/>
      <c r="C42" s="281"/>
      <c r="D42" s="282">
        <v>0</v>
      </c>
      <c r="E42" s="287"/>
      <c r="F42" s="281"/>
      <c r="G42" s="282">
        <v>0</v>
      </c>
      <c r="H42" s="287"/>
      <c r="I42" s="281"/>
      <c r="J42" s="282">
        <v>0</v>
      </c>
      <c r="K42" s="287"/>
      <c r="L42" s="281"/>
      <c r="M42" s="282">
        <v>0</v>
      </c>
      <c r="N42" s="287"/>
      <c r="O42" s="281"/>
      <c r="P42" s="282">
        <v>0</v>
      </c>
      <c r="R42" s="291" t="s">
        <v>1289</v>
      </c>
      <c r="S42" s="291" t="s">
        <v>1290</v>
      </c>
      <c r="T42" s="291" t="s">
        <v>1291</v>
      </c>
      <c r="U42" s="291" t="s">
        <v>1288</v>
      </c>
      <c r="V42" s="291" t="str">
        <f>""</f>
        <v/>
      </c>
      <c r="W42" s="291" t="str">
        <f>""</f>
        <v/>
      </c>
      <c r="X42" s="291" t="str">
        <f>""</f>
        <v/>
      </c>
      <c r="Y42" s="273"/>
    </row>
    <row r="43" spans="1:46" ht="12.75" hidden="1" customHeight="1">
      <c r="A43" s="301"/>
      <c r="B43" s="282"/>
      <c r="C43" s="281" t="str">
        <f>IF(Roster!BU2&lt;&gt;"SylvanianSpotlight",(IF(Roster!BU2&lt;&gt;"ElvenKingdomsLeague",(IF(Roster!BU2&lt;&gt;"Favouredof","Dirty Player (+1), Sneaky Git, Loner (5+)","")),"")),"")</f>
        <v>Dirty Player (+1), Sneaky Git, Loner (5+)</v>
      </c>
      <c r="D43" s="282">
        <v>50000</v>
      </c>
      <c r="E43" s="287"/>
      <c r="F43" s="281" t="s">
        <v>1286</v>
      </c>
      <c r="G43" s="282">
        <v>70000</v>
      </c>
      <c r="H43" s="287"/>
      <c r="I43" s="281" t="str">
        <f>IF(Roster!BU2&lt;&gt;"Favouredof",(IF(Roster!BU2&lt;&gt;"ElvenKingdomsLeague",(IF(Roster!BU2&lt;&gt;"SylvanianSpotlight",(IF(Roster!BU2&lt;&gt;"UnderworldChallenge","Dirty Player (+1), Sneaky Git, Loner (5+)","")),"")),"")),"")</f>
        <v>Dirty Player (+1), Sneaky Git, Loner (5+)</v>
      </c>
      <c r="J43" s="282">
        <v>70000</v>
      </c>
      <c r="K43" s="287"/>
      <c r="L43" s="281" t="str">
        <f>IF(Roster!BU2&lt;&gt;"LustrianSuperleague",(IF(Roster!BU2&lt;&gt;"BadlandsBrawl",(IF(Roster!BU2&lt;&gt;"OldWorldClassicWorldsEdgeSuperleague",(IF(Roster!BU2&lt;&gt;"OldWorldClassic",(IF(Roster!BU2&lt;&gt;"LustrianSuperleagueOldWorldClassic",(IF(Roster!BU2&lt;&gt;"BadlandsBrawlOldWorldClassic","Hypnotic Gaze, Loner (5+)","")),"")),"")),"")),"")),"")</f>
        <v/>
      </c>
      <c r="M43" s="282">
        <v>70000</v>
      </c>
      <c r="N43" s="287"/>
      <c r="O43" s="281" t="s">
        <v>1293</v>
      </c>
      <c r="P43" s="282">
        <v>-10000</v>
      </c>
      <c r="R43" s="291" t="s">
        <v>1294</v>
      </c>
      <c r="S43" s="291" t="s">
        <v>1295</v>
      </c>
      <c r="T43" s="291" t="s">
        <v>455</v>
      </c>
      <c r="U43" s="291" t="s">
        <v>1296</v>
      </c>
      <c r="V43" s="291" t="str">
        <f>""</f>
        <v/>
      </c>
      <c r="W43" s="291" t="str">
        <f>""</f>
        <v/>
      </c>
      <c r="X43" s="291" t="str">
        <f>""</f>
        <v/>
      </c>
      <c r="Y43" s="273"/>
    </row>
    <row r="44" spans="1:46" ht="12.75" hidden="1" customHeight="1">
      <c r="A44" s="301"/>
      <c r="B44" s="282"/>
      <c r="C44" s="281"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Dirty Player (+2), Sneaky Git, Loner (5+)</v>
      </c>
      <c r="D44" s="282">
        <v>80000</v>
      </c>
      <c r="E44" s="303"/>
      <c r="F44" s="281" t="str">
        <f>IF(Roster!BU2&lt;&gt;"LustrianSuperleague",(IF(Roster!BU2&lt;&gt;"ElvenKingdomsLeague","Dirty Player (+2), Sneaky Git, Loner (5+)","")),"")</f>
        <v>Dirty Player (+2), Sneaky Git, Loner (5+)</v>
      </c>
      <c r="G44" s="282">
        <v>90000</v>
      </c>
      <c r="H44" s="303"/>
      <c r="I44" s="281"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282">
        <v>100000</v>
      </c>
      <c r="K44" s="303"/>
      <c r="L44" s="281"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282">
        <v>20000</v>
      </c>
      <c r="N44" s="303"/>
      <c r="O44" s="281" t="str">
        <f>IF(Roster!BU2&lt;&gt;"LustrianSuperleague",(IF(Roster!BU2&lt;&gt;"ElvenKingdomsLeague",(IF(Roster!BU2&lt;&gt;"SylvanianSpotlight","Frenzy, Unchannelled Fury, Horns, -Throw Team Mate, -Bone Head","")),"")),"")</f>
        <v>Frenzy, Unchannelled Fury, Horns, -Throw Team Mate, -Bone Head</v>
      </c>
      <c r="P44" s="282">
        <v>20000</v>
      </c>
      <c r="R44" s="291" t="s">
        <v>1297</v>
      </c>
      <c r="S44" s="291" t="s">
        <v>1299</v>
      </c>
      <c r="T44" s="291" t="s">
        <v>1300</v>
      </c>
      <c r="U44" s="291" t="s">
        <v>1296</v>
      </c>
      <c r="V44" s="291" t="str">
        <f>""</f>
        <v/>
      </c>
      <c r="W44" s="291" t="str">
        <f>""</f>
        <v/>
      </c>
      <c r="X44" s="291" t="str">
        <f>""</f>
        <v/>
      </c>
      <c r="Y44" s="273"/>
    </row>
    <row r="45" spans="1:46" ht="12.75" hidden="1" customHeight="1">
      <c r="A45" s="301"/>
      <c r="B45" s="282"/>
      <c r="C45" s="281" t="str">
        <f>IF(Roster!BU2&lt;&gt;"LustrianSuperleague",(IF(Roster!BU2&lt;&gt;"ElvenKingdomsLeague",(IF(Roster!BU2&lt;&gt;"Favouredof","Bombardier, Secret Weapon","")),"")),"")</f>
        <v>Bombardier, Secret Weapon</v>
      </c>
      <c r="D45" s="282">
        <v>40000</v>
      </c>
      <c r="E45" s="287"/>
      <c r="F45" s="281" t="str">
        <f>IF(Roster!BU2&lt;&gt;"LustrianSuperleague",(IF(Roster!BU2&lt;&gt;"ElvenKingdomsLeague","Bombardier, Secret Weapon","")),"")</f>
        <v>Bombardier, Secret Weapon</v>
      </c>
      <c r="G45" s="282">
        <v>40000</v>
      </c>
      <c r="H45" s="287"/>
      <c r="I45" s="281" t="str">
        <f>IF(Roster!BU2&lt;&gt;"ElvenKingdomsLeague",(IF(Roster!BU2&lt;&gt;"UnderworldChallenge","Mighty Blow (+2), Loner (5+)","")),"")</f>
        <v>Mighty Blow (+2), Loner (5+)</v>
      </c>
      <c r="J45" s="282">
        <v>70000</v>
      </c>
      <c r="K45" s="287"/>
      <c r="L45" s="281" t="str">
        <f>""</f>
        <v/>
      </c>
      <c r="M45" s="282">
        <v>0</v>
      </c>
      <c r="N45" s="287"/>
      <c r="O45" s="304"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2">
        <v>20000</v>
      </c>
      <c r="R45" s="291" t="s">
        <v>1303</v>
      </c>
      <c r="S45" s="291" t="s">
        <v>1304</v>
      </c>
      <c r="T45" s="291" t="s">
        <v>1305</v>
      </c>
      <c r="U45" s="291" t="s">
        <v>1306</v>
      </c>
      <c r="V45" s="291" t="s">
        <v>1296</v>
      </c>
      <c r="W45" s="291" t="str">
        <f>""</f>
        <v/>
      </c>
      <c r="X45" s="291" t="str">
        <f>""</f>
        <v/>
      </c>
      <c r="Y45" s="273"/>
    </row>
    <row r="46" spans="1:46" ht="12.75" hidden="1" customHeight="1">
      <c r="A46" s="301"/>
      <c r="B46" s="282"/>
      <c r="C46" s="281" t="str">
        <f>IF(Roster!BU2&lt;&gt;"ElvenKingdomsLeague",(IF(Roster!BU2&lt;&gt;"Favouredof","Stab, Secret Weapon","")),"")</f>
        <v>Stab, Secret Weapon</v>
      </c>
      <c r="D46" s="282">
        <v>20000</v>
      </c>
      <c r="E46" s="287"/>
      <c r="F46" s="281" t="str">
        <f>IF(Roster!BU2&lt;&gt;"Favouredof","Stab, Secret Weapon","")</f>
        <v>Stab, Secret Weapon</v>
      </c>
      <c r="G46" s="282">
        <v>20000</v>
      </c>
      <c r="H46" s="287"/>
      <c r="I46" s="281" t="str">
        <f>IF(Roster!BU2&lt;&gt;"ElvenKingdomsLeague",(IF(Roster!BU2&lt;&gt;"Favouredof","Stab, Secret Weapon","")),"")</f>
        <v>Stab, Secret Weapon</v>
      </c>
      <c r="J46" s="282">
        <v>20000</v>
      </c>
      <c r="K46" s="287"/>
      <c r="L46" s="281" t="str">
        <f>""</f>
        <v/>
      </c>
      <c r="M46" s="282">
        <v>0</v>
      </c>
      <c r="N46" s="287"/>
      <c r="O46" s="281" t="s">
        <v>1307</v>
      </c>
      <c r="P46" s="282">
        <v>50000</v>
      </c>
      <c r="R46" s="291" t="s">
        <v>1308</v>
      </c>
      <c r="S46" s="291" t="s">
        <v>1309</v>
      </c>
      <c r="T46" s="291" t="s">
        <v>1308</v>
      </c>
      <c r="U46" s="291" t="str">
        <f>""</f>
        <v/>
      </c>
      <c r="V46" s="291" t="str">
        <f>""</f>
        <v/>
      </c>
      <c r="W46" s="291" t="str">
        <f>""</f>
        <v/>
      </c>
      <c r="X46" s="291" t="str">
        <f>""</f>
        <v/>
      </c>
      <c r="Y46" s="273"/>
    </row>
    <row r="47" spans="1:46" ht="12.75" hidden="1" customHeight="1">
      <c r="A47" s="301"/>
      <c r="B47" s="282"/>
      <c r="C47" s="281" t="str">
        <f>IF(Roster!BU2&lt;&gt;"ElvenKingdomsLeague",(IF(Roster!BU2&lt;&gt;"Favouredof","Chainsaw, No Hands, Secret Weapon","")),"")</f>
        <v>Chainsaw, No Hands, Secret Weapon</v>
      </c>
      <c r="D47" s="282">
        <v>70000</v>
      </c>
      <c r="E47" s="275"/>
      <c r="F47" s="281" t="s">
        <v>1303</v>
      </c>
      <c r="G47" s="282">
        <v>70000</v>
      </c>
      <c r="H47" s="275"/>
      <c r="I47" s="281"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282">
        <v>90000</v>
      </c>
      <c r="K47" s="275"/>
      <c r="L47" s="281" t="str">
        <f>""</f>
        <v/>
      </c>
      <c r="M47" s="282">
        <v>0</v>
      </c>
      <c r="N47" s="275"/>
      <c r="O47" s="281" t="str">
        <f>IF(Roster!BU2&lt;&gt;"SylvanianSpotlight",(IF(Roster!BU2&lt;&gt;"ElvenKingdomsLeague","Ball &amp; Chain, No hands, Really Stupid, Secret Weapon, +2ST, -Bone Head, -1MA","")),"")</f>
        <v>Ball &amp; Chain, No hands, Really Stupid, Secret Weapon, +2ST, -Bone Head, -1MA</v>
      </c>
      <c r="P47" s="282">
        <v>80000</v>
      </c>
      <c r="R47" s="291" t="s">
        <v>1312</v>
      </c>
      <c r="S47" s="291" t="s">
        <v>196</v>
      </c>
      <c r="T47" s="291" t="s">
        <v>1313</v>
      </c>
      <c r="U47" s="291" t="s">
        <v>1296</v>
      </c>
      <c r="V47" s="291" t="s">
        <v>1306</v>
      </c>
      <c r="W47" s="291" t="str">
        <f>""</f>
        <v/>
      </c>
      <c r="X47" s="291" t="str">
        <f>"+3ST, -2MA"</f>
        <v>+3ST, -2MA</v>
      </c>
      <c r="Y47" s="273"/>
    </row>
    <row r="48" spans="1:46" ht="12.75" hidden="1" customHeight="1">
      <c r="A48" s="301"/>
      <c r="B48" s="282"/>
      <c r="C48" s="281" t="str">
        <f>IF(Roster!BU2&lt;&gt;"OldWorldClassic",(IF(Roster!BU2&lt;&gt;"ElvenKingdomsLeague",(IF(Roster!BU2&lt;&gt;"Favouredof",(IF(Roster!BU2&lt;&gt;"OldWorldClassicWorldsEdgeSuperleague","Pogo Stick","")),"")),"")),"")</f>
        <v>Pogo Stick</v>
      </c>
      <c r="D48" s="282">
        <v>50000</v>
      </c>
      <c r="E48" s="305"/>
      <c r="F48" s="281" t="str">
        <f>""</f>
        <v/>
      </c>
      <c r="G48" s="282">
        <v>0</v>
      </c>
      <c r="H48" s="305"/>
      <c r="I48" s="281"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82">
        <v>70000</v>
      </c>
      <c r="K48" s="305"/>
      <c r="L48" s="281" t="str">
        <f>""</f>
        <v/>
      </c>
      <c r="M48" s="282">
        <v>0</v>
      </c>
      <c r="N48" s="305"/>
      <c r="O48" s="281" t="str">
        <f>""</f>
        <v/>
      </c>
      <c r="P48" s="282">
        <v>0</v>
      </c>
      <c r="R48" s="291" t="s">
        <v>1310</v>
      </c>
      <c r="S48" s="291" t="s">
        <v>1314</v>
      </c>
      <c r="T48" s="291" t="s">
        <v>1313</v>
      </c>
      <c r="U48" s="291" t="s">
        <v>1296</v>
      </c>
      <c r="V48" s="291" t="s">
        <v>1306</v>
      </c>
      <c r="W48" s="291" t="str">
        <f>""</f>
        <v/>
      </c>
      <c r="X48" s="291" t="str">
        <f>"+2ST, -1MA"</f>
        <v>+2ST, -1MA</v>
      </c>
      <c r="Y48" s="273"/>
    </row>
    <row r="49" spans="1:25" ht="12.75" hidden="1" customHeight="1">
      <c r="A49" s="301"/>
      <c r="B49" s="282"/>
      <c r="C49" s="283"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294">
        <v>70000</v>
      </c>
      <c r="E49" s="305"/>
      <c r="F49" s="283" t="str">
        <f>""</f>
        <v/>
      </c>
      <c r="G49" s="294">
        <v>0</v>
      </c>
      <c r="H49" s="305"/>
      <c r="I49" s="283" t="str">
        <f>""</f>
        <v/>
      </c>
      <c r="J49" s="294">
        <v>0</v>
      </c>
      <c r="K49" s="305"/>
      <c r="L49" s="283" t="str">
        <f>""</f>
        <v/>
      </c>
      <c r="M49" s="294">
        <v>0</v>
      </c>
      <c r="N49" s="305"/>
      <c r="O49" s="283" t="str">
        <f>""</f>
        <v/>
      </c>
      <c r="P49" s="294">
        <v>0</v>
      </c>
      <c r="R49" s="291" t="s">
        <v>1301</v>
      </c>
      <c r="S49" s="291" t="s">
        <v>1315</v>
      </c>
      <c r="T49" s="291" t="str">
        <f>""</f>
        <v/>
      </c>
      <c r="U49" s="291" t="str">
        <f>""</f>
        <v/>
      </c>
      <c r="V49" s="291" t="str">
        <f>""</f>
        <v/>
      </c>
      <c r="W49" s="291" t="str">
        <f>""</f>
        <v/>
      </c>
      <c r="X49" s="291" t="str">
        <f>""</f>
        <v/>
      </c>
      <c r="Y49" s="273"/>
    </row>
    <row r="50" spans="1:25" ht="12.75" hidden="1" customHeight="1">
      <c r="A50" s="301"/>
      <c r="D50" s="275"/>
      <c r="E50" s="275"/>
      <c r="F50" s="275"/>
      <c r="G50" s="275"/>
      <c r="H50" s="275"/>
      <c r="R50" s="291" t="s">
        <v>1292</v>
      </c>
      <c r="S50" s="291" t="s">
        <v>1316</v>
      </c>
      <c r="T50" s="291" t="s">
        <v>1317</v>
      </c>
      <c r="U50" s="291" t="str">
        <f>""</f>
        <v/>
      </c>
      <c r="V50" s="291" t="str">
        <f>""</f>
        <v/>
      </c>
      <c r="W50" s="291" t="str">
        <f>""</f>
        <v/>
      </c>
      <c r="X50" s="291" t="str">
        <f>""</f>
        <v/>
      </c>
      <c r="Y50" s="273"/>
    </row>
    <row r="51" spans="1:25" ht="12.75" hidden="1" customHeight="1">
      <c r="A51" s="301"/>
      <c r="Q51" s="275"/>
      <c r="R51" s="291" t="s">
        <v>1293</v>
      </c>
      <c r="S51" s="291" t="s">
        <v>1320</v>
      </c>
      <c r="T51" s="291" t="s">
        <v>1321</v>
      </c>
      <c r="U51" s="291" t="s">
        <v>1322</v>
      </c>
      <c r="V51" s="291" t="s">
        <v>1323</v>
      </c>
      <c r="W51" s="291" t="s">
        <v>580</v>
      </c>
      <c r="X51" s="291" t="str">
        <f>" -Bone Head, +1AG"</f>
        <v xml:space="preserve"> -Bone Head, +1AG</v>
      </c>
      <c r="Y51" s="273"/>
    </row>
    <row r="52" spans="1:25" ht="12.75" hidden="1" customHeight="1">
      <c r="A52" s="301"/>
      <c r="Q52" s="275"/>
      <c r="R52" s="291" t="s">
        <v>1298</v>
      </c>
      <c r="S52" s="291" t="s">
        <v>1324</v>
      </c>
      <c r="T52" s="291" t="s">
        <v>388</v>
      </c>
      <c r="U52" s="291" t="s">
        <v>1325</v>
      </c>
      <c r="V52" s="291" t="s">
        <v>315</v>
      </c>
      <c r="W52" s="291" t="str">
        <f>""</f>
        <v/>
      </c>
      <c r="X52" s="291" t="str">
        <f>"-Throw Team Mate, -Bone Head"</f>
        <v>-Throw Team Mate, -Bone Head</v>
      </c>
      <c r="Y52" s="273"/>
    </row>
    <row r="53" spans="1:25" ht="12.75" hidden="1" customHeight="1">
      <c r="A53" s="301"/>
      <c r="Q53" s="275"/>
      <c r="R53" s="291" t="s">
        <v>1302</v>
      </c>
      <c r="S53" s="291" t="s">
        <v>1326</v>
      </c>
      <c r="T53" s="291" t="s">
        <v>388</v>
      </c>
      <c r="U53" s="291" t="s">
        <v>1327</v>
      </c>
      <c r="V53" s="291" t="s">
        <v>1328</v>
      </c>
      <c r="W53" s="291" t="s">
        <v>1329</v>
      </c>
      <c r="X53" s="291" t="str">
        <f>"-Throw Team Mate, -Bone Head"</f>
        <v>-Throw Team Mate, -Bone Head</v>
      </c>
      <c r="Y53" s="273"/>
    </row>
    <row r="54" spans="1:25" ht="12.75" hidden="1" customHeight="1">
      <c r="A54" s="301"/>
      <c r="Q54" s="275"/>
      <c r="R54" s="291" t="s">
        <v>1307</v>
      </c>
      <c r="S54" s="291" t="s">
        <v>200</v>
      </c>
      <c r="T54" s="291" t="str">
        <f>""</f>
        <v/>
      </c>
      <c r="U54" s="291" t="str">
        <f>""</f>
        <v/>
      </c>
      <c r="V54" s="291" t="str">
        <f>""</f>
        <v/>
      </c>
      <c r="W54" s="291" t="str">
        <f>""</f>
        <v/>
      </c>
      <c r="X54" s="291" t="str">
        <f>"-Bone Head"</f>
        <v>-Bone Head</v>
      </c>
      <c r="Y54" s="273"/>
    </row>
    <row r="55" spans="1:25" ht="12.75" hidden="1" customHeight="1">
      <c r="A55" s="244"/>
      <c r="R55" s="291" t="s">
        <v>1311</v>
      </c>
      <c r="S55" s="291" t="s">
        <v>1330</v>
      </c>
      <c r="T55" s="291" t="s">
        <v>1313</v>
      </c>
      <c r="U55" s="291" t="s">
        <v>1331</v>
      </c>
      <c r="V55" s="291" t="s">
        <v>1323</v>
      </c>
      <c r="W55" s="291" t="s">
        <v>1296</v>
      </c>
      <c r="X55" s="291" t="str">
        <f>"+2ST, -Bone Head, -1MA"</f>
        <v>+2ST, -Bone Head, -1MA</v>
      </c>
      <c r="Y55" s="273"/>
    </row>
    <row r="56" spans="1:25" ht="12.75" hidden="1" customHeight="1">
      <c r="A56" s="244"/>
      <c r="S56" s="274" t="str">
        <f>""</f>
        <v/>
      </c>
      <c r="T56" s="300"/>
      <c r="U56" s="291"/>
      <c r="W56" s="273"/>
      <c r="X56" s="273"/>
      <c r="Y56" s="273"/>
    </row>
    <row r="57" spans="1:25" ht="12.75" hidden="1" customHeight="1">
      <c r="T57" s="300"/>
      <c r="U57" s="300"/>
      <c r="V57" s="274" t="str">
        <f>""</f>
        <v/>
      </c>
    </row>
    <row r="58" spans="1:25" ht="12.75" hidden="1" customHeight="1">
      <c r="T58" s="300"/>
      <c r="U58" s="291"/>
    </row>
    <row r="59" spans="1:25" ht="12.75" hidden="1" customHeight="1">
      <c r="A59" s="244"/>
    </row>
    <row r="61" spans="1:25" ht="12.75" hidden="1" customHeight="1">
      <c r="A61" s="244"/>
    </row>
    <row r="62" spans="1:25" ht="12.75" hidden="1" customHeight="1">
      <c r="A62" s="244"/>
    </row>
    <row r="63" spans="1:25" ht="12.75" hidden="1" customHeight="1">
      <c r="A63" s="244"/>
    </row>
    <row r="64" spans="1:25" ht="12.75" hidden="1" customHeight="1">
      <c r="A64" s="244"/>
    </row>
    <row r="66" spans="1:1" ht="12.75" hidden="1" customHeight="1">
      <c r="A66" s="244"/>
    </row>
    <row r="67" spans="1:1" ht="12.75" hidden="1" customHeight="1">
      <c r="A67" s="244"/>
    </row>
    <row r="68" spans="1:1" ht="12.75" hidden="1" customHeight="1">
      <c r="A68" s="244"/>
    </row>
    <row r="69" spans="1:1" ht="12.75" hidden="1" customHeight="1">
      <c r="A69" s="244"/>
    </row>
    <row r="70" spans="1:1" ht="12.75" hidden="1" customHeight="1">
      <c r="A70" s="244"/>
    </row>
  </sheetData>
  <sheetProtection algorithmName="SHA-512" hashValue="0F2yHleC9AEelpsEElQbohwP6/SS6TTRoGJBFkTykAalYFVL4LQuSEb4ObavtQF2mfwrlTDsrHW1Sufjk+zFIQ==" saltValue="H4XI0P0iGmXXj8TjRrm2fQ==" spinCount="100000" sheet="1" objects="1" scenarios="1"/>
  <mergeCells count="121">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D25:E25"/>
    <mergeCell ref="G25:H25"/>
    <mergeCell ref="J25:K25"/>
    <mergeCell ref="M25:N25"/>
    <mergeCell ref="P25:Q25"/>
    <mergeCell ref="H28:R28"/>
    <mergeCell ref="H29:R29"/>
    <mergeCell ref="A31:H31"/>
    <mergeCell ref="A32:H32"/>
    <mergeCell ref="D23:E23"/>
    <mergeCell ref="G23:H23"/>
    <mergeCell ref="J23:K23"/>
    <mergeCell ref="M23:N23"/>
    <mergeCell ref="P23:Q23"/>
    <mergeCell ref="D24:E24"/>
    <mergeCell ref="G24:H24"/>
    <mergeCell ref="J24:K24"/>
    <mergeCell ref="M24:N24"/>
    <mergeCell ref="P24:Q24"/>
    <mergeCell ref="M20:N20"/>
    <mergeCell ref="P20:Q20"/>
    <mergeCell ref="D21:E21"/>
    <mergeCell ref="G21:H21"/>
    <mergeCell ref="J21:K21"/>
    <mergeCell ref="M21:N21"/>
    <mergeCell ref="P21:Q21"/>
    <mergeCell ref="D22:E22"/>
    <mergeCell ref="G22:H22"/>
    <mergeCell ref="J22:K22"/>
    <mergeCell ref="M22:N22"/>
    <mergeCell ref="P22:Q22"/>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13"/>
      <c r="C2" s="172"/>
      <c r="D2" s="172"/>
      <c r="E2" s="172"/>
      <c r="F2" s="172"/>
      <c r="G2" s="172"/>
      <c r="H2" s="172"/>
      <c r="I2" s="172"/>
      <c r="J2" s="172"/>
      <c r="K2" s="172"/>
      <c r="L2" s="172"/>
      <c r="M2" s="172"/>
      <c r="N2" s="172"/>
      <c r="O2" s="172"/>
      <c r="P2" s="30"/>
      <c r="Q2" s="485" t="str">
        <f>IF(Roster!$A$2=0,"","#"&amp;Roster!$A$2)</f>
        <v>#1</v>
      </c>
      <c r="R2" s="172"/>
      <c r="S2" s="172"/>
      <c r="T2" s="172"/>
      <c r="U2" s="172"/>
      <c r="V2" s="172"/>
      <c r="W2" s="172"/>
      <c r="X2" s="172"/>
      <c r="Y2" s="172"/>
      <c r="Z2" s="172"/>
      <c r="AA2" s="172"/>
      <c r="AB2" s="172"/>
      <c r="AC2" s="172"/>
      <c r="AD2" s="172"/>
      <c r="AE2" s="30"/>
      <c r="AF2" s="485" t="str">
        <f>IF(Roster!$A$3=0,"","#"&amp;Roster!$A$3)</f>
        <v>#2</v>
      </c>
      <c r="AG2" s="172"/>
      <c r="AH2" s="172"/>
      <c r="AI2" s="172"/>
      <c r="AJ2" s="172"/>
      <c r="AK2" s="172"/>
      <c r="AL2" s="172"/>
      <c r="AM2" s="172"/>
      <c r="AN2" s="172"/>
      <c r="AO2" s="172"/>
      <c r="AP2" s="172"/>
      <c r="AQ2" s="172"/>
      <c r="AR2" s="172"/>
      <c r="AS2" s="172"/>
      <c r="AT2" s="30"/>
      <c r="AU2" s="485" t="str">
        <f>IF(Roster!$A$4=0,"","#"&amp;Roster!$A$4)</f>
        <v>#3</v>
      </c>
      <c r="AV2" s="172"/>
      <c r="AW2" s="172"/>
      <c r="AX2" s="172"/>
      <c r="AY2" s="172"/>
      <c r="AZ2" s="172"/>
      <c r="BA2" s="172"/>
      <c r="BB2" s="172"/>
      <c r="BC2" s="172"/>
      <c r="BD2" s="172"/>
      <c r="BE2" s="172"/>
      <c r="BF2" s="172"/>
      <c r="BG2" s="172"/>
      <c r="BH2" s="172"/>
    </row>
    <row r="3" spans="1:60" ht="15" customHeight="1">
      <c r="A3" s="30"/>
      <c r="B3" s="453"/>
      <c r="C3" s="478" t="str">
        <f>IF(Roster!$J$24=0,Roster!$C$24,Roster!$J$24)</f>
        <v>RobocORK</v>
      </c>
      <c r="D3" s="439"/>
      <c r="E3" s="439"/>
      <c r="F3" s="439"/>
      <c r="G3" s="439"/>
      <c r="H3" s="439"/>
      <c r="I3" s="439"/>
      <c r="J3" s="439"/>
      <c r="K3" s="439"/>
      <c r="L3" s="439"/>
      <c r="M3" s="439"/>
      <c r="N3" s="440"/>
      <c r="O3" s="172"/>
      <c r="P3" s="30"/>
      <c r="Q3" s="453"/>
      <c r="R3" s="478" t="str">
        <f>IF(Roster!$B$2=0,"",Roster!$B$2)</f>
        <v/>
      </c>
      <c r="S3" s="439"/>
      <c r="T3" s="439"/>
      <c r="U3" s="439"/>
      <c r="V3" s="439"/>
      <c r="W3" s="439"/>
      <c r="X3" s="439"/>
      <c r="Y3" s="439"/>
      <c r="Z3" s="439"/>
      <c r="AA3" s="439"/>
      <c r="AB3" s="439"/>
      <c r="AC3" s="440"/>
      <c r="AD3" s="172"/>
      <c r="AE3" s="30"/>
      <c r="AF3" s="453"/>
      <c r="AG3" s="478" t="str">
        <f>IF(Roster!$B$3=0,"",Roster!$B$3)</f>
        <v>ZPARTAKO</v>
      </c>
      <c r="AH3" s="439"/>
      <c r="AI3" s="439"/>
      <c r="AJ3" s="439"/>
      <c r="AK3" s="439"/>
      <c r="AL3" s="439"/>
      <c r="AM3" s="439"/>
      <c r="AN3" s="439"/>
      <c r="AO3" s="439"/>
      <c r="AP3" s="439"/>
      <c r="AQ3" s="439"/>
      <c r="AR3" s="440"/>
      <c r="AS3" s="172"/>
      <c r="AT3" s="30"/>
      <c r="AU3" s="453"/>
      <c r="AV3" s="478" t="str">
        <f>IF(Roster!$B$4=0,"",Roster!$B$4)</f>
        <v>SCAVO</v>
      </c>
      <c r="AW3" s="439"/>
      <c r="AX3" s="439"/>
      <c r="AY3" s="439"/>
      <c r="AZ3" s="439"/>
      <c r="BA3" s="439"/>
      <c r="BB3" s="439"/>
      <c r="BC3" s="439"/>
      <c r="BD3" s="439"/>
      <c r="BE3" s="439"/>
      <c r="BF3" s="439"/>
      <c r="BG3" s="440"/>
      <c r="BH3" s="172"/>
    </row>
    <row r="4" spans="1:60" ht="11.25" customHeight="1">
      <c r="A4" s="30"/>
      <c r="B4" s="453"/>
      <c r="C4" s="484" t="str">
        <f>IF(Roster!$J$21="SPONSORS",Roster!$J$23,Roster!$J$23&amp;"; Sponsor: "&amp;Roster!$J$21)</f>
        <v>Orc; Sponsor: MCMURTY’S BURGER EMPORIUM</v>
      </c>
      <c r="D4" s="439"/>
      <c r="E4" s="439"/>
      <c r="F4" s="439"/>
      <c r="G4" s="439"/>
      <c r="H4" s="439"/>
      <c r="I4" s="439"/>
      <c r="J4" s="439"/>
      <c r="K4" s="439"/>
      <c r="L4" s="439"/>
      <c r="M4" s="439"/>
      <c r="N4" s="440"/>
      <c r="O4" s="173"/>
      <c r="P4" s="30"/>
      <c r="Q4" s="454"/>
      <c r="R4" s="484" t="str">
        <f>IF(Roster!$C$2=0,"",Roster!$C$2)</f>
        <v/>
      </c>
      <c r="S4" s="439"/>
      <c r="T4" s="439"/>
      <c r="U4" s="439"/>
      <c r="V4" s="439"/>
      <c r="W4" s="439"/>
      <c r="X4" s="439"/>
      <c r="Y4" s="439"/>
      <c r="Z4" s="439"/>
      <c r="AA4" s="439"/>
      <c r="AB4" s="439"/>
      <c r="AC4" s="440"/>
      <c r="AD4" s="173"/>
      <c r="AE4" s="30"/>
      <c r="AF4" s="454"/>
      <c r="AG4" s="484" t="str">
        <f>IF(Roster!$C$3=0,"",Roster!$C$3)</f>
        <v>Big Un</v>
      </c>
      <c r="AH4" s="439"/>
      <c r="AI4" s="439"/>
      <c r="AJ4" s="439"/>
      <c r="AK4" s="439"/>
      <c r="AL4" s="439"/>
      <c r="AM4" s="439"/>
      <c r="AN4" s="439"/>
      <c r="AO4" s="439"/>
      <c r="AP4" s="439"/>
      <c r="AQ4" s="439"/>
      <c r="AR4" s="440"/>
      <c r="AS4" s="173"/>
      <c r="AT4" s="30"/>
      <c r="AU4" s="454"/>
      <c r="AV4" s="484" t="str">
        <f>IF(Roster!$C$4=0,"",Roster!$C$4)</f>
        <v>Big Un</v>
      </c>
      <c r="AW4" s="439"/>
      <c r="AX4" s="439"/>
      <c r="AY4" s="439"/>
      <c r="AZ4" s="439"/>
      <c r="BA4" s="439"/>
      <c r="BB4" s="439"/>
      <c r="BC4" s="439"/>
      <c r="BD4" s="439"/>
      <c r="BE4" s="439"/>
      <c r="BF4" s="439"/>
      <c r="BG4" s="440"/>
      <c r="BH4" s="173"/>
    </row>
    <row r="5" spans="1:60" ht="11.25" customHeight="1">
      <c r="A5" s="30"/>
      <c r="B5" s="454"/>
      <c r="C5" s="174"/>
      <c r="D5" s="484" t="str">
        <f>IF(Roster!$C$32=0,"",Roster!$C$32)</f>
        <v>VALORE SQUADRA</v>
      </c>
      <c r="E5" s="439"/>
      <c r="F5" s="440"/>
      <c r="G5" s="175"/>
      <c r="H5" s="484" t="str">
        <f>IF(Roster!$C$26=0,"",Roster!$C$26)</f>
        <v>TIFOSI SFEGATATI</v>
      </c>
      <c r="I5" s="439"/>
      <c r="J5" s="440"/>
      <c r="K5" s="175"/>
      <c r="L5" s="484" t="str">
        <f>IF(Roster!$AD$21=0,"",Roster!$AD$21)</f>
        <v>REROLLS TOTALI</v>
      </c>
      <c r="M5" s="439"/>
      <c r="N5" s="440"/>
      <c r="O5" s="172"/>
      <c r="P5" s="30"/>
      <c r="Q5" s="176" t="str">
        <f>IF(Roster!$J$1=0,"",Roster!$J$1)</f>
        <v>MA</v>
      </c>
      <c r="R5" s="175"/>
      <c r="S5" s="497"/>
      <c r="T5" s="497"/>
      <c r="U5" s="497"/>
      <c r="V5" s="497"/>
      <c r="W5" s="497"/>
      <c r="X5" s="497"/>
      <c r="Y5" s="497"/>
      <c r="Z5" s="497"/>
      <c r="AA5" s="497"/>
      <c r="AB5" s="497"/>
      <c r="AC5" s="497"/>
      <c r="AD5" s="172"/>
      <c r="AE5" s="30"/>
      <c r="AF5" s="176" t="str">
        <f>IF(Roster!$J$1=0,"",Roster!$J$1)</f>
        <v>MA</v>
      </c>
      <c r="AG5" s="175"/>
      <c r="AH5" s="497"/>
      <c r="AI5" s="497"/>
      <c r="AJ5" s="497"/>
      <c r="AK5" s="497"/>
      <c r="AL5" s="497"/>
      <c r="AM5" s="497"/>
      <c r="AN5" s="497"/>
      <c r="AO5" s="497"/>
      <c r="AP5" s="497"/>
      <c r="AQ5" s="497"/>
      <c r="AR5" s="497"/>
      <c r="AS5" s="172"/>
      <c r="AT5" s="30"/>
      <c r="AU5" s="176" t="str">
        <f>IF(Roster!$J$1=0,"",Roster!$J$1)</f>
        <v>MA</v>
      </c>
      <c r="AV5" s="175"/>
      <c r="AW5" s="497"/>
      <c r="AX5" s="497"/>
      <c r="AY5" s="497"/>
      <c r="AZ5" s="497"/>
      <c r="BA5" s="497"/>
      <c r="BB5" s="497"/>
      <c r="BC5" s="497"/>
      <c r="BD5" s="497"/>
      <c r="BE5" s="497"/>
      <c r="BF5" s="497"/>
      <c r="BG5" s="497"/>
      <c r="BH5" s="172"/>
    </row>
    <row r="6" spans="1:60" ht="37.5" customHeight="1">
      <c r="A6" s="30"/>
      <c r="B6" s="514" t="str">
        <f>IF(Roster!$J$22=0,"",Roster!$J$22)</f>
        <v>LIHULK</v>
      </c>
      <c r="C6" s="177"/>
      <c r="D6" s="512">
        <f>Roster!$J$32</f>
        <v>1200</v>
      </c>
      <c r="E6" s="439"/>
      <c r="F6" s="440"/>
      <c r="G6" s="175"/>
      <c r="H6" s="512">
        <f>IF(Roster!$J$26=0,"",Roster!$J$26)</f>
        <v>4</v>
      </c>
      <c r="I6" s="439"/>
      <c r="J6" s="440"/>
      <c r="K6" s="175"/>
      <c r="L6" s="512">
        <f>Roster!$AI$22</f>
        <v>2</v>
      </c>
      <c r="M6" s="439"/>
      <c r="N6" s="440"/>
      <c r="O6" s="172"/>
      <c r="P6" s="30"/>
      <c r="Q6" s="178" t="str">
        <f>IF(Roster!$J$2=0,"",Roster!$J$2)</f>
        <v/>
      </c>
      <c r="R6" s="175"/>
      <c r="S6" s="497"/>
      <c r="T6" s="497"/>
      <c r="U6" s="497"/>
      <c r="V6" s="497"/>
      <c r="W6" s="497"/>
      <c r="X6" s="497"/>
      <c r="Y6" s="497"/>
      <c r="Z6" s="497"/>
      <c r="AA6" s="497"/>
      <c r="AB6" s="497"/>
      <c r="AC6" s="497"/>
      <c r="AD6" s="172"/>
      <c r="AE6" s="30"/>
      <c r="AF6" s="178">
        <f>IF(Roster!$J$3=0,"",Roster!$J$3)</f>
        <v>5</v>
      </c>
      <c r="AG6" s="175"/>
      <c r="AH6" s="497"/>
      <c r="AI6" s="497"/>
      <c r="AJ6" s="497"/>
      <c r="AK6" s="497"/>
      <c r="AL6" s="497"/>
      <c r="AM6" s="497"/>
      <c r="AN6" s="497"/>
      <c r="AO6" s="497"/>
      <c r="AP6" s="497"/>
      <c r="AQ6" s="497"/>
      <c r="AR6" s="497"/>
      <c r="AS6" s="172"/>
      <c r="AT6" s="30"/>
      <c r="AU6" s="178">
        <f>IF(Roster!$J$4=0,"",Roster!$J$4)</f>
        <v>5</v>
      </c>
      <c r="AV6" s="175"/>
      <c r="AW6" s="497"/>
      <c r="AX6" s="497"/>
      <c r="AY6" s="497"/>
      <c r="AZ6" s="497"/>
      <c r="BA6" s="497"/>
      <c r="BB6" s="497"/>
      <c r="BC6" s="497"/>
      <c r="BD6" s="497"/>
      <c r="BE6" s="497"/>
      <c r="BF6" s="497"/>
      <c r="BG6" s="497"/>
      <c r="BH6" s="172"/>
    </row>
    <row r="7" spans="1:60" ht="11.25" customHeight="1">
      <c r="A7" s="30"/>
      <c r="B7" s="453"/>
      <c r="C7" s="176"/>
      <c r="D7" s="484" t="str">
        <f>IF(Roster!$R$22=0,"",Roster!$R$22)</f>
        <v>MEDICO</v>
      </c>
      <c r="E7" s="439"/>
      <c r="F7" s="440"/>
      <c r="G7" s="175"/>
      <c r="H7" s="484" t="str">
        <f>IF(Roster!$R$23=0,"",Roster!$R$23)</f>
        <v>CHEERLEADERS</v>
      </c>
      <c r="I7" s="439"/>
      <c r="J7" s="440"/>
      <c r="K7" s="175"/>
      <c r="L7" s="484" t="str">
        <f>IF(Roster!$R$24=0,"",Roster!$R$24)</f>
        <v>ASSISTENTI ALLENATORI</v>
      </c>
      <c r="M7" s="439"/>
      <c r="N7" s="440"/>
      <c r="O7" s="172"/>
      <c r="P7" s="30"/>
      <c r="Q7" s="176" t="str">
        <f>IF(Roster!$K$1=0,"",Roster!$K$1)</f>
        <v>ST</v>
      </c>
      <c r="R7" s="175"/>
      <c r="S7" s="497"/>
      <c r="T7" s="497"/>
      <c r="U7" s="497"/>
      <c r="V7" s="497"/>
      <c r="W7" s="497"/>
      <c r="X7" s="497"/>
      <c r="Y7" s="497"/>
      <c r="Z7" s="497"/>
      <c r="AA7" s="497"/>
      <c r="AB7" s="497"/>
      <c r="AC7" s="497"/>
      <c r="AD7" s="172"/>
      <c r="AE7" s="30"/>
      <c r="AF7" s="176" t="str">
        <f>IF(Roster!$K$1=0,"",Roster!$K$1)</f>
        <v>ST</v>
      </c>
      <c r="AG7" s="175"/>
      <c r="AH7" s="497"/>
      <c r="AI7" s="497"/>
      <c r="AJ7" s="497"/>
      <c r="AK7" s="497"/>
      <c r="AL7" s="497"/>
      <c r="AM7" s="497"/>
      <c r="AN7" s="497"/>
      <c r="AO7" s="497"/>
      <c r="AP7" s="497"/>
      <c r="AQ7" s="497"/>
      <c r="AR7" s="497"/>
      <c r="AS7" s="172"/>
      <c r="AT7" s="30"/>
      <c r="AU7" s="176" t="str">
        <f>IF(Roster!$K$1=0,"",Roster!$K$1)</f>
        <v>ST</v>
      </c>
      <c r="AV7" s="175"/>
      <c r="AW7" s="497"/>
      <c r="AX7" s="497"/>
      <c r="AY7" s="497"/>
      <c r="AZ7" s="497"/>
      <c r="BA7" s="497"/>
      <c r="BB7" s="497"/>
      <c r="BC7" s="497"/>
      <c r="BD7" s="497"/>
      <c r="BE7" s="497"/>
      <c r="BF7" s="497"/>
      <c r="BG7" s="497"/>
      <c r="BH7" s="172"/>
    </row>
    <row r="8" spans="1:60" ht="37.5" customHeight="1">
      <c r="A8" s="30"/>
      <c r="B8" s="453"/>
      <c r="C8" s="179"/>
      <c r="D8" s="512">
        <f>Roster!$W$22</f>
        <v>0</v>
      </c>
      <c r="E8" s="439"/>
      <c r="F8" s="440"/>
      <c r="G8" s="175"/>
      <c r="H8" s="512">
        <f>Roster!$W$23</f>
        <v>0</v>
      </c>
      <c r="I8" s="439"/>
      <c r="J8" s="440"/>
      <c r="K8" s="175"/>
      <c r="L8" s="512">
        <f>Roster!$W$24</f>
        <v>0</v>
      </c>
      <c r="M8" s="439"/>
      <c r="N8" s="440"/>
      <c r="O8" s="172"/>
      <c r="P8" s="30"/>
      <c r="Q8" s="178" t="str">
        <f>IF(Roster!$K$2=0,"",Roster!$K$2)</f>
        <v/>
      </c>
      <c r="R8" s="175"/>
      <c r="S8" s="497"/>
      <c r="T8" s="497"/>
      <c r="U8" s="497"/>
      <c r="V8" s="497"/>
      <c r="W8" s="497"/>
      <c r="X8" s="497"/>
      <c r="Y8" s="497"/>
      <c r="Z8" s="497"/>
      <c r="AA8" s="497"/>
      <c r="AB8" s="497"/>
      <c r="AC8" s="497"/>
      <c r="AD8" s="172"/>
      <c r="AE8" s="30"/>
      <c r="AF8" s="178">
        <f>IF(Roster!$K$3=0,"",Roster!$K$3)</f>
        <v>4</v>
      </c>
      <c r="AG8" s="175"/>
      <c r="AH8" s="497"/>
      <c r="AI8" s="497"/>
      <c r="AJ8" s="497"/>
      <c r="AK8" s="497"/>
      <c r="AL8" s="497"/>
      <c r="AM8" s="497"/>
      <c r="AN8" s="497"/>
      <c r="AO8" s="497"/>
      <c r="AP8" s="497"/>
      <c r="AQ8" s="497"/>
      <c r="AR8" s="497"/>
      <c r="AS8" s="172"/>
      <c r="AT8" s="30"/>
      <c r="AU8" s="178">
        <f>IF(Roster!$K$4=0,"",Roster!$K$4)</f>
        <v>4</v>
      </c>
      <c r="AV8" s="175"/>
      <c r="AW8" s="497"/>
      <c r="AX8" s="497"/>
      <c r="AY8" s="497"/>
      <c r="AZ8" s="497"/>
      <c r="BA8" s="497"/>
      <c r="BB8" s="497"/>
      <c r="BC8" s="497"/>
      <c r="BD8" s="497"/>
      <c r="BE8" s="497"/>
      <c r="BF8" s="497"/>
      <c r="BG8" s="497"/>
      <c r="BH8" s="172"/>
    </row>
    <row r="9" spans="1:60" ht="11.25" customHeight="1">
      <c r="A9" s="30"/>
      <c r="B9" s="453"/>
      <c r="C9" s="174"/>
      <c r="D9" s="484" t="str">
        <f>IF(Roster!$R$25=0,"",Roster!$R$25)</f>
        <v>FUSTI DI BLOODWEISER</v>
      </c>
      <c r="E9" s="439"/>
      <c r="F9" s="440"/>
      <c r="G9" s="175"/>
      <c r="H9" s="484" t="str">
        <f>IF(Roster!$R$29=0,"",Roster!$R$29)</f>
        <v>MAZZETTE</v>
      </c>
      <c r="I9" s="439"/>
      <c r="J9" s="440"/>
      <c r="K9" s="175"/>
      <c r="L9" s="484" t="str">
        <f>IF(Roster!$R$30=0,"",Roster!$R$30)</f>
        <v>CAPOCUOCO</v>
      </c>
      <c r="M9" s="439"/>
      <c r="N9" s="440"/>
      <c r="O9" s="172"/>
      <c r="P9" s="30"/>
      <c r="Q9" s="176" t="str">
        <f>IF(Roster!$L$1=0,"",Roster!$L$1)</f>
        <v>AG</v>
      </c>
      <c r="R9" s="175"/>
      <c r="S9" s="497"/>
      <c r="T9" s="497"/>
      <c r="U9" s="497"/>
      <c r="V9" s="497"/>
      <c r="W9" s="497"/>
      <c r="X9" s="497"/>
      <c r="Y9" s="497"/>
      <c r="Z9" s="497"/>
      <c r="AA9" s="497"/>
      <c r="AB9" s="497"/>
      <c r="AC9" s="497"/>
      <c r="AD9" s="172"/>
      <c r="AE9" s="30"/>
      <c r="AF9" s="176" t="str">
        <f>IF(Roster!$L$1=0,"",Roster!$L$1)</f>
        <v>AG</v>
      </c>
      <c r="AG9" s="175"/>
      <c r="AH9" s="497"/>
      <c r="AI9" s="497"/>
      <c r="AJ9" s="497"/>
      <c r="AK9" s="497"/>
      <c r="AL9" s="497"/>
      <c r="AM9" s="497"/>
      <c r="AN9" s="497"/>
      <c r="AO9" s="497"/>
      <c r="AP9" s="497"/>
      <c r="AQ9" s="497"/>
      <c r="AR9" s="497"/>
      <c r="AS9" s="172"/>
      <c r="AT9" s="30"/>
      <c r="AU9" s="176" t="str">
        <f>IF(Roster!$L$1=0,"",Roster!$L$1)</f>
        <v>AG</v>
      </c>
      <c r="AV9" s="175"/>
      <c r="AW9" s="497"/>
      <c r="AX9" s="497"/>
      <c r="AY9" s="497"/>
      <c r="AZ9" s="497"/>
      <c r="BA9" s="497"/>
      <c r="BB9" s="497"/>
      <c r="BC9" s="497"/>
      <c r="BD9" s="497"/>
      <c r="BE9" s="497"/>
      <c r="BF9" s="497"/>
      <c r="BG9" s="497"/>
      <c r="BH9" s="172"/>
    </row>
    <row r="10" spans="1:60" ht="37.5" customHeight="1">
      <c r="A10" s="30"/>
      <c r="B10" s="453"/>
      <c r="C10" s="179"/>
      <c r="D10" s="512">
        <f>Roster!$W$25</f>
        <v>0</v>
      </c>
      <c r="E10" s="439"/>
      <c r="F10" s="440"/>
      <c r="G10" s="175"/>
      <c r="H10" s="512">
        <f>Roster!$W$29</f>
        <v>0</v>
      </c>
      <c r="I10" s="439"/>
      <c r="J10" s="440"/>
      <c r="K10" s="175"/>
      <c r="L10" s="512">
        <f>Roster!$W$30</f>
        <v>0</v>
      </c>
      <c r="M10" s="439"/>
      <c r="N10" s="440"/>
      <c r="O10" s="172"/>
      <c r="P10" s="30"/>
      <c r="Q10" s="178" t="str">
        <f>IF(Roster!$L$2=0&amp;"+","",Roster!$L$2)</f>
        <v/>
      </c>
      <c r="R10" s="175"/>
      <c r="S10" s="497"/>
      <c r="T10" s="497"/>
      <c r="U10" s="497"/>
      <c r="V10" s="497"/>
      <c r="W10" s="497"/>
      <c r="X10" s="497"/>
      <c r="Y10" s="497"/>
      <c r="Z10" s="497"/>
      <c r="AA10" s="497"/>
      <c r="AB10" s="497"/>
      <c r="AC10" s="497"/>
      <c r="AD10" s="172"/>
      <c r="AE10" s="30"/>
      <c r="AF10" s="178" t="str">
        <f>IF(Roster!$L$3=0&amp;"+","",Roster!$L$3)</f>
        <v>4+</v>
      </c>
      <c r="AG10" s="175"/>
      <c r="AH10" s="497"/>
      <c r="AI10" s="497"/>
      <c r="AJ10" s="497"/>
      <c r="AK10" s="497"/>
      <c r="AL10" s="497"/>
      <c r="AM10" s="497"/>
      <c r="AN10" s="497"/>
      <c r="AO10" s="497"/>
      <c r="AP10" s="497"/>
      <c r="AQ10" s="497"/>
      <c r="AR10" s="497"/>
      <c r="AS10" s="172"/>
      <c r="AT10" s="30"/>
      <c r="AU10" s="178" t="str">
        <f>IF(Roster!$L$4=0&amp;"+","",Roster!$L$4)</f>
        <v>4+</v>
      </c>
      <c r="AV10" s="175"/>
      <c r="AW10" s="497"/>
      <c r="AX10" s="497"/>
      <c r="AY10" s="497"/>
      <c r="AZ10" s="497"/>
      <c r="BA10" s="497"/>
      <c r="BB10" s="497"/>
      <c r="BC10" s="497"/>
      <c r="BD10" s="497"/>
      <c r="BE10" s="497"/>
      <c r="BF10" s="497"/>
      <c r="BG10" s="497"/>
      <c r="BH10" s="172"/>
    </row>
    <row r="11" spans="1:60" ht="11.25" customHeight="1">
      <c r="A11" s="30"/>
      <c r="B11" s="453"/>
      <c r="C11" s="176"/>
      <c r="D11" s="509" t="str">
        <f>IF(Roster!$R$31=0,"",Roster!$R$31)</f>
        <v>ESORDIENTI RIBELLI</v>
      </c>
      <c r="E11" s="439"/>
      <c r="F11" s="440"/>
      <c r="G11" s="180"/>
      <c r="H11" s="509" t="str">
        <f>IF(Roster!$AD$25=0,"",Roster!$AD$25)</f>
        <v>WIZARDS</v>
      </c>
      <c r="I11" s="439"/>
      <c r="J11" s="440"/>
      <c r="K11" s="180"/>
      <c r="L11" s="484" t="str">
        <f>IF(Roster!$AD$24=0,"",Roster!$AD$24)</f>
        <v>MAGO DEL CLIMA</v>
      </c>
      <c r="M11" s="439"/>
      <c r="N11" s="440"/>
      <c r="O11" s="181"/>
      <c r="P11" s="30"/>
      <c r="Q11" s="176" t="str">
        <f>IF(Roster!$M$1=0,"",Roster!$M$1)</f>
        <v>PA</v>
      </c>
      <c r="R11" s="175"/>
      <c r="S11" s="497"/>
      <c r="T11" s="497"/>
      <c r="U11" s="497"/>
      <c r="V11" s="497"/>
      <c r="W11" s="497"/>
      <c r="X11" s="497"/>
      <c r="Y11" s="497"/>
      <c r="Z11" s="497"/>
      <c r="AA11" s="497"/>
      <c r="AB11" s="497"/>
      <c r="AC11" s="497"/>
      <c r="AD11" s="181"/>
      <c r="AE11" s="30"/>
      <c r="AF11" s="176" t="str">
        <f>IF(Roster!$M$1=0,"",Roster!$M$1)</f>
        <v>PA</v>
      </c>
      <c r="AG11" s="175"/>
      <c r="AH11" s="497"/>
      <c r="AI11" s="497"/>
      <c r="AJ11" s="497"/>
      <c r="AK11" s="497"/>
      <c r="AL11" s="497"/>
      <c r="AM11" s="497"/>
      <c r="AN11" s="497"/>
      <c r="AO11" s="497"/>
      <c r="AP11" s="497"/>
      <c r="AQ11" s="497"/>
      <c r="AR11" s="497"/>
      <c r="AS11" s="181"/>
      <c r="AT11" s="30"/>
      <c r="AU11" s="176" t="str">
        <f>IF(Roster!$M$1=0,"",Roster!$M$1)</f>
        <v>PA</v>
      </c>
      <c r="AV11" s="175"/>
      <c r="AW11" s="497"/>
      <c r="AX11" s="497"/>
      <c r="AY11" s="497"/>
      <c r="AZ11" s="497"/>
      <c r="BA11" s="497"/>
      <c r="BB11" s="497"/>
      <c r="BC11" s="497"/>
      <c r="BD11" s="497"/>
      <c r="BE11" s="497"/>
      <c r="BF11" s="497"/>
      <c r="BG11" s="497"/>
      <c r="BH11" s="181"/>
    </row>
    <row r="12" spans="1:60" ht="6" customHeight="1">
      <c r="A12" s="30"/>
      <c r="B12" s="453"/>
      <c r="C12" s="177"/>
      <c r="D12" s="501">
        <f>Roster!$W$31</f>
        <v>0</v>
      </c>
      <c r="E12" s="502"/>
      <c r="F12" s="503"/>
      <c r="G12" s="182"/>
      <c r="H12" s="501">
        <f>Roster!$AI$25</f>
        <v>0</v>
      </c>
      <c r="I12" s="502"/>
      <c r="J12" s="503"/>
      <c r="K12" s="182"/>
      <c r="L12" s="501">
        <f>Roster!$AI$24</f>
        <v>0</v>
      </c>
      <c r="M12" s="502"/>
      <c r="N12" s="503"/>
      <c r="O12" s="183"/>
      <c r="P12" s="30"/>
      <c r="Q12" s="486" t="str">
        <f>IF(Roster!$M$2=0&amp;"+","",Roster!$M$2)</f>
        <v/>
      </c>
      <c r="R12" s="175"/>
      <c r="S12" s="497"/>
      <c r="T12" s="497"/>
      <c r="U12" s="497"/>
      <c r="V12" s="497"/>
      <c r="W12" s="497"/>
      <c r="X12" s="497"/>
      <c r="Y12" s="497"/>
      <c r="Z12" s="497"/>
      <c r="AA12" s="497"/>
      <c r="AB12" s="497"/>
      <c r="AC12" s="497"/>
      <c r="AD12" s="183"/>
      <c r="AE12" s="30"/>
      <c r="AF12" s="486" t="str">
        <f>IF(Roster!$M$3=0&amp;"+","",Roster!$M$3)</f>
        <v/>
      </c>
      <c r="AG12" s="175"/>
      <c r="AH12" s="497"/>
      <c r="AI12" s="497"/>
      <c r="AJ12" s="497"/>
      <c r="AK12" s="497"/>
      <c r="AL12" s="497"/>
      <c r="AM12" s="497"/>
      <c r="AN12" s="497"/>
      <c r="AO12" s="497"/>
      <c r="AP12" s="497"/>
      <c r="AQ12" s="497"/>
      <c r="AR12" s="497"/>
      <c r="AS12" s="183"/>
      <c r="AT12" s="30"/>
      <c r="AU12" s="486" t="str">
        <f>IF(Roster!$M$4=0&amp;"+","",Roster!$M$4)</f>
        <v/>
      </c>
      <c r="AV12" s="175"/>
      <c r="AW12" s="497"/>
      <c r="AX12" s="497"/>
      <c r="AY12" s="497"/>
      <c r="AZ12" s="497"/>
      <c r="BA12" s="497"/>
      <c r="BB12" s="497"/>
      <c r="BC12" s="497"/>
      <c r="BD12" s="497"/>
      <c r="BE12" s="497"/>
      <c r="BF12" s="497"/>
      <c r="BG12" s="497"/>
      <c r="BH12" s="183"/>
    </row>
    <row r="13" spans="1:60" ht="4.5" customHeight="1">
      <c r="A13" s="30"/>
      <c r="B13" s="453"/>
      <c r="C13" s="177"/>
      <c r="D13" s="504"/>
      <c r="E13" s="368"/>
      <c r="F13" s="505"/>
      <c r="G13" s="182"/>
      <c r="H13" s="504"/>
      <c r="I13" s="368"/>
      <c r="J13" s="505"/>
      <c r="K13" s="182"/>
      <c r="L13" s="504"/>
      <c r="M13" s="368"/>
      <c r="N13" s="505"/>
      <c r="O13" s="183"/>
      <c r="P13" s="30"/>
      <c r="Q13" s="453"/>
      <c r="R13" s="175"/>
      <c r="S13" s="172"/>
      <c r="T13" s="182"/>
      <c r="U13" s="172"/>
      <c r="V13" s="182"/>
      <c r="W13" s="172"/>
      <c r="X13" s="182"/>
      <c r="Y13" s="172"/>
      <c r="Z13" s="182"/>
      <c r="AA13" s="172"/>
      <c r="AB13" s="182"/>
      <c r="AC13" s="172"/>
      <c r="AD13" s="183"/>
      <c r="AE13" s="30"/>
      <c r="AF13" s="453"/>
      <c r="AG13" s="175"/>
      <c r="AH13" s="172"/>
      <c r="AI13" s="182"/>
      <c r="AJ13" s="172"/>
      <c r="AK13" s="182"/>
      <c r="AL13" s="172"/>
      <c r="AM13" s="182"/>
      <c r="AN13" s="172"/>
      <c r="AO13" s="182"/>
      <c r="AP13" s="172"/>
      <c r="AQ13" s="182"/>
      <c r="AR13" s="172"/>
      <c r="AS13" s="183"/>
      <c r="AT13" s="30"/>
      <c r="AU13" s="453"/>
      <c r="AV13" s="175"/>
      <c r="AW13" s="172"/>
      <c r="AX13" s="182"/>
      <c r="AY13" s="172"/>
      <c r="AZ13" s="182"/>
      <c r="BA13" s="172"/>
      <c r="BB13" s="182"/>
      <c r="BC13" s="172"/>
      <c r="BD13" s="182"/>
      <c r="BE13" s="172"/>
      <c r="BF13" s="182"/>
      <c r="BG13" s="172"/>
      <c r="BH13" s="183"/>
    </row>
    <row r="14" spans="1:60" ht="11.25" customHeight="1">
      <c r="A14" s="30"/>
      <c r="B14" s="453"/>
      <c r="C14" s="177"/>
      <c r="D14" s="504"/>
      <c r="E14" s="368"/>
      <c r="F14" s="505"/>
      <c r="G14" s="182"/>
      <c r="H14" s="504"/>
      <c r="I14" s="368"/>
      <c r="J14" s="505"/>
      <c r="K14" s="182"/>
      <c r="L14" s="504"/>
      <c r="M14" s="368"/>
      <c r="N14" s="505"/>
      <c r="O14" s="183"/>
      <c r="P14" s="30"/>
      <c r="Q14" s="453"/>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53"/>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53"/>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53"/>
      <c r="C15" s="177"/>
      <c r="D15" s="504"/>
      <c r="E15" s="368"/>
      <c r="F15" s="505"/>
      <c r="G15" s="177"/>
      <c r="H15" s="504"/>
      <c r="I15" s="368"/>
      <c r="J15" s="505"/>
      <c r="K15" s="177"/>
      <c r="L15" s="504"/>
      <c r="M15" s="368"/>
      <c r="N15" s="505"/>
      <c r="O15" s="183"/>
      <c r="P15" s="30"/>
      <c r="Q15" s="453"/>
      <c r="R15" s="177"/>
      <c r="S15" s="185" t="str">
        <f>IF(Roster!$AC$2=0,"",Roster!$AC$2)</f>
        <v/>
      </c>
      <c r="T15" s="177"/>
      <c r="U15" s="185" t="str">
        <f>IF((SUM(W15,Y15,AA15))=0,"",(SUM(W15,Y15,AA15)))</f>
        <v/>
      </c>
      <c r="V15" s="177"/>
      <c r="W15" s="185" t="str">
        <f>IF(Roster!$AF$2=0,"",Roster!$AF$2)</f>
        <v/>
      </c>
      <c r="X15" s="177"/>
      <c r="Y15" s="185" t="str">
        <f>IF(Roster!$AG$2=0,"",Roster!$AG$2)</f>
        <v/>
      </c>
      <c r="Z15" s="177"/>
      <c r="AA15" s="185" t="str">
        <f>IF(Roster!$AH$2=0,"",Roster!$AH$2)</f>
        <v/>
      </c>
      <c r="AB15" s="177"/>
      <c r="AC15" s="185" t="str">
        <f>IF(Roster!$AB$2=0,"",Roster!$AB$2)</f>
        <v/>
      </c>
      <c r="AD15" s="183"/>
      <c r="AE15" s="30"/>
      <c r="AF15" s="453"/>
      <c r="AG15" s="177"/>
      <c r="AH15" s="185" t="str">
        <f>IF(Roster!$AC$3=0,"",Roster!$AC$3)</f>
        <v/>
      </c>
      <c r="AI15" s="177"/>
      <c r="AJ15" s="185" t="str">
        <f>IF((SUM(AL15,AN15,AP15))=0,"",(SUM(AL15,AN15,AP15)))</f>
        <v/>
      </c>
      <c r="AK15" s="177"/>
      <c r="AL15" s="185" t="str">
        <f>IF(Roster!$AF$3=0,"",Roster!$AF$3)</f>
        <v/>
      </c>
      <c r="AM15" s="177"/>
      <c r="AN15" s="185" t="str">
        <f>IF(Roster!$AG$3=0,"",Roster!$AG$3)</f>
        <v/>
      </c>
      <c r="AO15" s="177"/>
      <c r="AP15" s="185" t="str">
        <f>IF(Roster!$AH$3=0,"",Roster!$AH$3)</f>
        <v/>
      </c>
      <c r="AQ15" s="177"/>
      <c r="AR15" s="185" t="str">
        <f>IF(Roster!$AB$3=0,"",Roster!$AB$3)</f>
        <v/>
      </c>
      <c r="AS15" s="183"/>
      <c r="AT15" s="30"/>
      <c r="AU15" s="453"/>
      <c r="AV15" s="177"/>
      <c r="AW15" s="185" t="str">
        <f>IF(Roster!$AC$4=0,"",Roster!$AC$4)</f>
        <v/>
      </c>
      <c r="AX15" s="177"/>
      <c r="AY15" s="185">
        <f>IF((SUM(BA15,BC15,BE15))=0,"",(SUM(BA15,BC15,BE15)))</f>
        <v>1</v>
      </c>
      <c r="AZ15" s="177"/>
      <c r="BA15" s="185">
        <f>IF(Roster!$AF$4=0,"",Roster!$AF$4)</f>
        <v>1</v>
      </c>
      <c r="BB15" s="177"/>
      <c r="BC15" s="185" t="str">
        <f>IF(Roster!$AG$4=0,"",Roster!$AG$4)</f>
        <v/>
      </c>
      <c r="BD15" s="177"/>
      <c r="BE15" s="185" t="str">
        <f>IF(Roster!$AH$4=0,"",Roster!$AH$4)</f>
        <v/>
      </c>
      <c r="BF15" s="177"/>
      <c r="BG15" s="185" t="str">
        <f>IF(Roster!$AB$4=0,"",Roster!$AB$4)</f>
        <v/>
      </c>
      <c r="BH15" s="183"/>
    </row>
    <row r="16" spans="1:60" ht="4.5" customHeight="1">
      <c r="A16" s="30"/>
      <c r="B16" s="453"/>
      <c r="C16" s="177"/>
      <c r="D16" s="506"/>
      <c r="E16" s="507"/>
      <c r="F16" s="508"/>
      <c r="G16" s="177"/>
      <c r="H16" s="506"/>
      <c r="I16" s="507"/>
      <c r="J16" s="508"/>
      <c r="K16" s="177"/>
      <c r="L16" s="506"/>
      <c r="M16" s="507"/>
      <c r="N16" s="508"/>
      <c r="O16" s="183"/>
      <c r="P16" s="30"/>
      <c r="Q16" s="454"/>
      <c r="R16" s="177"/>
      <c r="S16" s="186"/>
      <c r="T16" s="177"/>
      <c r="U16" s="186"/>
      <c r="V16" s="177"/>
      <c r="W16" s="186"/>
      <c r="X16" s="177"/>
      <c r="Y16" s="186"/>
      <c r="Z16" s="177"/>
      <c r="AA16" s="186"/>
      <c r="AB16" s="177"/>
      <c r="AC16" s="186"/>
      <c r="AD16" s="183"/>
      <c r="AE16" s="30"/>
      <c r="AF16" s="454"/>
      <c r="AG16" s="177"/>
      <c r="AH16" s="186"/>
      <c r="AI16" s="177"/>
      <c r="AJ16" s="186"/>
      <c r="AK16" s="177"/>
      <c r="AL16" s="186"/>
      <c r="AM16" s="177"/>
      <c r="AN16" s="186"/>
      <c r="AO16" s="177"/>
      <c r="AP16" s="186"/>
      <c r="AQ16" s="177"/>
      <c r="AR16" s="186"/>
      <c r="AS16" s="183"/>
      <c r="AT16" s="30"/>
      <c r="AU16" s="454"/>
      <c r="AV16" s="177"/>
      <c r="AW16" s="186"/>
      <c r="AX16" s="177"/>
      <c r="AY16" s="186"/>
      <c r="AZ16" s="177"/>
      <c r="BA16" s="186"/>
      <c r="BB16" s="177"/>
      <c r="BC16" s="186"/>
      <c r="BD16" s="177"/>
      <c r="BE16" s="186"/>
      <c r="BF16" s="177"/>
      <c r="BG16" s="186"/>
      <c r="BH16" s="183"/>
    </row>
    <row r="17" spans="1:60" ht="11.25" customHeight="1">
      <c r="A17" s="30"/>
      <c r="B17" s="453"/>
      <c r="C17" s="176"/>
      <c r="D17" s="484" t="str">
        <f>IF(Roster!$R$26=0,"",Roster!$R$26)</f>
        <v>CARTE SPECIALI</v>
      </c>
      <c r="E17" s="439"/>
      <c r="F17" s="440"/>
      <c r="G17" s="176"/>
      <c r="H17" s="509" t="str">
        <f>IF(Roster!$AD$26=0,"",Roster!$AD$26)</f>
        <v>(IN)FAMOUS COACHES</v>
      </c>
      <c r="I17" s="439"/>
      <c r="J17" s="440"/>
      <c r="K17" s="176"/>
      <c r="L17" s="509" t="str">
        <f>IF(Roster!$AD$27=0,"",Roster!$AD$27)</f>
        <v>(IN)FAMOUS COACHES</v>
      </c>
      <c r="M17" s="439"/>
      <c r="N17" s="440"/>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53"/>
      <c r="C18" s="177"/>
      <c r="D18" s="501">
        <f>Roster!$W$26</f>
        <v>0</v>
      </c>
      <c r="E18" s="502"/>
      <c r="F18" s="503"/>
      <c r="G18" s="177"/>
      <c r="H18" s="501">
        <f>Roster!$AI$26</f>
        <v>0</v>
      </c>
      <c r="I18" s="502"/>
      <c r="J18" s="503"/>
      <c r="K18" s="177"/>
      <c r="L18" s="501">
        <f>Roster!$AI$27</f>
        <v>0</v>
      </c>
      <c r="M18" s="502"/>
      <c r="N18" s="503"/>
      <c r="O18" s="187"/>
      <c r="P18" s="30"/>
      <c r="Q18" s="486" t="str">
        <f>IF(Roster!$N$2=0&amp;"+","",Roster!$N$2)</f>
        <v/>
      </c>
      <c r="R18" s="177"/>
      <c r="S18" s="185" t="str">
        <f>IF(Roster!$AD$2=0,"",Roster!$AD$2)</f>
        <v/>
      </c>
      <c r="T18" s="177"/>
      <c r="U18" s="185" t="str">
        <f>IF(Roster!$AE$2=0,"",Roster!$AE$2)</f>
        <v/>
      </c>
      <c r="V18" s="177"/>
      <c r="W18" s="185" t="str">
        <f>IF(Roster!$AA$2=0,"",Roster!$AA$2)</f>
        <v/>
      </c>
      <c r="X18" s="177"/>
      <c r="Y18" s="185" t="str">
        <f>IF(Roster!$AI$2=0,"",Roster!$AI$2)</f>
        <v/>
      </c>
      <c r="Z18" s="177"/>
      <c r="AA18" s="185" t="str">
        <f>IF(Roster!$AJ$2=0,"",Roster!$AJ$2)</f>
        <v/>
      </c>
      <c r="AB18" s="177"/>
      <c r="AC18" s="185" t="str">
        <f>IF(Roster!$Z$2=0,"",Roster!$Z$2)</f>
        <v/>
      </c>
      <c r="AD18" s="187"/>
      <c r="AE18" s="30"/>
      <c r="AF18" s="486" t="str">
        <f>IF(Roster!$N$3=0&amp;"+","",Roster!$N$3)</f>
        <v>10+</v>
      </c>
      <c r="AG18" s="177"/>
      <c r="AH18" s="185" t="str">
        <f>IF(Roster!$AD$3=0,"",Roster!$AD$3)</f>
        <v/>
      </c>
      <c r="AI18" s="177"/>
      <c r="AJ18" s="185" t="str">
        <f>IF(Roster!$AE$3=0,"",Roster!$AE$3)</f>
        <v/>
      </c>
      <c r="AK18" s="177"/>
      <c r="AL18" s="185" t="str">
        <f>IF(Roster!$AA$3=0,"",Roster!$AA$3)</f>
        <v/>
      </c>
      <c r="AM18" s="177"/>
      <c r="AN18" s="185" t="str">
        <f>IF(Roster!$AI$3=0,"",Roster!$AI$3)</f>
        <v/>
      </c>
      <c r="AO18" s="177"/>
      <c r="AP18" s="185" t="str">
        <f>IF(Roster!$AJ$3=0,"",Roster!$AJ$3)</f>
        <v/>
      </c>
      <c r="AQ18" s="177"/>
      <c r="AR18" s="185" t="str">
        <f>IF(Roster!$Z$3=0,"",Roster!$Z$3)</f>
        <v/>
      </c>
      <c r="AS18" s="187"/>
      <c r="AT18" s="30"/>
      <c r="AU18" s="486" t="str">
        <f>IF(Roster!$N$4=0&amp;"+","",Roster!$N$4)</f>
        <v>10+</v>
      </c>
      <c r="AV18" s="177"/>
      <c r="AW18" s="185" t="str">
        <f>IF(Roster!$AD$4=0,"",Roster!$AD$4)</f>
        <v/>
      </c>
      <c r="AX18" s="177"/>
      <c r="AY18" s="185" t="str">
        <f>IF(Roster!$AE$4=0,"",Roster!$AE$4)</f>
        <v/>
      </c>
      <c r="AZ18" s="177"/>
      <c r="BA18" s="185" t="str">
        <f>IF(Roster!$AA$4=0,"",Roster!$AA$4)</f>
        <v/>
      </c>
      <c r="BB18" s="177"/>
      <c r="BC18" s="185">
        <f>IF(Roster!$AI$4=0,"",Roster!$AI$4)</f>
        <v>1</v>
      </c>
      <c r="BD18" s="177"/>
      <c r="BE18" s="185">
        <f>IF(Roster!$AJ$4=0,"",Roster!$AJ$4)</f>
        <v>6</v>
      </c>
      <c r="BF18" s="177"/>
      <c r="BG18" s="185" t="str">
        <f>IF(Roster!$Z$4=0,"",Roster!$Z$4)</f>
        <v/>
      </c>
      <c r="BH18" s="187"/>
    </row>
    <row r="19" spans="1:60" ht="4.5" customHeight="1">
      <c r="A19" s="30"/>
      <c r="B19" s="453"/>
      <c r="C19" s="177"/>
      <c r="D19" s="504"/>
      <c r="E19" s="368"/>
      <c r="F19" s="505"/>
      <c r="G19" s="177"/>
      <c r="H19" s="504"/>
      <c r="I19" s="368"/>
      <c r="J19" s="505"/>
      <c r="K19" s="177"/>
      <c r="L19" s="504"/>
      <c r="M19" s="368"/>
      <c r="N19" s="505"/>
      <c r="O19" s="187"/>
      <c r="P19" s="30"/>
      <c r="Q19" s="453"/>
      <c r="R19" s="177"/>
      <c r="S19" s="177"/>
      <c r="T19" s="177"/>
      <c r="U19" s="177"/>
      <c r="V19" s="177"/>
      <c r="W19" s="177"/>
      <c r="X19" s="177"/>
      <c r="Y19" s="177"/>
      <c r="Z19" s="177"/>
      <c r="AA19" s="177"/>
      <c r="AB19" s="177"/>
      <c r="AC19" s="183"/>
      <c r="AD19" s="187"/>
      <c r="AE19" s="30"/>
      <c r="AF19" s="453"/>
      <c r="AG19" s="177"/>
      <c r="AH19" s="177"/>
      <c r="AI19" s="177"/>
      <c r="AJ19" s="177"/>
      <c r="AK19" s="177"/>
      <c r="AL19" s="177"/>
      <c r="AM19" s="177"/>
      <c r="AN19" s="177"/>
      <c r="AO19" s="177"/>
      <c r="AP19" s="177"/>
      <c r="AQ19" s="177"/>
      <c r="AR19" s="183"/>
      <c r="AS19" s="187"/>
      <c r="AT19" s="30"/>
      <c r="AU19" s="453"/>
      <c r="AV19" s="177"/>
      <c r="AW19" s="177"/>
      <c r="AX19" s="177"/>
      <c r="AY19" s="177"/>
      <c r="AZ19" s="177"/>
      <c r="BA19" s="177"/>
      <c r="BB19" s="177"/>
      <c r="BC19" s="177"/>
      <c r="BD19" s="177"/>
      <c r="BE19" s="177"/>
      <c r="BF19" s="177"/>
      <c r="BG19" s="183"/>
      <c r="BH19" s="187"/>
    </row>
    <row r="20" spans="1:60" ht="11.25" customHeight="1">
      <c r="A20" s="30"/>
      <c r="B20" s="453"/>
      <c r="C20" s="177"/>
      <c r="D20" s="504"/>
      <c r="E20" s="368"/>
      <c r="F20" s="505"/>
      <c r="G20" s="181"/>
      <c r="H20" s="504"/>
      <c r="I20" s="368"/>
      <c r="J20" s="505"/>
      <c r="K20" s="181"/>
      <c r="L20" s="504"/>
      <c r="M20" s="368"/>
      <c r="N20" s="505"/>
      <c r="O20" s="187"/>
      <c r="P20" s="30"/>
      <c r="Q20" s="453"/>
      <c r="R20" s="177"/>
      <c r="S20" s="483" t="str">
        <f>IF(Roster!$J$25="Italiano","ABILITÀ &amp; TRATTI",(IF(Roster!$J$25="Español","HABILIDADES Y RASGOS","SKILLS &amp; TRAITS")))</f>
        <v>ABILITÀ &amp; TRATTI</v>
      </c>
      <c r="T20" s="439"/>
      <c r="U20" s="439"/>
      <c r="V20" s="439"/>
      <c r="W20" s="439"/>
      <c r="X20" s="439"/>
      <c r="Y20" s="439"/>
      <c r="Z20" s="439"/>
      <c r="AA20" s="439"/>
      <c r="AB20" s="439"/>
      <c r="AC20" s="440"/>
      <c r="AD20" s="187"/>
      <c r="AE20" s="30"/>
      <c r="AF20" s="453"/>
      <c r="AG20" s="177"/>
      <c r="AH20" s="483" t="str">
        <f>IF(Roster!$J$25="Italiano","ABILITÀ &amp; TRATTI",(IF(Roster!$J$25="Español","HABILIDADES Y RASGOS","SKILLS &amp; TRAITS")))</f>
        <v>ABILITÀ &amp; TRATTI</v>
      </c>
      <c r="AI20" s="439"/>
      <c r="AJ20" s="439"/>
      <c r="AK20" s="439"/>
      <c r="AL20" s="439"/>
      <c r="AM20" s="439"/>
      <c r="AN20" s="439"/>
      <c r="AO20" s="439"/>
      <c r="AP20" s="439"/>
      <c r="AQ20" s="439"/>
      <c r="AR20" s="440"/>
      <c r="AS20" s="187"/>
      <c r="AT20" s="30"/>
      <c r="AU20" s="453"/>
      <c r="AV20" s="177"/>
      <c r="AW20" s="483" t="str">
        <f>IF(Roster!$J$25="Italiano","ABILITÀ &amp; TRATTI",(IF(Roster!$J$25="Español","HABILIDADES Y RASGOS","SKILLS &amp; TRAITS")))</f>
        <v>ABILITÀ &amp; TRATTI</v>
      </c>
      <c r="AX20" s="439"/>
      <c r="AY20" s="439"/>
      <c r="AZ20" s="439"/>
      <c r="BA20" s="439"/>
      <c r="BB20" s="439"/>
      <c r="BC20" s="439"/>
      <c r="BD20" s="439"/>
      <c r="BE20" s="439"/>
      <c r="BF20" s="439"/>
      <c r="BG20" s="440"/>
      <c r="BH20" s="187"/>
    </row>
    <row r="21" spans="1:60" ht="6.75" customHeight="1">
      <c r="A21" s="30"/>
      <c r="B21" s="453"/>
      <c r="C21" s="177"/>
      <c r="D21" s="506"/>
      <c r="E21" s="507"/>
      <c r="F21" s="508"/>
      <c r="G21" s="188"/>
      <c r="H21" s="506"/>
      <c r="I21" s="507"/>
      <c r="J21" s="508"/>
      <c r="K21" s="188"/>
      <c r="L21" s="506"/>
      <c r="M21" s="507"/>
      <c r="N21" s="508"/>
      <c r="O21" s="187"/>
      <c r="P21" s="30"/>
      <c r="Q21" s="454"/>
      <c r="R21" s="177"/>
      <c r="S21" s="487" t="str">
        <f>IF(Roster!$O$2=0&amp;BF2,"",Roster!$O$2)</f>
        <v/>
      </c>
      <c r="T21" s="488"/>
      <c r="U21" s="488"/>
      <c r="V21" s="488"/>
      <c r="W21" s="488"/>
      <c r="X21" s="488"/>
      <c r="Y21" s="488"/>
      <c r="Z21" s="488"/>
      <c r="AA21" s="488"/>
      <c r="AB21" s="488"/>
      <c r="AC21" s="489"/>
      <c r="AD21" s="187"/>
      <c r="AE21" s="30"/>
      <c r="AF21" s="454"/>
      <c r="AG21" s="177"/>
      <c r="AH21" s="487" t="str">
        <f>IF(Roster!$O$3=0&amp;BF3,"",Roster!$O$3)</f>
        <v>Animosity (Big Un Blockers)</v>
      </c>
      <c r="AI21" s="488"/>
      <c r="AJ21" s="488"/>
      <c r="AK21" s="488"/>
      <c r="AL21" s="488"/>
      <c r="AM21" s="488"/>
      <c r="AN21" s="488"/>
      <c r="AO21" s="488"/>
      <c r="AP21" s="488"/>
      <c r="AQ21" s="488"/>
      <c r="AR21" s="489"/>
      <c r="AS21" s="187"/>
      <c r="AT21" s="30"/>
      <c r="AU21" s="454"/>
      <c r="AV21" s="177"/>
      <c r="AW21" s="487" t="str">
        <f>IF(Roster!$O$4=0&amp;BF4,"",Roster!$O$4)</f>
        <v>Animosity (Big Un Blockers)</v>
      </c>
      <c r="AX21" s="488"/>
      <c r="AY21" s="488"/>
      <c r="AZ21" s="488"/>
      <c r="BA21" s="488"/>
      <c r="BB21" s="488"/>
      <c r="BC21" s="488"/>
      <c r="BD21" s="488"/>
      <c r="BE21" s="488"/>
      <c r="BF21" s="488"/>
      <c r="BG21" s="489"/>
      <c r="BH21" s="187"/>
    </row>
    <row r="22" spans="1:60" ht="11.25" customHeight="1">
      <c r="A22" s="30"/>
      <c r="B22" s="453"/>
      <c r="C22" s="174"/>
      <c r="D22" s="509" t="str">
        <f>IF(Roster!$AD$28=0,"",Roster!$AD$28)</f>
        <v>BIASED REFEREE</v>
      </c>
      <c r="E22" s="439"/>
      <c r="F22" s="440"/>
      <c r="G22" s="188"/>
      <c r="H22" s="509" t="str">
        <f>IF(Roster!$AD$29=0,"",Roster!$AD$29)</f>
        <v>OTHER INDUCEMENTS</v>
      </c>
      <c r="I22" s="439"/>
      <c r="J22" s="440"/>
      <c r="K22" s="188"/>
      <c r="L22" s="484" t="str">
        <f>IF(Roster!$AD$31=0,"",Roster!$AD$31)</f>
        <v>MEDICI VAGABONDI</v>
      </c>
      <c r="M22" s="439"/>
      <c r="N22" s="440"/>
      <c r="O22" s="188"/>
      <c r="P22" s="30"/>
      <c r="Q22" s="176" t="str">
        <f>IF(Roster!$AN$1=0,"",Roster!$AN$1)</f>
        <v>COSTO</v>
      </c>
      <c r="R22" s="176"/>
      <c r="S22" s="490"/>
      <c r="T22" s="491"/>
      <c r="U22" s="491"/>
      <c r="V22" s="491"/>
      <c r="W22" s="491"/>
      <c r="X22" s="491"/>
      <c r="Y22" s="491"/>
      <c r="Z22" s="491"/>
      <c r="AA22" s="491"/>
      <c r="AB22" s="491"/>
      <c r="AC22" s="492"/>
      <c r="AD22" s="188"/>
      <c r="AE22" s="30"/>
      <c r="AF22" s="176" t="str">
        <f>IF(Roster!$AN$1=0,"",Roster!$AN$1)</f>
        <v>COSTO</v>
      </c>
      <c r="AG22" s="176"/>
      <c r="AH22" s="490"/>
      <c r="AI22" s="491"/>
      <c r="AJ22" s="491"/>
      <c r="AK22" s="491"/>
      <c r="AL22" s="491"/>
      <c r="AM22" s="491"/>
      <c r="AN22" s="491"/>
      <c r="AO22" s="491"/>
      <c r="AP22" s="491"/>
      <c r="AQ22" s="491"/>
      <c r="AR22" s="492"/>
      <c r="AS22" s="188"/>
      <c r="AT22" s="30"/>
      <c r="AU22" s="176" t="str">
        <f>IF(Roster!$AN$1=0,"",Roster!$AN$1)</f>
        <v>COSTO</v>
      </c>
      <c r="AV22" s="176"/>
      <c r="AW22" s="490"/>
      <c r="AX22" s="491"/>
      <c r="AY22" s="491"/>
      <c r="AZ22" s="491"/>
      <c r="BA22" s="491"/>
      <c r="BB22" s="491"/>
      <c r="BC22" s="491"/>
      <c r="BD22" s="491"/>
      <c r="BE22" s="491"/>
      <c r="BF22" s="491"/>
      <c r="BG22" s="492"/>
      <c r="BH22" s="188"/>
    </row>
    <row r="23" spans="1:60" ht="34.5" customHeight="1">
      <c r="A23" s="30"/>
      <c r="B23" s="454"/>
      <c r="C23" s="189"/>
      <c r="D23" s="510">
        <f>Roster!$AI$28</f>
        <v>0</v>
      </c>
      <c r="E23" s="439"/>
      <c r="F23" s="440"/>
      <c r="G23" s="188"/>
      <c r="H23" s="510">
        <f>Roster!$AI$29</f>
        <v>0</v>
      </c>
      <c r="I23" s="439"/>
      <c r="J23" s="440"/>
      <c r="K23" s="188"/>
      <c r="L23" s="510">
        <f>Roster!$AI$31</f>
        <v>0</v>
      </c>
      <c r="M23" s="439"/>
      <c r="N23" s="440"/>
      <c r="O23" s="188"/>
      <c r="P23" s="30"/>
      <c r="Q23" s="190" t="str">
        <f>IF(Roster!$AN$2=0,"",Roster!$AN$2)</f>
        <v/>
      </c>
      <c r="R23" s="191"/>
      <c r="S23" s="493"/>
      <c r="T23" s="494"/>
      <c r="U23" s="494"/>
      <c r="V23" s="494"/>
      <c r="W23" s="494"/>
      <c r="X23" s="494"/>
      <c r="Y23" s="494"/>
      <c r="Z23" s="494"/>
      <c r="AA23" s="494"/>
      <c r="AB23" s="494"/>
      <c r="AC23" s="495"/>
      <c r="AD23" s="188"/>
      <c r="AE23" s="30"/>
      <c r="AF23" s="190">
        <f>IF(Roster!$AN$3=0,"",Roster!$AN$3)</f>
        <v>90000</v>
      </c>
      <c r="AG23" s="191"/>
      <c r="AH23" s="493"/>
      <c r="AI23" s="494"/>
      <c r="AJ23" s="494"/>
      <c r="AK23" s="494"/>
      <c r="AL23" s="494"/>
      <c r="AM23" s="494"/>
      <c r="AN23" s="494"/>
      <c r="AO23" s="494"/>
      <c r="AP23" s="494"/>
      <c r="AQ23" s="494"/>
      <c r="AR23" s="495"/>
      <c r="AS23" s="188"/>
      <c r="AT23" s="30"/>
      <c r="AU23" s="190">
        <f>IF(Roster!$AN$4=0,"",Roster!$AN$4)</f>
        <v>90000</v>
      </c>
      <c r="AV23" s="191"/>
      <c r="AW23" s="493"/>
      <c r="AX23" s="494"/>
      <c r="AY23" s="494"/>
      <c r="AZ23" s="494"/>
      <c r="BA23" s="494"/>
      <c r="BB23" s="494"/>
      <c r="BC23" s="494"/>
      <c r="BD23" s="494"/>
      <c r="BE23" s="494"/>
      <c r="BF23" s="494"/>
      <c r="BG23" s="495"/>
      <c r="BH23" s="188"/>
    </row>
    <row r="24" spans="1:60" ht="4.5" customHeight="1">
      <c r="A24" s="30"/>
      <c r="B24" s="511"/>
      <c r="C24" s="439"/>
      <c r="D24" s="439"/>
      <c r="E24" s="439"/>
      <c r="F24" s="439"/>
      <c r="G24" s="439"/>
      <c r="H24" s="439"/>
      <c r="I24" s="439"/>
      <c r="J24" s="439"/>
      <c r="K24" s="439"/>
      <c r="L24" s="439"/>
      <c r="M24" s="439"/>
      <c r="N24" s="440"/>
      <c r="O24" s="188"/>
      <c r="P24" s="30"/>
      <c r="Q24" s="511"/>
      <c r="R24" s="439"/>
      <c r="S24" s="439"/>
      <c r="T24" s="439"/>
      <c r="U24" s="439"/>
      <c r="V24" s="439"/>
      <c r="W24" s="439"/>
      <c r="X24" s="439"/>
      <c r="Y24" s="439"/>
      <c r="Z24" s="439"/>
      <c r="AA24" s="439"/>
      <c r="AB24" s="439"/>
      <c r="AC24" s="440"/>
      <c r="AD24" s="188"/>
      <c r="AE24" s="30"/>
      <c r="AF24" s="511"/>
      <c r="AG24" s="439"/>
      <c r="AH24" s="439"/>
      <c r="AI24" s="439"/>
      <c r="AJ24" s="439"/>
      <c r="AK24" s="439"/>
      <c r="AL24" s="439"/>
      <c r="AM24" s="439"/>
      <c r="AN24" s="439"/>
      <c r="AO24" s="439"/>
      <c r="AP24" s="439"/>
      <c r="AQ24" s="439"/>
      <c r="AR24" s="440"/>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85" t="str">
        <f>IF(Roster!$A$5=0,"","#"&amp;Roster!$A$5)</f>
        <v>#4</v>
      </c>
      <c r="C26" s="172"/>
      <c r="D26" s="172"/>
      <c r="E26" s="172"/>
      <c r="F26" s="172"/>
      <c r="G26" s="172"/>
      <c r="H26" s="172"/>
      <c r="I26" s="172"/>
      <c r="J26" s="172"/>
      <c r="K26" s="172"/>
      <c r="L26" s="172"/>
      <c r="M26" s="172"/>
      <c r="N26" s="172"/>
      <c r="O26" s="172"/>
      <c r="P26" s="30"/>
      <c r="Q26" s="485" t="str">
        <f>IF(Roster!$A$6=0,"","#"&amp;Roster!$A$6)</f>
        <v>#5</v>
      </c>
      <c r="R26" s="172"/>
      <c r="S26" s="172"/>
      <c r="T26" s="172"/>
      <c r="U26" s="172"/>
      <c r="V26" s="172"/>
      <c r="W26" s="172"/>
      <c r="X26" s="172"/>
      <c r="Y26" s="172"/>
      <c r="Z26" s="172"/>
      <c r="AA26" s="172"/>
      <c r="AB26" s="172"/>
      <c r="AC26" s="172"/>
      <c r="AD26" s="172"/>
      <c r="AE26" s="30"/>
      <c r="AF26" s="485" t="str">
        <f>IF(Roster!$A$7=0,"","#"&amp;Roster!$A$7)</f>
        <v>#6</v>
      </c>
      <c r="AG26" s="172"/>
      <c r="AH26" s="172"/>
      <c r="AI26" s="172"/>
      <c r="AJ26" s="172"/>
      <c r="AK26" s="172"/>
      <c r="AL26" s="172"/>
      <c r="AM26" s="172"/>
      <c r="AN26" s="172"/>
      <c r="AO26" s="172"/>
      <c r="AP26" s="172"/>
      <c r="AQ26" s="172"/>
      <c r="AR26" s="172"/>
      <c r="AS26" s="172"/>
      <c r="AT26" s="30"/>
      <c r="AU26" s="485" t="str">
        <f>IF(Roster!$A$8=0,"","#"&amp;Roster!$A$8)</f>
        <v>#7</v>
      </c>
      <c r="AV26" s="172"/>
      <c r="AW26" s="172"/>
      <c r="AX26" s="172"/>
      <c r="AY26" s="172"/>
      <c r="AZ26" s="172"/>
      <c r="BA26" s="172"/>
      <c r="BB26" s="172"/>
      <c r="BC26" s="172"/>
      <c r="BD26" s="172"/>
      <c r="BE26" s="172"/>
      <c r="BF26" s="172"/>
      <c r="BG26" s="172"/>
      <c r="BH26" s="172"/>
    </row>
    <row r="27" spans="1:60" ht="15" customHeight="1">
      <c r="A27" s="30"/>
      <c r="B27" s="453"/>
      <c r="C27" s="478" t="str">
        <f>IF(Roster!$B$5=0,"",Roster!$B$5)</f>
        <v>RONNIE</v>
      </c>
      <c r="D27" s="439"/>
      <c r="E27" s="439"/>
      <c r="F27" s="439"/>
      <c r="G27" s="439"/>
      <c r="H27" s="439"/>
      <c r="I27" s="439"/>
      <c r="J27" s="439"/>
      <c r="K27" s="439"/>
      <c r="L27" s="439"/>
      <c r="M27" s="439"/>
      <c r="N27" s="440"/>
      <c r="O27" s="172"/>
      <c r="P27" s="30"/>
      <c r="Q27" s="453"/>
      <c r="R27" s="478" t="str">
        <f>IF(Roster!$B$6=0,"",Roster!$B$6)</f>
        <v>DRAGONSRAGE</v>
      </c>
      <c r="S27" s="439"/>
      <c r="T27" s="439"/>
      <c r="U27" s="439"/>
      <c r="V27" s="439"/>
      <c r="W27" s="439"/>
      <c r="X27" s="439"/>
      <c r="Y27" s="439"/>
      <c r="Z27" s="439"/>
      <c r="AA27" s="439"/>
      <c r="AB27" s="439"/>
      <c r="AC27" s="440"/>
      <c r="AD27" s="172"/>
      <c r="AE27" s="30"/>
      <c r="AF27" s="453"/>
      <c r="AG27" s="478" t="str">
        <f>IF(Roster!$B$7=0,"",Roster!$B$7)</f>
        <v>KALTENLAND</v>
      </c>
      <c r="AH27" s="439"/>
      <c r="AI27" s="439"/>
      <c r="AJ27" s="439"/>
      <c r="AK27" s="439"/>
      <c r="AL27" s="439"/>
      <c r="AM27" s="439"/>
      <c r="AN27" s="439"/>
      <c r="AO27" s="439"/>
      <c r="AP27" s="439"/>
      <c r="AQ27" s="439"/>
      <c r="AR27" s="440"/>
      <c r="AS27" s="172"/>
      <c r="AT27" s="30"/>
      <c r="AU27" s="453"/>
      <c r="AV27" s="478" t="str">
        <f>IF(Roster!$B$8=0,"",Roster!$B$8)</f>
        <v/>
      </c>
      <c r="AW27" s="439"/>
      <c r="AX27" s="439"/>
      <c r="AY27" s="439"/>
      <c r="AZ27" s="439"/>
      <c r="BA27" s="439"/>
      <c r="BB27" s="439"/>
      <c r="BC27" s="439"/>
      <c r="BD27" s="439"/>
      <c r="BE27" s="439"/>
      <c r="BF27" s="439"/>
      <c r="BG27" s="440"/>
      <c r="BH27" s="172"/>
    </row>
    <row r="28" spans="1:60" ht="11.25" customHeight="1">
      <c r="A28" s="30"/>
      <c r="B28" s="454"/>
      <c r="C28" s="484" t="str">
        <f>IF(Roster!$C$5=0,"",Roster!$C$5)</f>
        <v>Big Un</v>
      </c>
      <c r="D28" s="439"/>
      <c r="E28" s="439"/>
      <c r="F28" s="439"/>
      <c r="G28" s="439"/>
      <c r="H28" s="439"/>
      <c r="I28" s="439"/>
      <c r="J28" s="439"/>
      <c r="K28" s="439"/>
      <c r="L28" s="439"/>
      <c r="M28" s="439"/>
      <c r="N28" s="440"/>
      <c r="O28" s="173"/>
      <c r="P28" s="30"/>
      <c r="Q28" s="454"/>
      <c r="R28" s="484" t="str">
        <f>IF(Roster!$C$6=0,"",Roster!$C$6)</f>
        <v>Big Un</v>
      </c>
      <c r="S28" s="439"/>
      <c r="T28" s="439"/>
      <c r="U28" s="439"/>
      <c r="V28" s="439"/>
      <c r="W28" s="439"/>
      <c r="X28" s="439"/>
      <c r="Y28" s="439"/>
      <c r="Z28" s="439"/>
      <c r="AA28" s="439"/>
      <c r="AB28" s="439"/>
      <c r="AC28" s="440"/>
      <c r="AD28" s="173"/>
      <c r="AE28" s="30"/>
      <c r="AF28" s="454"/>
      <c r="AG28" s="484" t="str">
        <f>IF(Roster!$C$7=0,"",Roster!$C$7)</f>
        <v>Blitzer</v>
      </c>
      <c r="AH28" s="439"/>
      <c r="AI28" s="439"/>
      <c r="AJ28" s="439"/>
      <c r="AK28" s="439"/>
      <c r="AL28" s="439"/>
      <c r="AM28" s="439"/>
      <c r="AN28" s="439"/>
      <c r="AO28" s="439"/>
      <c r="AP28" s="439"/>
      <c r="AQ28" s="439"/>
      <c r="AR28" s="440"/>
      <c r="AS28" s="173"/>
      <c r="AT28" s="30"/>
      <c r="AU28" s="454"/>
      <c r="AV28" s="484" t="str">
        <f>IF(Roster!$C$8=0,"",Roster!$C$8)</f>
        <v/>
      </c>
      <c r="AW28" s="439"/>
      <c r="AX28" s="439"/>
      <c r="AY28" s="439"/>
      <c r="AZ28" s="439"/>
      <c r="BA28" s="439"/>
      <c r="BB28" s="439"/>
      <c r="BC28" s="439"/>
      <c r="BD28" s="439"/>
      <c r="BE28" s="439"/>
      <c r="BF28" s="439"/>
      <c r="BG28" s="440"/>
      <c r="BH28" s="173"/>
    </row>
    <row r="29" spans="1:60" ht="11.25" customHeight="1">
      <c r="A29" s="30"/>
      <c r="B29" s="176" t="str">
        <f>IF(Roster!$J$1=0,"",Roster!$J$1)</f>
        <v>MA</v>
      </c>
      <c r="C29" s="175"/>
      <c r="D29" s="497"/>
      <c r="E29" s="497"/>
      <c r="F29" s="497"/>
      <c r="G29" s="497"/>
      <c r="H29" s="497"/>
      <c r="I29" s="497"/>
      <c r="J29" s="497"/>
      <c r="K29" s="497"/>
      <c r="L29" s="497"/>
      <c r="M29" s="497"/>
      <c r="N29" s="497"/>
      <c r="O29" s="172"/>
      <c r="P29" s="30"/>
      <c r="Q29" s="176" t="str">
        <f>IF(Roster!$J$1=0,"",Roster!$J$1)</f>
        <v>MA</v>
      </c>
      <c r="R29" s="175"/>
      <c r="S29" s="497"/>
      <c r="T29" s="497"/>
      <c r="U29" s="497"/>
      <c r="V29" s="497"/>
      <c r="W29" s="497"/>
      <c r="X29" s="497"/>
      <c r="Y29" s="497"/>
      <c r="Z29" s="497"/>
      <c r="AA29" s="497"/>
      <c r="AB29" s="497"/>
      <c r="AC29" s="497"/>
      <c r="AD29" s="172"/>
      <c r="AE29" s="30"/>
      <c r="AF29" s="176" t="str">
        <f>IF(Roster!$J$1=0,"",Roster!$J$1)</f>
        <v>MA</v>
      </c>
      <c r="AG29" s="175"/>
      <c r="AH29" s="497"/>
      <c r="AI29" s="497"/>
      <c r="AJ29" s="497"/>
      <c r="AK29" s="497"/>
      <c r="AL29" s="497"/>
      <c r="AM29" s="497"/>
      <c r="AN29" s="497"/>
      <c r="AO29" s="497"/>
      <c r="AP29" s="497"/>
      <c r="AQ29" s="497"/>
      <c r="AR29" s="497"/>
      <c r="AS29" s="172"/>
      <c r="AT29" s="30"/>
      <c r="AU29" s="176" t="str">
        <f>IF(Roster!$J$1=0,"",Roster!$J$1)</f>
        <v>MA</v>
      </c>
      <c r="AV29" s="175"/>
      <c r="AW29" s="497"/>
      <c r="AX29" s="497"/>
      <c r="AY29" s="497"/>
      <c r="AZ29" s="497"/>
      <c r="BA29" s="497"/>
      <c r="BB29" s="497"/>
      <c r="BC29" s="497"/>
      <c r="BD29" s="497"/>
      <c r="BE29" s="497"/>
      <c r="BF29" s="497"/>
      <c r="BG29" s="497"/>
      <c r="BH29" s="172"/>
    </row>
    <row r="30" spans="1:60" ht="37.5" customHeight="1">
      <c r="A30" s="30"/>
      <c r="B30" s="178">
        <f>IF(Roster!$J$5=0,"",Roster!$J$5)</f>
        <v>5</v>
      </c>
      <c r="C30" s="175"/>
      <c r="D30" s="497"/>
      <c r="E30" s="497"/>
      <c r="F30" s="497"/>
      <c r="G30" s="497"/>
      <c r="H30" s="497"/>
      <c r="I30" s="497"/>
      <c r="J30" s="497"/>
      <c r="K30" s="497"/>
      <c r="L30" s="497"/>
      <c r="M30" s="497"/>
      <c r="N30" s="497"/>
      <c r="O30" s="172"/>
      <c r="P30" s="30"/>
      <c r="Q30" s="178">
        <f>IF(Roster!$J$6=0,"",Roster!$J$6)</f>
        <v>5</v>
      </c>
      <c r="R30" s="175"/>
      <c r="S30" s="497"/>
      <c r="T30" s="497"/>
      <c r="U30" s="497"/>
      <c r="V30" s="497"/>
      <c r="W30" s="497"/>
      <c r="X30" s="497"/>
      <c r="Y30" s="497"/>
      <c r="Z30" s="497"/>
      <c r="AA30" s="497"/>
      <c r="AB30" s="497"/>
      <c r="AC30" s="497"/>
      <c r="AD30" s="172"/>
      <c r="AE30" s="30"/>
      <c r="AF30" s="178">
        <f>IF(Roster!$J$7=0,"",Roster!$J$7)</f>
        <v>6</v>
      </c>
      <c r="AG30" s="175"/>
      <c r="AH30" s="497"/>
      <c r="AI30" s="497"/>
      <c r="AJ30" s="497"/>
      <c r="AK30" s="497"/>
      <c r="AL30" s="497"/>
      <c r="AM30" s="497"/>
      <c r="AN30" s="497"/>
      <c r="AO30" s="497"/>
      <c r="AP30" s="497"/>
      <c r="AQ30" s="497"/>
      <c r="AR30" s="497"/>
      <c r="AS30" s="172"/>
      <c r="AT30" s="30"/>
      <c r="AU30" s="178" t="str">
        <f>IF(Roster!$J$8=0,"",Roster!$J$8)</f>
        <v/>
      </c>
      <c r="AV30" s="175"/>
      <c r="AW30" s="497"/>
      <c r="AX30" s="497"/>
      <c r="AY30" s="497"/>
      <c r="AZ30" s="497"/>
      <c r="BA30" s="497"/>
      <c r="BB30" s="497"/>
      <c r="BC30" s="497"/>
      <c r="BD30" s="497"/>
      <c r="BE30" s="497"/>
      <c r="BF30" s="497"/>
      <c r="BG30" s="497"/>
      <c r="BH30" s="172"/>
    </row>
    <row r="31" spans="1:60" ht="11.25" customHeight="1">
      <c r="A31" s="30"/>
      <c r="B31" s="176" t="str">
        <f>IF(Roster!$K$1=0,"",Roster!$K$1)</f>
        <v>ST</v>
      </c>
      <c r="C31" s="175"/>
      <c r="D31" s="497"/>
      <c r="E31" s="497"/>
      <c r="F31" s="497"/>
      <c r="G31" s="497"/>
      <c r="H31" s="497"/>
      <c r="I31" s="497"/>
      <c r="J31" s="497"/>
      <c r="K31" s="497"/>
      <c r="L31" s="497"/>
      <c r="M31" s="497"/>
      <c r="N31" s="497"/>
      <c r="O31" s="172"/>
      <c r="P31" s="30"/>
      <c r="Q31" s="176" t="str">
        <f>IF(Roster!$K$1=0,"",Roster!$K$1)</f>
        <v>ST</v>
      </c>
      <c r="R31" s="175"/>
      <c r="S31" s="497"/>
      <c r="T31" s="497"/>
      <c r="U31" s="497"/>
      <c r="V31" s="497"/>
      <c r="W31" s="497"/>
      <c r="X31" s="497"/>
      <c r="Y31" s="497"/>
      <c r="Z31" s="497"/>
      <c r="AA31" s="497"/>
      <c r="AB31" s="497"/>
      <c r="AC31" s="497"/>
      <c r="AD31" s="172"/>
      <c r="AE31" s="30"/>
      <c r="AF31" s="176" t="str">
        <f>IF(Roster!$K$1=0,"",Roster!$K$1)</f>
        <v>ST</v>
      </c>
      <c r="AG31" s="175"/>
      <c r="AH31" s="497"/>
      <c r="AI31" s="497"/>
      <c r="AJ31" s="497"/>
      <c r="AK31" s="497"/>
      <c r="AL31" s="497"/>
      <c r="AM31" s="497"/>
      <c r="AN31" s="497"/>
      <c r="AO31" s="497"/>
      <c r="AP31" s="497"/>
      <c r="AQ31" s="497"/>
      <c r="AR31" s="497"/>
      <c r="AS31" s="172"/>
      <c r="AT31" s="30"/>
      <c r="AU31" s="176" t="str">
        <f>IF(Roster!$K$1=0,"",Roster!$K$1)</f>
        <v>ST</v>
      </c>
      <c r="AV31" s="175"/>
      <c r="AW31" s="497"/>
      <c r="AX31" s="497"/>
      <c r="AY31" s="497"/>
      <c r="AZ31" s="497"/>
      <c r="BA31" s="497"/>
      <c r="BB31" s="497"/>
      <c r="BC31" s="497"/>
      <c r="BD31" s="497"/>
      <c r="BE31" s="497"/>
      <c r="BF31" s="497"/>
      <c r="BG31" s="497"/>
      <c r="BH31" s="172"/>
    </row>
    <row r="32" spans="1:60" ht="37.5" customHeight="1">
      <c r="A32" s="30"/>
      <c r="B32" s="178">
        <f>IF(Roster!$K$5=0,"",Roster!$K$5)</f>
        <v>4</v>
      </c>
      <c r="C32" s="175"/>
      <c r="D32" s="497"/>
      <c r="E32" s="497"/>
      <c r="F32" s="497"/>
      <c r="G32" s="497"/>
      <c r="H32" s="497"/>
      <c r="I32" s="497"/>
      <c r="J32" s="497"/>
      <c r="K32" s="497"/>
      <c r="L32" s="497"/>
      <c r="M32" s="497"/>
      <c r="N32" s="497"/>
      <c r="O32" s="172"/>
      <c r="P32" s="30"/>
      <c r="Q32" s="178">
        <f>IF(Roster!$K$6=0,"",Roster!$K$6)</f>
        <v>4</v>
      </c>
      <c r="R32" s="175"/>
      <c r="S32" s="497"/>
      <c r="T32" s="497"/>
      <c r="U32" s="497"/>
      <c r="V32" s="497"/>
      <c r="W32" s="497"/>
      <c r="X32" s="497"/>
      <c r="Y32" s="497"/>
      <c r="Z32" s="497"/>
      <c r="AA32" s="497"/>
      <c r="AB32" s="497"/>
      <c r="AC32" s="497"/>
      <c r="AD32" s="172"/>
      <c r="AE32" s="30"/>
      <c r="AF32" s="178">
        <f>IF(Roster!$K$7=0,"",Roster!$K$7)</f>
        <v>3</v>
      </c>
      <c r="AG32" s="175"/>
      <c r="AH32" s="497"/>
      <c r="AI32" s="497"/>
      <c r="AJ32" s="497"/>
      <c r="AK32" s="497"/>
      <c r="AL32" s="497"/>
      <c r="AM32" s="497"/>
      <c r="AN32" s="497"/>
      <c r="AO32" s="497"/>
      <c r="AP32" s="497"/>
      <c r="AQ32" s="497"/>
      <c r="AR32" s="497"/>
      <c r="AS32" s="172"/>
      <c r="AT32" s="30"/>
      <c r="AU32" s="178" t="str">
        <f>IF(Roster!$K$8=0,"",Roster!$K$8)</f>
        <v/>
      </c>
      <c r="AV32" s="175"/>
      <c r="AW32" s="497"/>
      <c r="AX32" s="497"/>
      <c r="AY32" s="497"/>
      <c r="AZ32" s="497"/>
      <c r="BA32" s="497"/>
      <c r="BB32" s="497"/>
      <c r="BC32" s="497"/>
      <c r="BD32" s="497"/>
      <c r="BE32" s="497"/>
      <c r="BF32" s="497"/>
      <c r="BG32" s="497"/>
      <c r="BH32" s="172"/>
    </row>
    <row r="33" spans="1:60" ht="11.25" customHeight="1">
      <c r="A33" s="30"/>
      <c r="B33" s="176" t="str">
        <f>IF(Roster!$L$1=0,"",Roster!$L$1)</f>
        <v>AG</v>
      </c>
      <c r="C33" s="175"/>
      <c r="D33" s="497"/>
      <c r="E33" s="497"/>
      <c r="F33" s="497"/>
      <c r="G33" s="497"/>
      <c r="H33" s="497"/>
      <c r="I33" s="497"/>
      <c r="J33" s="497"/>
      <c r="K33" s="497"/>
      <c r="L33" s="497"/>
      <c r="M33" s="497"/>
      <c r="N33" s="497"/>
      <c r="O33" s="172"/>
      <c r="P33" s="30"/>
      <c r="Q33" s="176" t="str">
        <f>IF(Roster!$L$1=0,"",Roster!$L$1)</f>
        <v>AG</v>
      </c>
      <c r="R33" s="175"/>
      <c r="S33" s="497"/>
      <c r="T33" s="497"/>
      <c r="U33" s="497"/>
      <c r="V33" s="497"/>
      <c r="W33" s="497"/>
      <c r="X33" s="497"/>
      <c r="Y33" s="497"/>
      <c r="Z33" s="497"/>
      <c r="AA33" s="497"/>
      <c r="AB33" s="497"/>
      <c r="AC33" s="497"/>
      <c r="AD33" s="172"/>
      <c r="AE33" s="30"/>
      <c r="AF33" s="176" t="str">
        <f>IF(Roster!$L$1=0,"",Roster!$L$1)</f>
        <v>AG</v>
      </c>
      <c r="AG33" s="175"/>
      <c r="AH33" s="497"/>
      <c r="AI33" s="497"/>
      <c r="AJ33" s="497"/>
      <c r="AK33" s="497"/>
      <c r="AL33" s="497"/>
      <c r="AM33" s="497"/>
      <c r="AN33" s="497"/>
      <c r="AO33" s="497"/>
      <c r="AP33" s="497"/>
      <c r="AQ33" s="497"/>
      <c r="AR33" s="497"/>
      <c r="AS33" s="172"/>
      <c r="AT33" s="30"/>
      <c r="AU33" s="176" t="str">
        <f>IF(Roster!$L$1=0,"",Roster!$L$1)</f>
        <v>AG</v>
      </c>
      <c r="AV33" s="175"/>
      <c r="AW33" s="497"/>
      <c r="AX33" s="497"/>
      <c r="AY33" s="497"/>
      <c r="AZ33" s="497"/>
      <c r="BA33" s="497"/>
      <c r="BB33" s="497"/>
      <c r="BC33" s="497"/>
      <c r="BD33" s="497"/>
      <c r="BE33" s="497"/>
      <c r="BF33" s="497"/>
      <c r="BG33" s="497"/>
      <c r="BH33" s="172"/>
    </row>
    <row r="34" spans="1:60" ht="37.5" customHeight="1">
      <c r="A34" s="30"/>
      <c r="B34" s="178" t="str">
        <f>IF(Roster!$L$5=0&amp;"+","",Roster!$L$5)</f>
        <v>4+</v>
      </c>
      <c r="C34" s="175"/>
      <c r="D34" s="497"/>
      <c r="E34" s="497"/>
      <c r="F34" s="497"/>
      <c r="G34" s="497"/>
      <c r="H34" s="497"/>
      <c r="I34" s="497"/>
      <c r="J34" s="497"/>
      <c r="K34" s="497"/>
      <c r="L34" s="497"/>
      <c r="M34" s="497"/>
      <c r="N34" s="497"/>
      <c r="O34" s="172"/>
      <c r="P34" s="30"/>
      <c r="Q34" s="178" t="str">
        <f>IF(Roster!$L$6=0&amp;"+","",Roster!$L$6)</f>
        <v>4+</v>
      </c>
      <c r="R34" s="175"/>
      <c r="S34" s="497"/>
      <c r="T34" s="497"/>
      <c r="U34" s="497"/>
      <c r="V34" s="497"/>
      <c r="W34" s="497"/>
      <c r="X34" s="497"/>
      <c r="Y34" s="497"/>
      <c r="Z34" s="497"/>
      <c r="AA34" s="497"/>
      <c r="AB34" s="497"/>
      <c r="AC34" s="497"/>
      <c r="AD34" s="172"/>
      <c r="AE34" s="30"/>
      <c r="AF34" s="178" t="str">
        <f>IF(Roster!$L$7=0&amp;"+","",Roster!$L$7)</f>
        <v>3+</v>
      </c>
      <c r="AG34" s="175"/>
      <c r="AH34" s="497"/>
      <c r="AI34" s="497"/>
      <c r="AJ34" s="497"/>
      <c r="AK34" s="497"/>
      <c r="AL34" s="497"/>
      <c r="AM34" s="497"/>
      <c r="AN34" s="497"/>
      <c r="AO34" s="497"/>
      <c r="AP34" s="497"/>
      <c r="AQ34" s="497"/>
      <c r="AR34" s="497"/>
      <c r="AS34" s="172"/>
      <c r="AT34" s="30"/>
      <c r="AU34" s="178" t="str">
        <f>IF(Roster!$L$8=0&amp;"+","",Roster!$L$8)</f>
        <v/>
      </c>
      <c r="AV34" s="175"/>
      <c r="AW34" s="497"/>
      <c r="AX34" s="497"/>
      <c r="AY34" s="497"/>
      <c r="AZ34" s="497"/>
      <c r="BA34" s="497"/>
      <c r="BB34" s="497"/>
      <c r="BC34" s="497"/>
      <c r="BD34" s="497"/>
      <c r="BE34" s="497"/>
      <c r="BF34" s="497"/>
      <c r="BG34" s="497"/>
      <c r="BH34" s="172"/>
    </row>
    <row r="35" spans="1:60" ht="11.25" customHeight="1">
      <c r="A35" s="30"/>
      <c r="B35" s="176" t="str">
        <f>IF(Roster!$M$1=0,"",Roster!$M$1)</f>
        <v>PA</v>
      </c>
      <c r="C35" s="175"/>
      <c r="D35" s="497"/>
      <c r="E35" s="497"/>
      <c r="F35" s="497"/>
      <c r="G35" s="497"/>
      <c r="H35" s="497"/>
      <c r="I35" s="497"/>
      <c r="J35" s="497"/>
      <c r="K35" s="497"/>
      <c r="L35" s="497"/>
      <c r="M35" s="497"/>
      <c r="N35" s="497"/>
      <c r="O35" s="181"/>
      <c r="P35" s="30"/>
      <c r="Q35" s="176" t="str">
        <f>IF(Roster!$M$1=0,"",Roster!$M$1)</f>
        <v>PA</v>
      </c>
      <c r="R35" s="175"/>
      <c r="S35" s="497"/>
      <c r="T35" s="497"/>
      <c r="U35" s="497"/>
      <c r="V35" s="497"/>
      <c r="W35" s="497"/>
      <c r="X35" s="497"/>
      <c r="Y35" s="497"/>
      <c r="Z35" s="497"/>
      <c r="AA35" s="497"/>
      <c r="AB35" s="497"/>
      <c r="AC35" s="497"/>
      <c r="AD35" s="181"/>
      <c r="AE35" s="30"/>
      <c r="AF35" s="176" t="str">
        <f>IF(Roster!$M$1=0,"",Roster!$M$1)</f>
        <v>PA</v>
      </c>
      <c r="AG35" s="175"/>
      <c r="AH35" s="497"/>
      <c r="AI35" s="497"/>
      <c r="AJ35" s="497"/>
      <c r="AK35" s="497"/>
      <c r="AL35" s="497"/>
      <c r="AM35" s="497"/>
      <c r="AN35" s="497"/>
      <c r="AO35" s="497"/>
      <c r="AP35" s="497"/>
      <c r="AQ35" s="497"/>
      <c r="AR35" s="497"/>
      <c r="AS35" s="181"/>
      <c r="AT35" s="30"/>
      <c r="AU35" s="176" t="str">
        <f>IF(Roster!$M$1=0,"",Roster!$M$1)</f>
        <v>PA</v>
      </c>
      <c r="AV35" s="175"/>
      <c r="AW35" s="497"/>
      <c r="AX35" s="497"/>
      <c r="AY35" s="497"/>
      <c r="AZ35" s="497"/>
      <c r="BA35" s="497"/>
      <c r="BB35" s="497"/>
      <c r="BC35" s="497"/>
      <c r="BD35" s="497"/>
      <c r="BE35" s="497"/>
      <c r="BF35" s="497"/>
      <c r="BG35" s="497"/>
      <c r="BH35" s="181"/>
    </row>
    <row r="36" spans="1:60" ht="6" customHeight="1">
      <c r="A36" s="30"/>
      <c r="B36" s="486" t="str">
        <f>IF(Roster!$M$5=0&amp;"+","",Roster!$M$5)</f>
        <v/>
      </c>
      <c r="C36" s="175"/>
      <c r="D36" s="497"/>
      <c r="E36" s="497"/>
      <c r="F36" s="497"/>
      <c r="G36" s="497"/>
      <c r="H36" s="497"/>
      <c r="I36" s="497"/>
      <c r="J36" s="497"/>
      <c r="K36" s="497"/>
      <c r="L36" s="497"/>
      <c r="M36" s="497"/>
      <c r="N36" s="497"/>
      <c r="O36" s="183"/>
      <c r="P36" s="30"/>
      <c r="Q36" s="486" t="str">
        <f>IF(Roster!$M$6=0&amp;"+","",Roster!$M$6)</f>
        <v/>
      </c>
      <c r="R36" s="175"/>
      <c r="S36" s="497"/>
      <c r="T36" s="497"/>
      <c r="U36" s="497"/>
      <c r="V36" s="497"/>
      <c r="W36" s="497"/>
      <c r="X36" s="497"/>
      <c r="Y36" s="497"/>
      <c r="Z36" s="497"/>
      <c r="AA36" s="497"/>
      <c r="AB36" s="497"/>
      <c r="AC36" s="497"/>
      <c r="AD36" s="183"/>
      <c r="AE36" s="30"/>
      <c r="AF36" s="486" t="str">
        <f>IF(Roster!$M$7=0&amp;"+","",Roster!$M$7)</f>
        <v>4+</v>
      </c>
      <c r="AG36" s="175"/>
      <c r="AH36" s="497"/>
      <c r="AI36" s="497"/>
      <c r="AJ36" s="497"/>
      <c r="AK36" s="497"/>
      <c r="AL36" s="497"/>
      <c r="AM36" s="497"/>
      <c r="AN36" s="497"/>
      <c r="AO36" s="497"/>
      <c r="AP36" s="497"/>
      <c r="AQ36" s="497"/>
      <c r="AR36" s="497"/>
      <c r="AS36" s="183"/>
      <c r="AT36" s="30"/>
      <c r="AU36" s="486" t="str">
        <f>IF(Roster!$M$8=0&amp;"+","",Roster!$M$8)</f>
        <v/>
      </c>
      <c r="AV36" s="175"/>
      <c r="AW36" s="497"/>
      <c r="AX36" s="497"/>
      <c r="AY36" s="497"/>
      <c r="AZ36" s="497"/>
      <c r="BA36" s="497"/>
      <c r="BB36" s="497"/>
      <c r="BC36" s="497"/>
      <c r="BD36" s="497"/>
      <c r="BE36" s="497"/>
      <c r="BF36" s="497"/>
      <c r="BG36" s="497"/>
      <c r="BH36" s="183"/>
    </row>
    <row r="37" spans="1:60" ht="4.5" customHeight="1">
      <c r="A37" s="30"/>
      <c r="B37" s="453"/>
      <c r="C37" s="175"/>
      <c r="D37" s="172"/>
      <c r="E37" s="182"/>
      <c r="F37" s="172"/>
      <c r="G37" s="182"/>
      <c r="H37" s="172"/>
      <c r="I37" s="182"/>
      <c r="J37" s="172"/>
      <c r="K37" s="182"/>
      <c r="L37" s="172"/>
      <c r="M37" s="182"/>
      <c r="N37" s="172"/>
      <c r="O37" s="183"/>
      <c r="P37" s="30"/>
      <c r="Q37" s="453"/>
      <c r="R37" s="175"/>
      <c r="S37" s="172"/>
      <c r="T37" s="182"/>
      <c r="U37" s="172"/>
      <c r="V37" s="182"/>
      <c r="W37" s="172"/>
      <c r="X37" s="182"/>
      <c r="Y37" s="172"/>
      <c r="Z37" s="182"/>
      <c r="AA37" s="172"/>
      <c r="AB37" s="182"/>
      <c r="AC37" s="172"/>
      <c r="AD37" s="183"/>
      <c r="AE37" s="30"/>
      <c r="AF37" s="453"/>
      <c r="AG37" s="175"/>
      <c r="AH37" s="172"/>
      <c r="AI37" s="182"/>
      <c r="AJ37" s="172"/>
      <c r="AK37" s="182"/>
      <c r="AL37" s="172"/>
      <c r="AM37" s="182"/>
      <c r="AN37" s="172"/>
      <c r="AO37" s="182"/>
      <c r="AP37" s="172"/>
      <c r="AQ37" s="182"/>
      <c r="AR37" s="172"/>
      <c r="AS37" s="183"/>
      <c r="AT37" s="30"/>
      <c r="AU37" s="453"/>
      <c r="AV37" s="175"/>
      <c r="AW37" s="172"/>
      <c r="AX37" s="182"/>
      <c r="AY37" s="172"/>
      <c r="AZ37" s="182"/>
      <c r="BA37" s="172"/>
      <c r="BB37" s="182"/>
      <c r="BC37" s="172"/>
      <c r="BD37" s="182"/>
      <c r="BE37" s="172"/>
      <c r="BF37" s="182"/>
      <c r="BG37" s="172"/>
      <c r="BH37" s="183"/>
    </row>
    <row r="38" spans="1:60" ht="11.25" customHeight="1">
      <c r="A38" s="30"/>
      <c r="B38" s="453"/>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53"/>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53"/>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53"/>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53"/>
      <c r="C39" s="177"/>
      <c r="D39" s="185" t="str">
        <f>IF(Roster!$AC$5=0,"",Roster!$AC$5)</f>
        <v/>
      </c>
      <c r="E39" s="177"/>
      <c r="F39" s="185" t="str">
        <f>IF((SUM(H39,J39,L39))=0,"",(SUM(H39,J39,L39)))</f>
        <v/>
      </c>
      <c r="G39" s="177"/>
      <c r="H39" s="185" t="str">
        <f>IF(Roster!$AF$5=0,"",Roster!$AF$5)</f>
        <v/>
      </c>
      <c r="I39" s="177"/>
      <c r="J39" s="185" t="str">
        <f>IF(Roster!$AG$5=0,"",Roster!$AG$5)</f>
        <v/>
      </c>
      <c r="K39" s="177"/>
      <c r="L39" s="185" t="str">
        <f>IF(Roster!$AH$5=0,"",Roster!$AH$5)</f>
        <v/>
      </c>
      <c r="M39" s="177"/>
      <c r="N39" s="185" t="str">
        <f>IF(Roster!$AB$5=0,"",Roster!$AB$5)</f>
        <v/>
      </c>
      <c r="O39" s="183"/>
      <c r="P39" s="30"/>
      <c r="Q39" s="453"/>
      <c r="R39" s="177"/>
      <c r="S39" s="185" t="str">
        <f>IF(Roster!$AC$6=0,"",Roster!$AC$6)</f>
        <v/>
      </c>
      <c r="T39" s="177"/>
      <c r="U39" s="185">
        <f>IF((SUM(W39,Y39,AA39))=0,"",(SUM(W39,Y39,AA39)))</f>
        <v>3</v>
      </c>
      <c r="V39" s="177"/>
      <c r="W39" s="185">
        <f>IF(Roster!$AF$6=0,"",Roster!$AF$6)</f>
        <v>1</v>
      </c>
      <c r="X39" s="177"/>
      <c r="Y39" s="185">
        <f>IF(Roster!$AG$6=0,"",Roster!$AG$6)</f>
        <v>2</v>
      </c>
      <c r="Z39" s="177"/>
      <c r="AA39" s="185" t="str">
        <f>IF(Roster!$AH$6=0,"",Roster!$AH$6)</f>
        <v/>
      </c>
      <c r="AB39" s="177"/>
      <c r="AC39" s="185" t="str">
        <f>IF(Roster!$AB$6=0,"",Roster!$AB$6)</f>
        <v/>
      </c>
      <c r="AD39" s="183"/>
      <c r="AE39" s="30"/>
      <c r="AF39" s="453"/>
      <c r="AG39" s="177"/>
      <c r="AH39" s="185">
        <f>IF(Roster!$AC$7=0,"",Roster!$AC$7)</f>
        <v>1</v>
      </c>
      <c r="AI39" s="177"/>
      <c r="AJ39" s="185">
        <f>IF((SUM(AL39,AN39,AP39))=0,"",(SUM(AL39,AN39,AP39)))</f>
        <v>1</v>
      </c>
      <c r="AK39" s="177"/>
      <c r="AL39" s="185">
        <f>IF(Roster!$AF$7=0,"",Roster!$AF$7)</f>
        <v>1</v>
      </c>
      <c r="AM39" s="177"/>
      <c r="AN39" s="185" t="str">
        <f>IF(Roster!$AG$7=0,"",Roster!$AG$7)</f>
        <v/>
      </c>
      <c r="AO39" s="177"/>
      <c r="AP39" s="185" t="str">
        <f>IF(Roster!$AH$7=0,"",Roster!$AH$7)</f>
        <v/>
      </c>
      <c r="AQ39" s="177"/>
      <c r="AR39" s="185" t="str">
        <f>IF(Roster!$AB$7=0,"",Roster!$AB$7)</f>
        <v/>
      </c>
      <c r="AS39" s="183"/>
      <c r="AT39" s="30"/>
      <c r="AU39" s="453"/>
      <c r="AV39" s="177"/>
      <c r="AW39" s="185" t="str">
        <f>IF(Roster!$AC$8=0,"",Roster!$AC$8)</f>
        <v/>
      </c>
      <c r="AX39" s="177"/>
      <c r="AY39" s="185" t="str">
        <f>IF((SUM(BA39,BC39,BE39))=0,"",(SUM(BA39,BC39,BE39)))</f>
        <v/>
      </c>
      <c r="AZ39" s="177"/>
      <c r="BA39" s="185" t="str">
        <f>IF(Roster!$AF$8=0,"",Roster!$AF$8)</f>
        <v/>
      </c>
      <c r="BB39" s="177"/>
      <c r="BC39" s="185" t="str">
        <f>IF(Roster!$AG$8=0,"",Roster!$AG$8)</f>
        <v/>
      </c>
      <c r="BD39" s="177"/>
      <c r="BE39" s="185" t="str">
        <f>IF(Roster!$AH$8=0,"",Roster!$AH$8)</f>
        <v/>
      </c>
      <c r="BF39" s="177"/>
      <c r="BG39" s="185" t="str">
        <f>IF(Roster!$AB$8=0,"",Roster!$AB$8)</f>
        <v/>
      </c>
      <c r="BH39" s="183"/>
    </row>
    <row r="40" spans="1:60" ht="4.5" customHeight="1">
      <c r="A40" s="30"/>
      <c r="B40" s="454"/>
      <c r="C40" s="177"/>
      <c r="D40" s="186"/>
      <c r="E40" s="177"/>
      <c r="F40" s="186"/>
      <c r="G40" s="177"/>
      <c r="H40" s="186"/>
      <c r="I40" s="177"/>
      <c r="J40" s="186"/>
      <c r="K40" s="177"/>
      <c r="L40" s="186"/>
      <c r="M40" s="177"/>
      <c r="N40" s="186"/>
      <c r="O40" s="183"/>
      <c r="P40" s="30"/>
      <c r="Q40" s="454"/>
      <c r="R40" s="177"/>
      <c r="S40" s="186"/>
      <c r="T40" s="177"/>
      <c r="U40" s="186"/>
      <c r="V40" s="177"/>
      <c r="W40" s="186"/>
      <c r="X40" s="177"/>
      <c r="Y40" s="186"/>
      <c r="Z40" s="177"/>
      <c r="AA40" s="186"/>
      <c r="AB40" s="177"/>
      <c r="AC40" s="186"/>
      <c r="AD40" s="183"/>
      <c r="AE40" s="30"/>
      <c r="AF40" s="454"/>
      <c r="AG40" s="177"/>
      <c r="AH40" s="186"/>
      <c r="AI40" s="177"/>
      <c r="AJ40" s="186"/>
      <c r="AK40" s="177"/>
      <c r="AL40" s="186"/>
      <c r="AM40" s="177"/>
      <c r="AN40" s="186"/>
      <c r="AO40" s="177"/>
      <c r="AP40" s="186"/>
      <c r="AQ40" s="177"/>
      <c r="AR40" s="186"/>
      <c r="AS40" s="183"/>
      <c r="AT40" s="30"/>
      <c r="AU40" s="454"/>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86" t="str">
        <f>IF(Roster!$N$5=0&amp;"+","",Roster!$N$5)</f>
        <v>10+</v>
      </c>
      <c r="C42" s="177"/>
      <c r="D42" s="185" t="str">
        <f>IF(Roster!$AD$5=0,"",Roster!$AD$5)</f>
        <v/>
      </c>
      <c r="E42" s="177"/>
      <c r="F42" s="185" t="str">
        <f>IF(Roster!$AE$5=0,"",Roster!$AE$5)</f>
        <v/>
      </c>
      <c r="G42" s="177"/>
      <c r="H42" s="185" t="str">
        <f>IF(Roster!$AA$5=0,"",Roster!$AA$5)</f>
        <v/>
      </c>
      <c r="I42" s="177"/>
      <c r="J42" s="185">
        <f>IF(Roster!$AI$5=0,"",Roster!$AI$5)</f>
        <v>1</v>
      </c>
      <c r="K42" s="177"/>
      <c r="L42" s="185">
        <f>IF(Roster!$AJ$5=0,"",Roster!$AJ$5)</f>
        <v>4</v>
      </c>
      <c r="M42" s="177"/>
      <c r="N42" s="185" t="str">
        <f>IF(Roster!$Z$5=0,"",Roster!$Z$5)</f>
        <v/>
      </c>
      <c r="O42" s="187"/>
      <c r="P42" s="30"/>
      <c r="Q42" s="486" t="str">
        <f>IF(Roster!$N$6=0&amp;"+","",Roster!$N$6)</f>
        <v>10+</v>
      </c>
      <c r="R42" s="177"/>
      <c r="S42" s="185" t="str">
        <f>IF(Roster!$AD$6=0,"",Roster!$AD$6)</f>
        <v/>
      </c>
      <c r="T42" s="177"/>
      <c r="U42" s="185" t="str">
        <f>IF(Roster!$AE$6=0,"",Roster!$AE$6)</f>
        <v/>
      </c>
      <c r="V42" s="177"/>
      <c r="W42" s="185" t="str">
        <f>IF(Roster!$AA$6=0,"",Roster!$AA$6)</f>
        <v/>
      </c>
      <c r="X42" s="177"/>
      <c r="Y42" s="185">
        <f>IF(Roster!$AI$6=0,"",Roster!$AI$6)</f>
        <v>2</v>
      </c>
      <c r="Z42" s="177"/>
      <c r="AA42" s="185">
        <f>IF(Roster!$AJ$6=0,"",Roster!$AJ$6)</f>
        <v>14</v>
      </c>
      <c r="AB42" s="177"/>
      <c r="AC42" s="185" t="str">
        <f>IF(Roster!$Z$6=0,"",Roster!$Z$6)</f>
        <v/>
      </c>
      <c r="AD42" s="187"/>
      <c r="AE42" s="30"/>
      <c r="AF42" s="486" t="str">
        <f>IF(Roster!$N$7=0&amp;"+","",Roster!$N$7)</f>
        <v>10+</v>
      </c>
      <c r="AG42" s="177"/>
      <c r="AH42" s="185" t="str">
        <f>IF(Roster!$AD$7=0,"",Roster!$AD$7)</f>
        <v/>
      </c>
      <c r="AI42" s="177"/>
      <c r="AJ42" s="185" t="str">
        <f>IF(Roster!$AE$7=0,"",Roster!$AE$7)</f>
        <v/>
      </c>
      <c r="AK42" s="177"/>
      <c r="AL42" s="185" t="str">
        <f>IF(Roster!$AA$7=0,"",Roster!$AA$7)</f>
        <v/>
      </c>
      <c r="AM42" s="177"/>
      <c r="AN42" s="185">
        <f>IF(Roster!$AI$7=0,"",Roster!$AI$7)</f>
        <v>2</v>
      </c>
      <c r="AO42" s="177"/>
      <c r="AP42" s="185">
        <f>IF(Roster!$AJ$7=0,"",Roster!$AJ$7)</f>
        <v>13</v>
      </c>
      <c r="AQ42" s="177"/>
      <c r="AR42" s="185" t="str">
        <f>IF(Roster!$Z$7=0,"",Roster!$Z$7)</f>
        <v/>
      </c>
      <c r="AS42" s="187"/>
      <c r="AT42" s="30"/>
      <c r="AU42" s="486" t="str">
        <f>IF(Roster!$N$8=0&amp;"+","",Roster!$N$8)</f>
        <v/>
      </c>
      <c r="AV42" s="177"/>
      <c r="AW42" s="185" t="str">
        <f>IF(Roster!$AD$8=0,"",Roster!$AD$8)</f>
        <v/>
      </c>
      <c r="AX42" s="177"/>
      <c r="AY42" s="185" t="str">
        <f>IF(Roster!$AE$8=0,"",Roster!$AE$8)</f>
        <v/>
      </c>
      <c r="AZ42" s="177"/>
      <c r="BA42" s="185" t="str">
        <f>IF(Roster!$AA$8=0,"",Roster!$AA$8)</f>
        <v/>
      </c>
      <c r="BB42" s="177"/>
      <c r="BC42" s="185" t="str">
        <f>IF(Roster!$AI$8=0,"",Roster!$AI$8)</f>
        <v/>
      </c>
      <c r="BD42" s="177"/>
      <c r="BE42" s="185" t="str">
        <f>IF(Roster!$AJ$8=0,"",Roster!$AJ$8)</f>
        <v/>
      </c>
      <c r="BF42" s="177"/>
      <c r="BG42" s="185" t="str">
        <f>IF(Roster!$Z$8=0,"",Roster!$Z$8)</f>
        <v/>
      </c>
      <c r="BH42" s="187"/>
    </row>
    <row r="43" spans="1:60" ht="4.5" customHeight="1">
      <c r="A43" s="30"/>
      <c r="B43" s="453"/>
      <c r="C43" s="177"/>
      <c r="D43" s="177"/>
      <c r="E43" s="177"/>
      <c r="F43" s="177"/>
      <c r="G43" s="177"/>
      <c r="H43" s="177"/>
      <c r="I43" s="177"/>
      <c r="J43" s="177"/>
      <c r="K43" s="177"/>
      <c r="L43" s="177"/>
      <c r="M43" s="177"/>
      <c r="N43" s="183"/>
      <c r="O43" s="187"/>
      <c r="P43" s="30"/>
      <c r="Q43" s="453"/>
      <c r="R43" s="177"/>
      <c r="S43" s="177"/>
      <c r="T43" s="177"/>
      <c r="U43" s="177"/>
      <c r="V43" s="177"/>
      <c r="W43" s="177"/>
      <c r="X43" s="177"/>
      <c r="Y43" s="177"/>
      <c r="Z43" s="177"/>
      <c r="AA43" s="177"/>
      <c r="AB43" s="177"/>
      <c r="AC43" s="183"/>
      <c r="AD43" s="187"/>
      <c r="AE43" s="30"/>
      <c r="AF43" s="453"/>
      <c r="AG43" s="177"/>
      <c r="AH43" s="177"/>
      <c r="AI43" s="177"/>
      <c r="AJ43" s="177"/>
      <c r="AK43" s="177"/>
      <c r="AL43" s="177"/>
      <c r="AM43" s="177"/>
      <c r="AN43" s="177"/>
      <c r="AO43" s="177"/>
      <c r="AP43" s="177"/>
      <c r="AQ43" s="177"/>
      <c r="AR43" s="183"/>
      <c r="AS43" s="187"/>
      <c r="AT43" s="30"/>
      <c r="AU43" s="453"/>
      <c r="AV43" s="177"/>
      <c r="AW43" s="177"/>
      <c r="AX43" s="177"/>
      <c r="AY43" s="177"/>
      <c r="AZ43" s="177"/>
      <c r="BA43" s="177"/>
      <c r="BB43" s="177"/>
      <c r="BC43" s="177"/>
      <c r="BD43" s="177"/>
      <c r="BE43" s="177"/>
      <c r="BF43" s="177"/>
      <c r="BG43" s="183"/>
      <c r="BH43" s="187"/>
    </row>
    <row r="44" spans="1:60" ht="11.25" customHeight="1">
      <c r="A44" s="30"/>
      <c r="B44" s="453"/>
      <c r="C44" s="177"/>
      <c r="D44" s="483" t="str">
        <f>IF(Roster!$J$25="Italiano","ABILITÀ &amp; TRATTI",(IF(Roster!$J$25="Español","HABILIDADES Y RASGOS","SKILLS &amp; TRAITS")))</f>
        <v>ABILITÀ &amp; TRATTI</v>
      </c>
      <c r="E44" s="439"/>
      <c r="F44" s="439"/>
      <c r="G44" s="439"/>
      <c r="H44" s="439"/>
      <c r="I44" s="439"/>
      <c r="J44" s="439"/>
      <c r="K44" s="439"/>
      <c r="L44" s="439"/>
      <c r="M44" s="439"/>
      <c r="N44" s="440"/>
      <c r="O44" s="187"/>
      <c r="P44" s="30"/>
      <c r="Q44" s="453"/>
      <c r="R44" s="177"/>
      <c r="S44" s="483" t="str">
        <f>IF(Roster!$J$25="Italiano","ABILITÀ &amp; TRATTI",(IF(Roster!$J$25="Español","HABILIDADES Y RASGOS","SKILLS &amp; TRAITS")))</f>
        <v>ABILITÀ &amp; TRATTI</v>
      </c>
      <c r="T44" s="439"/>
      <c r="U44" s="439"/>
      <c r="V44" s="439"/>
      <c r="W44" s="439"/>
      <c r="X44" s="439"/>
      <c r="Y44" s="439"/>
      <c r="Z44" s="439"/>
      <c r="AA44" s="439"/>
      <c r="AB44" s="439"/>
      <c r="AC44" s="440"/>
      <c r="AD44" s="187"/>
      <c r="AE44" s="30"/>
      <c r="AF44" s="453"/>
      <c r="AG44" s="177"/>
      <c r="AH44" s="483" t="str">
        <f>IF(Roster!$J$25="Italiano","ABILITÀ &amp; TRATTI",(IF(Roster!$J$25="Español","HABILIDADES Y RASGOS","SKILLS &amp; TRAITS")))</f>
        <v>ABILITÀ &amp; TRATTI</v>
      </c>
      <c r="AI44" s="439"/>
      <c r="AJ44" s="439"/>
      <c r="AK44" s="439"/>
      <c r="AL44" s="439"/>
      <c r="AM44" s="439"/>
      <c r="AN44" s="439"/>
      <c r="AO44" s="439"/>
      <c r="AP44" s="439"/>
      <c r="AQ44" s="439"/>
      <c r="AR44" s="440"/>
      <c r="AS44" s="187"/>
      <c r="AT44" s="30"/>
      <c r="AU44" s="453"/>
      <c r="AV44" s="177"/>
      <c r="AW44" s="483" t="str">
        <f>IF(Roster!$J$25="Italiano","ABILITÀ &amp; TRATTI",(IF(Roster!$J$25="Español","HABILIDADES Y RASGOS","SKILLS &amp; TRAITS")))</f>
        <v>ABILITÀ &amp; TRATTI</v>
      </c>
      <c r="AX44" s="439"/>
      <c r="AY44" s="439"/>
      <c r="AZ44" s="439"/>
      <c r="BA44" s="439"/>
      <c r="BB44" s="439"/>
      <c r="BC44" s="439"/>
      <c r="BD44" s="439"/>
      <c r="BE44" s="439"/>
      <c r="BF44" s="439"/>
      <c r="BG44" s="440"/>
      <c r="BH44" s="187"/>
    </row>
    <row r="45" spans="1:60" ht="6.75" customHeight="1">
      <c r="A45" s="30"/>
      <c r="B45" s="454"/>
      <c r="C45" s="177"/>
      <c r="D45" s="487" t="str">
        <f>IF(Roster!$O$5=0&amp;BF5,"",Roster!$O$5)</f>
        <v>Animosity (Big Un Blockers) - 1 NI</v>
      </c>
      <c r="E45" s="488"/>
      <c r="F45" s="488"/>
      <c r="G45" s="488"/>
      <c r="H45" s="488"/>
      <c r="I45" s="488"/>
      <c r="J45" s="488"/>
      <c r="K45" s="488"/>
      <c r="L45" s="488"/>
      <c r="M45" s="488"/>
      <c r="N45" s="489"/>
      <c r="O45" s="187"/>
      <c r="P45" s="30"/>
      <c r="Q45" s="454"/>
      <c r="R45" s="177"/>
      <c r="S45" s="487" t="str">
        <f>IF(Roster!$O$6=0&amp;BF6,"",Roster!$O$6)</f>
        <v>Animosity (Big Un Blockers), Block, Guard</v>
      </c>
      <c r="T45" s="488"/>
      <c r="U45" s="488"/>
      <c r="V45" s="488"/>
      <c r="W45" s="488"/>
      <c r="X45" s="488"/>
      <c r="Y45" s="488"/>
      <c r="Z45" s="488"/>
      <c r="AA45" s="488"/>
      <c r="AB45" s="488"/>
      <c r="AC45" s="489"/>
      <c r="AD45" s="187"/>
      <c r="AE45" s="30"/>
      <c r="AF45" s="454"/>
      <c r="AG45" s="177"/>
      <c r="AH45" s="487" t="str">
        <f>IF(Roster!$O$7=0&amp;BF7,"",Roster!$O$7)</f>
        <v>Animosity (alle Mitspieler), Block, Mighty Blow (+1)</v>
      </c>
      <c r="AI45" s="488"/>
      <c r="AJ45" s="488"/>
      <c r="AK45" s="488"/>
      <c r="AL45" s="488"/>
      <c r="AM45" s="488"/>
      <c r="AN45" s="488"/>
      <c r="AO45" s="488"/>
      <c r="AP45" s="488"/>
      <c r="AQ45" s="488"/>
      <c r="AR45" s="489"/>
      <c r="AS45" s="187"/>
      <c r="AT45" s="30"/>
      <c r="AU45" s="454"/>
      <c r="AV45" s="177"/>
      <c r="AW45" s="487" t="str">
        <f>IF(Roster!$O$8=0&amp;BF8,"",Roster!$O$8)</f>
        <v/>
      </c>
      <c r="AX45" s="488"/>
      <c r="AY45" s="488"/>
      <c r="AZ45" s="488"/>
      <c r="BA45" s="488"/>
      <c r="BB45" s="488"/>
      <c r="BC45" s="488"/>
      <c r="BD45" s="488"/>
      <c r="BE45" s="488"/>
      <c r="BF45" s="488"/>
      <c r="BG45" s="489"/>
      <c r="BH45" s="187"/>
    </row>
    <row r="46" spans="1:60" ht="11.25" customHeight="1">
      <c r="A46" s="30"/>
      <c r="B46" s="176" t="str">
        <f>IF(Roster!$AN$1=0,"",Roster!$AN$1)</f>
        <v>COSTO</v>
      </c>
      <c r="C46" s="176"/>
      <c r="D46" s="490"/>
      <c r="E46" s="491"/>
      <c r="F46" s="491"/>
      <c r="G46" s="491"/>
      <c r="H46" s="491"/>
      <c r="I46" s="491"/>
      <c r="J46" s="491"/>
      <c r="K46" s="491"/>
      <c r="L46" s="491"/>
      <c r="M46" s="491"/>
      <c r="N46" s="492"/>
      <c r="O46" s="188"/>
      <c r="P46" s="30"/>
      <c r="Q46" s="176" t="str">
        <f>IF(Roster!$AN$1=0,"",Roster!$AN$1)</f>
        <v>COSTO</v>
      </c>
      <c r="R46" s="176"/>
      <c r="S46" s="490"/>
      <c r="T46" s="491"/>
      <c r="U46" s="491"/>
      <c r="V46" s="491"/>
      <c r="W46" s="491"/>
      <c r="X46" s="491"/>
      <c r="Y46" s="491"/>
      <c r="Z46" s="491"/>
      <c r="AA46" s="491"/>
      <c r="AB46" s="491"/>
      <c r="AC46" s="492"/>
      <c r="AD46" s="188"/>
      <c r="AE46" s="30"/>
      <c r="AF46" s="176" t="str">
        <f>IF(Roster!$AN$1=0,"",Roster!$AN$1)</f>
        <v>COSTO</v>
      </c>
      <c r="AG46" s="176"/>
      <c r="AH46" s="490"/>
      <c r="AI46" s="491"/>
      <c r="AJ46" s="491"/>
      <c r="AK46" s="491"/>
      <c r="AL46" s="491"/>
      <c r="AM46" s="491"/>
      <c r="AN46" s="491"/>
      <c r="AO46" s="491"/>
      <c r="AP46" s="491"/>
      <c r="AQ46" s="491"/>
      <c r="AR46" s="492"/>
      <c r="AS46" s="188"/>
      <c r="AT46" s="30"/>
      <c r="AU46" s="176" t="str">
        <f>IF(Roster!$AN$1=0,"",Roster!$AN$1)</f>
        <v>COSTO</v>
      </c>
      <c r="AV46" s="176"/>
      <c r="AW46" s="490"/>
      <c r="AX46" s="491"/>
      <c r="AY46" s="491"/>
      <c r="AZ46" s="491"/>
      <c r="BA46" s="491"/>
      <c r="BB46" s="491"/>
      <c r="BC46" s="491"/>
      <c r="BD46" s="491"/>
      <c r="BE46" s="491"/>
      <c r="BF46" s="491"/>
      <c r="BG46" s="492"/>
      <c r="BH46" s="188"/>
    </row>
    <row r="47" spans="1:60" ht="34.5" customHeight="1">
      <c r="A47" s="30"/>
      <c r="B47" s="190">
        <f>IF(Roster!$AN$5=0,"",Roster!$AN$5)</f>
        <v>90000</v>
      </c>
      <c r="C47" s="191"/>
      <c r="D47" s="493"/>
      <c r="E47" s="494"/>
      <c r="F47" s="494"/>
      <c r="G47" s="494"/>
      <c r="H47" s="494"/>
      <c r="I47" s="494"/>
      <c r="J47" s="494"/>
      <c r="K47" s="494"/>
      <c r="L47" s="494"/>
      <c r="M47" s="494"/>
      <c r="N47" s="495"/>
      <c r="O47" s="188"/>
      <c r="P47" s="30"/>
      <c r="Q47" s="190">
        <f>IF(Roster!$AN$6=0,"",Roster!$AN$6)</f>
        <v>130000</v>
      </c>
      <c r="R47" s="191"/>
      <c r="S47" s="493"/>
      <c r="T47" s="494"/>
      <c r="U47" s="494"/>
      <c r="V47" s="494"/>
      <c r="W47" s="494"/>
      <c r="X47" s="494"/>
      <c r="Y47" s="494"/>
      <c r="Z47" s="494"/>
      <c r="AA47" s="494"/>
      <c r="AB47" s="494"/>
      <c r="AC47" s="495"/>
      <c r="AD47" s="188"/>
      <c r="AE47" s="30"/>
      <c r="AF47" s="190">
        <f>IF(Roster!$AN$7=0,"",Roster!$AN$7)</f>
        <v>100000</v>
      </c>
      <c r="AG47" s="191"/>
      <c r="AH47" s="493"/>
      <c r="AI47" s="494"/>
      <c r="AJ47" s="494"/>
      <c r="AK47" s="494"/>
      <c r="AL47" s="494"/>
      <c r="AM47" s="494"/>
      <c r="AN47" s="494"/>
      <c r="AO47" s="494"/>
      <c r="AP47" s="494"/>
      <c r="AQ47" s="494"/>
      <c r="AR47" s="495"/>
      <c r="AS47" s="188"/>
      <c r="AT47" s="30"/>
      <c r="AU47" s="190" t="str">
        <f>IF(Roster!$AN$8=0,"",Roster!$AN$8)</f>
        <v/>
      </c>
      <c r="AV47" s="191"/>
      <c r="AW47" s="493"/>
      <c r="AX47" s="494"/>
      <c r="AY47" s="494"/>
      <c r="AZ47" s="494"/>
      <c r="BA47" s="494"/>
      <c r="BB47" s="494"/>
      <c r="BC47" s="494"/>
      <c r="BD47" s="494"/>
      <c r="BE47" s="494"/>
      <c r="BF47" s="494"/>
      <c r="BG47" s="495"/>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85" t="str">
        <f>IF(Roster!$A$9=0,"","#"&amp;Roster!$A$9)</f>
        <v>#8</v>
      </c>
      <c r="C50" s="172"/>
      <c r="D50" s="172"/>
      <c r="E50" s="172"/>
      <c r="F50" s="172"/>
      <c r="G50" s="172"/>
      <c r="H50" s="172"/>
      <c r="I50" s="172"/>
      <c r="J50" s="172"/>
      <c r="K50" s="172"/>
      <c r="L50" s="172"/>
      <c r="M50" s="172"/>
      <c r="N50" s="172"/>
      <c r="O50" s="172"/>
      <c r="P50" s="30"/>
      <c r="Q50" s="485" t="str">
        <f>IF(Roster!$A$10=0,"","#"&amp;Roster!$A$10)</f>
        <v>#9</v>
      </c>
      <c r="R50" s="172"/>
      <c r="S50" s="172"/>
      <c r="T50" s="172"/>
      <c r="U50" s="172"/>
      <c r="V50" s="172"/>
      <c r="W50" s="172"/>
      <c r="X50" s="172"/>
      <c r="Y50" s="172"/>
      <c r="Z50" s="172"/>
      <c r="AA50" s="172"/>
      <c r="AB50" s="172"/>
      <c r="AC50" s="172"/>
      <c r="AD50" s="172"/>
      <c r="AE50" s="30"/>
      <c r="AF50" s="485" t="str">
        <f>IF(Roster!$A$11=0,"","#"&amp;Roster!$A$11)</f>
        <v>#10</v>
      </c>
      <c r="AG50" s="172"/>
      <c r="AH50" s="172"/>
      <c r="AI50" s="172"/>
      <c r="AJ50" s="172"/>
      <c r="AK50" s="172"/>
      <c r="AL50" s="172"/>
      <c r="AM50" s="172"/>
      <c r="AN50" s="172"/>
      <c r="AO50" s="172"/>
      <c r="AP50" s="172"/>
      <c r="AQ50" s="172"/>
      <c r="AR50" s="172"/>
      <c r="AS50" s="172"/>
      <c r="AT50" s="30"/>
      <c r="AU50" s="485" t="str">
        <f>IF(Roster!$A$12=0,"","#"&amp;Roster!$A$12)</f>
        <v>#11</v>
      </c>
      <c r="AV50" s="172"/>
      <c r="AW50" s="172"/>
      <c r="AX50" s="172"/>
      <c r="AY50" s="172"/>
      <c r="AZ50" s="172"/>
      <c r="BA50" s="172"/>
      <c r="BB50" s="172"/>
      <c r="BC50" s="172"/>
      <c r="BD50" s="172"/>
      <c r="BE50" s="172"/>
      <c r="BF50" s="172"/>
      <c r="BG50" s="172"/>
      <c r="BH50" s="172"/>
    </row>
    <row r="51" spans="1:60" ht="15" customHeight="1">
      <c r="A51" s="30"/>
      <c r="B51" s="453"/>
      <c r="C51" s="478" t="str">
        <f>IF(Roster!$B$9=0,"",Roster!$B$9)</f>
        <v>HIPPIE</v>
      </c>
      <c r="D51" s="439"/>
      <c r="E51" s="439"/>
      <c r="F51" s="439"/>
      <c r="G51" s="439"/>
      <c r="H51" s="439"/>
      <c r="I51" s="439"/>
      <c r="J51" s="439"/>
      <c r="K51" s="439"/>
      <c r="L51" s="439"/>
      <c r="M51" s="439"/>
      <c r="N51" s="440"/>
      <c r="O51" s="172"/>
      <c r="P51" s="30"/>
      <c r="Q51" s="453"/>
      <c r="R51" s="478" t="str">
        <f>IF(Roster!$B$10=0,"",Roster!$B$10)</f>
        <v>SULIDAMOR III</v>
      </c>
      <c r="S51" s="439"/>
      <c r="T51" s="439"/>
      <c r="U51" s="439"/>
      <c r="V51" s="439"/>
      <c r="W51" s="439"/>
      <c r="X51" s="439"/>
      <c r="Y51" s="439"/>
      <c r="Z51" s="439"/>
      <c r="AA51" s="439"/>
      <c r="AB51" s="439"/>
      <c r="AC51" s="440"/>
      <c r="AD51" s="172"/>
      <c r="AE51" s="30"/>
      <c r="AF51" s="453"/>
      <c r="AG51" s="478" t="str">
        <f>IF(Roster!$B$11=0,"",Roster!$B$11)</f>
        <v>SPARTAKO</v>
      </c>
      <c r="AH51" s="439"/>
      <c r="AI51" s="439"/>
      <c r="AJ51" s="439"/>
      <c r="AK51" s="439"/>
      <c r="AL51" s="439"/>
      <c r="AM51" s="439"/>
      <c r="AN51" s="439"/>
      <c r="AO51" s="439"/>
      <c r="AP51" s="439"/>
      <c r="AQ51" s="439"/>
      <c r="AR51" s="440"/>
      <c r="AS51" s="172"/>
      <c r="AT51" s="30"/>
      <c r="AU51" s="453"/>
      <c r="AV51" s="478" t="str">
        <f>IF(Roster!$B$12=0,"",Roster!$B$12)</f>
        <v/>
      </c>
      <c r="AW51" s="439"/>
      <c r="AX51" s="439"/>
      <c r="AY51" s="439"/>
      <c r="AZ51" s="439"/>
      <c r="BA51" s="439"/>
      <c r="BB51" s="439"/>
      <c r="BC51" s="439"/>
      <c r="BD51" s="439"/>
      <c r="BE51" s="439"/>
      <c r="BF51" s="439"/>
      <c r="BG51" s="440"/>
      <c r="BH51" s="172"/>
    </row>
    <row r="52" spans="1:60" ht="11.25" customHeight="1">
      <c r="A52" s="30"/>
      <c r="B52" s="454"/>
      <c r="C52" s="484" t="str">
        <f>IF(Roster!$C$9=0,"",Roster!$C$9)</f>
        <v>Blitzer</v>
      </c>
      <c r="D52" s="439"/>
      <c r="E52" s="439"/>
      <c r="F52" s="439"/>
      <c r="G52" s="439"/>
      <c r="H52" s="439"/>
      <c r="I52" s="439"/>
      <c r="J52" s="439"/>
      <c r="K52" s="439"/>
      <c r="L52" s="439"/>
      <c r="M52" s="439"/>
      <c r="N52" s="440"/>
      <c r="O52" s="173"/>
      <c r="P52" s="30"/>
      <c r="Q52" s="454"/>
      <c r="R52" s="484" t="str">
        <f>IF(Roster!$C$10=0,"",Roster!$C$10)</f>
        <v>Blitzer</v>
      </c>
      <c r="S52" s="439"/>
      <c r="T52" s="439"/>
      <c r="U52" s="439"/>
      <c r="V52" s="439"/>
      <c r="W52" s="439"/>
      <c r="X52" s="439"/>
      <c r="Y52" s="439"/>
      <c r="Z52" s="439"/>
      <c r="AA52" s="439"/>
      <c r="AB52" s="439"/>
      <c r="AC52" s="440"/>
      <c r="AD52" s="173"/>
      <c r="AE52" s="30"/>
      <c r="AF52" s="454"/>
      <c r="AG52" s="484" t="str">
        <f>IF(Roster!$C$11=0,"",Roster!$C$11)</f>
        <v>Thrower</v>
      </c>
      <c r="AH52" s="439"/>
      <c r="AI52" s="439"/>
      <c r="AJ52" s="439"/>
      <c r="AK52" s="439"/>
      <c r="AL52" s="439"/>
      <c r="AM52" s="439"/>
      <c r="AN52" s="439"/>
      <c r="AO52" s="439"/>
      <c r="AP52" s="439"/>
      <c r="AQ52" s="439"/>
      <c r="AR52" s="440"/>
      <c r="AS52" s="173"/>
      <c r="AT52" s="30"/>
      <c r="AU52" s="454"/>
      <c r="AV52" s="484" t="str">
        <f>IF(Roster!$C$12=0,"",Roster!$C$12)</f>
        <v/>
      </c>
      <c r="AW52" s="439"/>
      <c r="AX52" s="439"/>
      <c r="AY52" s="439"/>
      <c r="AZ52" s="439"/>
      <c r="BA52" s="439"/>
      <c r="BB52" s="439"/>
      <c r="BC52" s="439"/>
      <c r="BD52" s="439"/>
      <c r="BE52" s="439"/>
      <c r="BF52" s="439"/>
      <c r="BG52" s="440"/>
      <c r="BH52" s="173"/>
    </row>
    <row r="53" spans="1:60" ht="11.25" customHeight="1">
      <c r="A53" s="30"/>
      <c r="B53" s="176" t="str">
        <f>IF(Roster!$J$1=0,"",Roster!$J$1)</f>
        <v>MA</v>
      </c>
      <c r="C53" s="175"/>
      <c r="D53" s="497"/>
      <c r="E53" s="497"/>
      <c r="F53" s="497"/>
      <c r="G53" s="497"/>
      <c r="H53" s="497"/>
      <c r="I53" s="497"/>
      <c r="J53" s="497"/>
      <c r="K53" s="497"/>
      <c r="L53" s="497"/>
      <c r="M53" s="497"/>
      <c r="N53" s="497"/>
      <c r="O53" s="172"/>
      <c r="P53" s="30"/>
      <c r="Q53" s="176" t="str">
        <f>IF(Roster!$J$1=0,"",Roster!$J$1)</f>
        <v>MA</v>
      </c>
      <c r="R53" s="175"/>
      <c r="S53" s="497"/>
      <c r="T53" s="497"/>
      <c r="U53" s="497"/>
      <c r="V53" s="497"/>
      <c r="W53" s="497"/>
      <c r="X53" s="497"/>
      <c r="Y53" s="497"/>
      <c r="Z53" s="497"/>
      <c r="AA53" s="497"/>
      <c r="AB53" s="497"/>
      <c r="AC53" s="497"/>
      <c r="AD53" s="172"/>
      <c r="AE53" s="30"/>
      <c r="AF53" s="176" t="str">
        <f>IF(Roster!$J$1=0,"",Roster!$J$1)</f>
        <v>MA</v>
      </c>
      <c r="AG53" s="175"/>
      <c r="AH53" s="497"/>
      <c r="AI53" s="497"/>
      <c r="AJ53" s="497"/>
      <c r="AK53" s="497"/>
      <c r="AL53" s="497"/>
      <c r="AM53" s="497"/>
      <c r="AN53" s="497"/>
      <c r="AO53" s="497"/>
      <c r="AP53" s="497"/>
      <c r="AQ53" s="497"/>
      <c r="AR53" s="497"/>
      <c r="AS53" s="172"/>
      <c r="AT53" s="30"/>
      <c r="AU53" s="176" t="str">
        <f>IF(Roster!$J$1=0,"",Roster!$J$1)</f>
        <v>MA</v>
      </c>
      <c r="AV53" s="175"/>
      <c r="AW53" s="497"/>
      <c r="AX53" s="497"/>
      <c r="AY53" s="497"/>
      <c r="AZ53" s="497"/>
      <c r="BA53" s="497"/>
      <c r="BB53" s="497"/>
      <c r="BC53" s="497"/>
      <c r="BD53" s="497"/>
      <c r="BE53" s="497"/>
      <c r="BF53" s="497"/>
      <c r="BG53" s="497"/>
      <c r="BH53" s="172"/>
    </row>
    <row r="54" spans="1:60" ht="37.5" customHeight="1">
      <c r="A54" s="30"/>
      <c r="B54" s="178">
        <f>IF(Roster!$J$9=0,"",Roster!$J$9)</f>
        <v>6</v>
      </c>
      <c r="C54" s="175"/>
      <c r="D54" s="497"/>
      <c r="E54" s="497"/>
      <c r="F54" s="497"/>
      <c r="G54" s="497"/>
      <c r="H54" s="497"/>
      <c r="I54" s="497"/>
      <c r="J54" s="497"/>
      <c r="K54" s="497"/>
      <c r="L54" s="497"/>
      <c r="M54" s="497"/>
      <c r="N54" s="497"/>
      <c r="O54" s="172"/>
      <c r="P54" s="30"/>
      <c r="Q54" s="178">
        <f>IF(Roster!$J$10=0,"",Roster!$J$10)</f>
        <v>6</v>
      </c>
      <c r="R54" s="175"/>
      <c r="S54" s="497"/>
      <c r="T54" s="497"/>
      <c r="U54" s="497"/>
      <c r="V54" s="497"/>
      <c r="W54" s="497"/>
      <c r="X54" s="497"/>
      <c r="Y54" s="497"/>
      <c r="Z54" s="497"/>
      <c r="AA54" s="497"/>
      <c r="AB54" s="497"/>
      <c r="AC54" s="497"/>
      <c r="AD54" s="172"/>
      <c r="AE54" s="30"/>
      <c r="AF54" s="178">
        <f>IF(Roster!$J$11=0,"",Roster!$J$11)</f>
        <v>5</v>
      </c>
      <c r="AG54" s="175"/>
      <c r="AH54" s="497"/>
      <c r="AI54" s="497"/>
      <c r="AJ54" s="497"/>
      <c r="AK54" s="497"/>
      <c r="AL54" s="497"/>
      <c r="AM54" s="497"/>
      <c r="AN54" s="497"/>
      <c r="AO54" s="497"/>
      <c r="AP54" s="497"/>
      <c r="AQ54" s="497"/>
      <c r="AR54" s="497"/>
      <c r="AS54" s="172"/>
      <c r="AT54" s="30"/>
      <c r="AU54" s="178" t="str">
        <f>IF(Roster!$J$12=0,"",Roster!$J$12)</f>
        <v/>
      </c>
      <c r="AV54" s="175"/>
      <c r="AW54" s="497"/>
      <c r="AX54" s="497"/>
      <c r="AY54" s="497"/>
      <c r="AZ54" s="497"/>
      <c r="BA54" s="497"/>
      <c r="BB54" s="497"/>
      <c r="BC54" s="497"/>
      <c r="BD54" s="497"/>
      <c r="BE54" s="497"/>
      <c r="BF54" s="497"/>
      <c r="BG54" s="497"/>
      <c r="BH54" s="172"/>
    </row>
    <row r="55" spans="1:60" ht="11.25" customHeight="1">
      <c r="A55" s="30"/>
      <c r="B55" s="176" t="str">
        <f>IF(Roster!$K$1=0,"",Roster!$K$1)</f>
        <v>ST</v>
      </c>
      <c r="C55" s="175"/>
      <c r="D55" s="497"/>
      <c r="E55" s="497"/>
      <c r="F55" s="497"/>
      <c r="G55" s="497"/>
      <c r="H55" s="497"/>
      <c r="I55" s="497"/>
      <c r="J55" s="497"/>
      <c r="K55" s="497"/>
      <c r="L55" s="497"/>
      <c r="M55" s="497"/>
      <c r="N55" s="497"/>
      <c r="O55" s="172"/>
      <c r="P55" s="30"/>
      <c r="Q55" s="176" t="str">
        <f>IF(Roster!$K$1=0,"",Roster!$K$1)</f>
        <v>ST</v>
      </c>
      <c r="R55" s="175"/>
      <c r="S55" s="497"/>
      <c r="T55" s="497"/>
      <c r="U55" s="497"/>
      <c r="V55" s="497"/>
      <c r="W55" s="497"/>
      <c r="X55" s="497"/>
      <c r="Y55" s="497"/>
      <c r="Z55" s="497"/>
      <c r="AA55" s="497"/>
      <c r="AB55" s="497"/>
      <c r="AC55" s="497"/>
      <c r="AD55" s="172"/>
      <c r="AE55" s="30"/>
      <c r="AF55" s="176" t="str">
        <f>IF(Roster!$K$1=0,"",Roster!$K$1)</f>
        <v>ST</v>
      </c>
      <c r="AG55" s="175"/>
      <c r="AH55" s="497"/>
      <c r="AI55" s="497"/>
      <c r="AJ55" s="497"/>
      <c r="AK55" s="497"/>
      <c r="AL55" s="497"/>
      <c r="AM55" s="497"/>
      <c r="AN55" s="497"/>
      <c r="AO55" s="497"/>
      <c r="AP55" s="497"/>
      <c r="AQ55" s="497"/>
      <c r="AR55" s="497"/>
      <c r="AS55" s="172"/>
      <c r="AT55" s="30"/>
      <c r="AU55" s="176" t="str">
        <f>IF(Roster!$K$1=0,"",Roster!$K$1)</f>
        <v>ST</v>
      </c>
      <c r="AV55" s="175"/>
      <c r="AW55" s="497"/>
      <c r="AX55" s="497"/>
      <c r="AY55" s="497"/>
      <c r="AZ55" s="497"/>
      <c r="BA55" s="497"/>
      <c r="BB55" s="497"/>
      <c r="BC55" s="497"/>
      <c r="BD55" s="497"/>
      <c r="BE55" s="497"/>
      <c r="BF55" s="497"/>
      <c r="BG55" s="497"/>
      <c r="BH55" s="172"/>
    </row>
    <row r="56" spans="1:60" ht="37.5" customHeight="1">
      <c r="A56" s="30"/>
      <c r="B56" s="178">
        <f>IF(Roster!$K$9=0,"",Roster!$K$9)</f>
        <v>3</v>
      </c>
      <c r="C56" s="175"/>
      <c r="D56" s="497"/>
      <c r="E56" s="497"/>
      <c r="F56" s="497"/>
      <c r="G56" s="497"/>
      <c r="H56" s="497"/>
      <c r="I56" s="497"/>
      <c r="J56" s="497"/>
      <c r="K56" s="497"/>
      <c r="L56" s="497"/>
      <c r="M56" s="497"/>
      <c r="N56" s="497"/>
      <c r="O56" s="172"/>
      <c r="P56" s="30"/>
      <c r="Q56" s="178">
        <f>IF(Roster!$K$10=0,"",Roster!$K$10)</f>
        <v>3</v>
      </c>
      <c r="R56" s="175"/>
      <c r="S56" s="497"/>
      <c r="T56" s="497"/>
      <c r="U56" s="497"/>
      <c r="V56" s="497"/>
      <c r="W56" s="497"/>
      <c r="X56" s="497"/>
      <c r="Y56" s="497"/>
      <c r="Z56" s="497"/>
      <c r="AA56" s="497"/>
      <c r="AB56" s="497"/>
      <c r="AC56" s="497"/>
      <c r="AD56" s="172"/>
      <c r="AE56" s="30"/>
      <c r="AF56" s="178">
        <f>IF(Roster!$K$11=0,"",Roster!$K$11)</f>
        <v>3</v>
      </c>
      <c r="AG56" s="175"/>
      <c r="AH56" s="497"/>
      <c r="AI56" s="497"/>
      <c r="AJ56" s="497"/>
      <c r="AK56" s="497"/>
      <c r="AL56" s="497"/>
      <c r="AM56" s="497"/>
      <c r="AN56" s="497"/>
      <c r="AO56" s="497"/>
      <c r="AP56" s="497"/>
      <c r="AQ56" s="497"/>
      <c r="AR56" s="497"/>
      <c r="AS56" s="172"/>
      <c r="AT56" s="30"/>
      <c r="AU56" s="178" t="str">
        <f>IF(Roster!$K$12=0,"",Roster!$K$12)</f>
        <v/>
      </c>
      <c r="AV56" s="175"/>
      <c r="AW56" s="497"/>
      <c r="AX56" s="497"/>
      <c r="AY56" s="497"/>
      <c r="AZ56" s="497"/>
      <c r="BA56" s="497"/>
      <c r="BB56" s="497"/>
      <c r="BC56" s="497"/>
      <c r="BD56" s="497"/>
      <c r="BE56" s="497"/>
      <c r="BF56" s="497"/>
      <c r="BG56" s="497"/>
      <c r="BH56" s="172"/>
    </row>
    <row r="57" spans="1:60" ht="11.25" customHeight="1">
      <c r="A57" s="30"/>
      <c r="B57" s="176" t="str">
        <f>IF(Roster!$L$1=0,"",Roster!$L$1)</f>
        <v>AG</v>
      </c>
      <c r="C57" s="175"/>
      <c r="D57" s="497"/>
      <c r="E57" s="497"/>
      <c r="F57" s="497"/>
      <c r="G57" s="497"/>
      <c r="H57" s="497"/>
      <c r="I57" s="497"/>
      <c r="J57" s="497"/>
      <c r="K57" s="497"/>
      <c r="L57" s="497"/>
      <c r="M57" s="497"/>
      <c r="N57" s="497"/>
      <c r="O57" s="172"/>
      <c r="P57" s="30"/>
      <c r="Q57" s="176" t="str">
        <f>IF(Roster!$L$1=0,"",Roster!$L$1)</f>
        <v>AG</v>
      </c>
      <c r="R57" s="175"/>
      <c r="S57" s="497"/>
      <c r="T57" s="497"/>
      <c r="U57" s="497"/>
      <c r="V57" s="497"/>
      <c r="W57" s="497"/>
      <c r="X57" s="497"/>
      <c r="Y57" s="497"/>
      <c r="Z57" s="497"/>
      <c r="AA57" s="497"/>
      <c r="AB57" s="497"/>
      <c r="AC57" s="497"/>
      <c r="AD57" s="172"/>
      <c r="AE57" s="30"/>
      <c r="AF57" s="176" t="str">
        <f>IF(Roster!$L$1=0,"",Roster!$L$1)</f>
        <v>AG</v>
      </c>
      <c r="AG57" s="175"/>
      <c r="AH57" s="497"/>
      <c r="AI57" s="497"/>
      <c r="AJ57" s="497"/>
      <c r="AK57" s="497"/>
      <c r="AL57" s="497"/>
      <c r="AM57" s="497"/>
      <c r="AN57" s="497"/>
      <c r="AO57" s="497"/>
      <c r="AP57" s="497"/>
      <c r="AQ57" s="497"/>
      <c r="AR57" s="497"/>
      <c r="AS57" s="172"/>
      <c r="AT57" s="30"/>
      <c r="AU57" s="176" t="str">
        <f>IF(Roster!$L$1=0,"",Roster!$L$1)</f>
        <v>AG</v>
      </c>
      <c r="AV57" s="175"/>
      <c r="AW57" s="497"/>
      <c r="AX57" s="497"/>
      <c r="AY57" s="497"/>
      <c r="AZ57" s="497"/>
      <c r="BA57" s="497"/>
      <c r="BB57" s="497"/>
      <c r="BC57" s="497"/>
      <c r="BD57" s="497"/>
      <c r="BE57" s="497"/>
      <c r="BF57" s="497"/>
      <c r="BG57" s="497"/>
      <c r="BH57" s="172"/>
    </row>
    <row r="58" spans="1:60" ht="37.5" customHeight="1">
      <c r="A58" s="30"/>
      <c r="B58" s="178" t="str">
        <f>IF(Roster!$L$9=0&amp;"+","",Roster!$L$9)</f>
        <v>3+</v>
      </c>
      <c r="C58" s="175"/>
      <c r="D58" s="497"/>
      <c r="E58" s="497"/>
      <c r="F58" s="497"/>
      <c r="G58" s="497"/>
      <c r="H58" s="497"/>
      <c r="I58" s="497"/>
      <c r="J58" s="497"/>
      <c r="K58" s="497"/>
      <c r="L58" s="497"/>
      <c r="M58" s="497"/>
      <c r="N58" s="497"/>
      <c r="O58" s="172"/>
      <c r="P58" s="30"/>
      <c r="Q58" s="178" t="str">
        <f>IF(Roster!$L$10=0&amp;"+","",Roster!$L$10)</f>
        <v>3+</v>
      </c>
      <c r="R58" s="175"/>
      <c r="S58" s="497"/>
      <c r="T58" s="497"/>
      <c r="U58" s="497"/>
      <c r="V58" s="497"/>
      <c r="W58" s="497"/>
      <c r="X58" s="497"/>
      <c r="Y58" s="497"/>
      <c r="Z58" s="497"/>
      <c r="AA58" s="497"/>
      <c r="AB58" s="497"/>
      <c r="AC58" s="497"/>
      <c r="AD58" s="172"/>
      <c r="AE58" s="30"/>
      <c r="AF58" s="178" t="str">
        <f>IF(Roster!$L$11=0&amp;"+","",Roster!$L$11)</f>
        <v>3+</v>
      </c>
      <c r="AG58" s="175"/>
      <c r="AH58" s="497"/>
      <c r="AI58" s="497"/>
      <c r="AJ58" s="497"/>
      <c r="AK58" s="497"/>
      <c r="AL58" s="497"/>
      <c r="AM58" s="497"/>
      <c r="AN58" s="497"/>
      <c r="AO58" s="497"/>
      <c r="AP58" s="497"/>
      <c r="AQ58" s="497"/>
      <c r="AR58" s="497"/>
      <c r="AS58" s="172"/>
      <c r="AT58" s="30"/>
      <c r="AU58" s="178" t="str">
        <f>IF(Roster!$L$12=0&amp;"+","",Roster!$L$12)</f>
        <v/>
      </c>
      <c r="AV58" s="175"/>
      <c r="AW58" s="497"/>
      <c r="AX58" s="497"/>
      <c r="AY58" s="497"/>
      <c r="AZ58" s="497"/>
      <c r="BA58" s="497"/>
      <c r="BB58" s="497"/>
      <c r="BC58" s="497"/>
      <c r="BD58" s="497"/>
      <c r="BE58" s="497"/>
      <c r="BF58" s="497"/>
      <c r="BG58" s="497"/>
      <c r="BH58" s="172"/>
    </row>
    <row r="59" spans="1:60" ht="11.25" customHeight="1">
      <c r="A59" s="30"/>
      <c r="B59" s="176" t="str">
        <f>IF(Roster!$M$1=0,"",Roster!$M$1)</f>
        <v>PA</v>
      </c>
      <c r="C59" s="175"/>
      <c r="D59" s="497"/>
      <c r="E59" s="497"/>
      <c r="F59" s="497"/>
      <c r="G59" s="497"/>
      <c r="H59" s="497"/>
      <c r="I59" s="497"/>
      <c r="J59" s="497"/>
      <c r="K59" s="497"/>
      <c r="L59" s="497"/>
      <c r="M59" s="497"/>
      <c r="N59" s="497"/>
      <c r="O59" s="181"/>
      <c r="P59" s="30"/>
      <c r="Q59" s="176" t="str">
        <f>IF(Roster!$M$1=0,"",Roster!$M$1)</f>
        <v>PA</v>
      </c>
      <c r="R59" s="175"/>
      <c r="S59" s="497"/>
      <c r="T59" s="497"/>
      <c r="U59" s="497"/>
      <c r="V59" s="497"/>
      <c r="W59" s="497"/>
      <c r="X59" s="497"/>
      <c r="Y59" s="497"/>
      <c r="Z59" s="497"/>
      <c r="AA59" s="497"/>
      <c r="AB59" s="497"/>
      <c r="AC59" s="497"/>
      <c r="AD59" s="181"/>
      <c r="AE59" s="30"/>
      <c r="AF59" s="176" t="str">
        <f>IF(Roster!$M$1=0,"",Roster!$M$1)</f>
        <v>PA</v>
      </c>
      <c r="AG59" s="175"/>
      <c r="AH59" s="497"/>
      <c r="AI59" s="497"/>
      <c r="AJ59" s="497"/>
      <c r="AK59" s="497"/>
      <c r="AL59" s="497"/>
      <c r="AM59" s="497"/>
      <c r="AN59" s="497"/>
      <c r="AO59" s="497"/>
      <c r="AP59" s="497"/>
      <c r="AQ59" s="497"/>
      <c r="AR59" s="497"/>
      <c r="AS59" s="181"/>
      <c r="AT59" s="30"/>
      <c r="AU59" s="176" t="str">
        <f>IF(Roster!$M$1=0,"",Roster!$M$1)</f>
        <v>PA</v>
      </c>
      <c r="AV59" s="175"/>
      <c r="AW59" s="497"/>
      <c r="AX59" s="497"/>
      <c r="AY59" s="497"/>
      <c r="AZ59" s="497"/>
      <c r="BA59" s="497"/>
      <c r="BB59" s="497"/>
      <c r="BC59" s="497"/>
      <c r="BD59" s="497"/>
      <c r="BE59" s="497"/>
      <c r="BF59" s="497"/>
      <c r="BG59" s="497"/>
      <c r="BH59" s="181"/>
    </row>
    <row r="60" spans="1:60" ht="6" customHeight="1">
      <c r="A60" s="30"/>
      <c r="B60" s="486" t="str">
        <f>IF(Roster!$M$9=0&amp;"+","",Roster!$M$9)</f>
        <v>4+</v>
      </c>
      <c r="C60" s="175"/>
      <c r="D60" s="497"/>
      <c r="E60" s="497"/>
      <c r="F60" s="497"/>
      <c r="G60" s="497"/>
      <c r="H60" s="497"/>
      <c r="I60" s="497"/>
      <c r="J60" s="497"/>
      <c r="K60" s="497"/>
      <c r="L60" s="497"/>
      <c r="M60" s="497"/>
      <c r="N60" s="497"/>
      <c r="O60" s="183"/>
      <c r="P60" s="30"/>
      <c r="Q60" s="486" t="str">
        <f>IF(Roster!$M$10=0&amp;"+","",Roster!$M$10)</f>
        <v>4+</v>
      </c>
      <c r="R60" s="175"/>
      <c r="S60" s="497"/>
      <c r="T60" s="497"/>
      <c r="U60" s="497"/>
      <c r="V60" s="497"/>
      <c r="W60" s="497"/>
      <c r="X60" s="497"/>
      <c r="Y60" s="497"/>
      <c r="Z60" s="497"/>
      <c r="AA60" s="497"/>
      <c r="AB60" s="497"/>
      <c r="AC60" s="497"/>
      <c r="AD60" s="183"/>
      <c r="AE60" s="30"/>
      <c r="AF60" s="486" t="str">
        <f>IF(Roster!$M$11=0&amp;"+","",Roster!$M$11)</f>
        <v>3+</v>
      </c>
      <c r="AG60" s="175"/>
      <c r="AH60" s="497"/>
      <c r="AI60" s="497"/>
      <c r="AJ60" s="497"/>
      <c r="AK60" s="497"/>
      <c r="AL60" s="497"/>
      <c r="AM60" s="497"/>
      <c r="AN60" s="497"/>
      <c r="AO60" s="497"/>
      <c r="AP60" s="497"/>
      <c r="AQ60" s="497"/>
      <c r="AR60" s="497"/>
      <c r="AS60" s="183"/>
      <c r="AT60" s="30"/>
      <c r="AU60" s="486" t="str">
        <f>IF(Roster!$M$12=0&amp;"+","",Roster!$M$12)</f>
        <v/>
      </c>
      <c r="AV60" s="175"/>
      <c r="AW60" s="497"/>
      <c r="AX60" s="497"/>
      <c r="AY60" s="497"/>
      <c r="AZ60" s="497"/>
      <c r="BA60" s="497"/>
      <c r="BB60" s="497"/>
      <c r="BC60" s="497"/>
      <c r="BD60" s="497"/>
      <c r="BE60" s="497"/>
      <c r="BF60" s="497"/>
      <c r="BG60" s="497"/>
      <c r="BH60" s="183"/>
    </row>
    <row r="61" spans="1:60" ht="4.5" customHeight="1">
      <c r="A61" s="30"/>
      <c r="B61" s="453"/>
      <c r="C61" s="175"/>
      <c r="D61" s="172"/>
      <c r="E61" s="182"/>
      <c r="F61" s="172"/>
      <c r="G61" s="182"/>
      <c r="H61" s="172"/>
      <c r="I61" s="182"/>
      <c r="J61" s="172"/>
      <c r="K61" s="182"/>
      <c r="L61" s="172"/>
      <c r="M61" s="182"/>
      <c r="N61" s="172"/>
      <c r="O61" s="183"/>
      <c r="P61" s="30"/>
      <c r="Q61" s="453"/>
      <c r="R61" s="175"/>
      <c r="S61" s="172"/>
      <c r="T61" s="182"/>
      <c r="U61" s="172"/>
      <c r="V61" s="182"/>
      <c r="W61" s="172"/>
      <c r="X61" s="182"/>
      <c r="Y61" s="172"/>
      <c r="Z61" s="182"/>
      <c r="AA61" s="172"/>
      <c r="AB61" s="182"/>
      <c r="AC61" s="172"/>
      <c r="AD61" s="183"/>
      <c r="AE61" s="30"/>
      <c r="AF61" s="453"/>
      <c r="AG61" s="175"/>
      <c r="AH61" s="172"/>
      <c r="AI61" s="182"/>
      <c r="AJ61" s="172"/>
      <c r="AK61" s="182"/>
      <c r="AL61" s="172"/>
      <c r="AM61" s="182"/>
      <c r="AN61" s="172"/>
      <c r="AO61" s="182"/>
      <c r="AP61" s="172"/>
      <c r="AQ61" s="182"/>
      <c r="AR61" s="172"/>
      <c r="AS61" s="183"/>
      <c r="AT61" s="30"/>
      <c r="AU61" s="453"/>
      <c r="AV61" s="175"/>
      <c r="AW61" s="172"/>
      <c r="AX61" s="182"/>
      <c r="AY61" s="172"/>
      <c r="AZ61" s="182"/>
      <c r="BA61" s="172"/>
      <c r="BB61" s="182"/>
      <c r="BC61" s="172"/>
      <c r="BD61" s="182"/>
      <c r="BE61" s="172"/>
      <c r="BF61" s="182"/>
      <c r="BG61" s="172"/>
      <c r="BH61" s="183"/>
    </row>
    <row r="62" spans="1:60" ht="11.25" customHeight="1">
      <c r="A62" s="30"/>
      <c r="B62" s="453"/>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53"/>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53"/>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53"/>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53"/>
      <c r="C63" s="177"/>
      <c r="D63" s="185">
        <f>IF(Roster!$AC$9=0,"",Roster!$AC$9)</f>
        <v>2</v>
      </c>
      <c r="E63" s="177"/>
      <c r="F63" s="185">
        <f>IF((SUM(H63,J63,L63))=0,"",(SUM(H63,J63,L63)))</f>
        <v>4</v>
      </c>
      <c r="G63" s="177"/>
      <c r="H63" s="185">
        <f>IF(Roster!$AF$9=0,"",Roster!$AF$9)</f>
        <v>3</v>
      </c>
      <c r="I63" s="177"/>
      <c r="J63" s="185">
        <f>IF(Roster!$AG$9=0,"",Roster!$AG$9)</f>
        <v>1</v>
      </c>
      <c r="K63" s="177"/>
      <c r="L63" s="185" t="str">
        <f>IF(Roster!$AH$9=0,"",Roster!$AH$9)</f>
        <v/>
      </c>
      <c r="M63" s="177"/>
      <c r="N63" s="185" t="str">
        <f>IF(Roster!$AB$9=0,"",Roster!$AB$9)</f>
        <v/>
      </c>
      <c r="O63" s="183"/>
      <c r="P63" s="30"/>
      <c r="Q63" s="453"/>
      <c r="R63" s="177"/>
      <c r="S63" s="185">
        <f>IF(Roster!$AC$10=0,"",Roster!$AC$10)</f>
        <v>1</v>
      </c>
      <c r="T63" s="177"/>
      <c r="U63" s="185">
        <f>IF((SUM(W63,Y63,AA63))=0,"",(SUM(W63,Y63,AA63)))</f>
        <v>1</v>
      </c>
      <c r="V63" s="177"/>
      <c r="W63" s="185" t="str">
        <f>IF(Roster!$AF$10=0,"",Roster!$AF$10)</f>
        <v/>
      </c>
      <c r="X63" s="177"/>
      <c r="Y63" s="185">
        <f>IF(Roster!$AG$10=0,"",Roster!$AG$10)</f>
        <v>1</v>
      </c>
      <c r="Z63" s="177"/>
      <c r="AA63" s="185" t="str">
        <f>IF(Roster!$AH$10=0,"",Roster!$AH$10)</f>
        <v/>
      </c>
      <c r="AB63" s="177"/>
      <c r="AC63" s="185" t="str">
        <f>IF(Roster!$AB$10=0,"",Roster!$AB$10)</f>
        <v/>
      </c>
      <c r="AD63" s="183"/>
      <c r="AE63" s="30"/>
      <c r="AF63" s="453"/>
      <c r="AG63" s="177"/>
      <c r="AH63" s="185">
        <f>IF(Roster!$AC$11=0,"",Roster!$AC$11)</f>
        <v>6</v>
      </c>
      <c r="AI63" s="177"/>
      <c r="AJ63" s="185">
        <f>IF((SUM(AL63,AN63,AP63))=0,"",(SUM(AL63,AN63,AP63)))</f>
        <v>1</v>
      </c>
      <c r="AK63" s="177"/>
      <c r="AL63" s="185">
        <f>IF(Roster!$AF$11=0,"",Roster!$AF$11)</f>
        <v>1</v>
      </c>
      <c r="AM63" s="177"/>
      <c r="AN63" s="185" t="str">
        <f>IF(Roster!$AG$11=0,"",Roster!$AG$11)</f>
        <v/>
      </c>
      <c r="AO63" s="177"/>
      <c r="AP63" s="185" t="str">
        <f>IF(Roster!$AH$11=0,"",Roster!$AH$11)</f>
        <v/>
      </c>
      <c r="AQ63" s="177"/>
      <c r="AR63" s="185">
        <f>IF(Roster!$AB$11=0,"",Roster!$AB$11)</f>
        <v>3</v>
      </c>
      <c r="AS63" s="183"/>
      <c r="AT63" s="30"/>
      <c r="AU63" s="453"/>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54"/>
      <c r="C64" s="177"/>
      <c r="D64" s="186"/>
      <c r="E64" s="177"/>
      <c r="F64" s="186"/>
      <c r="G64" s="177"/>
      <c r="H64" s="186"/>
      <c r="I64" s="177"/>
      <c r="J64" s="186"/>
      <c r="K64" s="177"/>
      <c r="L64" s="186"/>
      <c r="M64" s="177"/>
      <c r="N64" s="186"/>
      <c r="O64" s="183"/>
      <c r="P64" s="30"/>
      <c r="Q64" s="454"/>
      <c r="R64" s="177"/>
      <c r="S64" s="186"/>
      <c r="T64" s="177"/>
      <c r="U64" s="186"/>
      <c r="V64" s="177"/>
      <c r="W64" s="186"/>
      <c r="X64" s="177"/>
      <c r="Y64" s="186"/>
      <c r="Z64" s="177"/>
      <c r="AA64" s="186"/>
      <c r="AB64" s="177"/>
      <c r="AC64" s="186"/>
      <c r="AD64" s="183"/>
      <c r="AE64" s="30"/>
      <c r="AF64" s="454"/>
      <c r="AG64" s="177"/>
      <c r="AH64" s="186"/>
      <c r="AI64" s="177"/>
      <c r="AJ64" s="186"/>
      <c r="AK64" s="177"/>
      <c r="AL64" s="186"/>
      <c r="AM64" s="177"/>
      <c r="AN64" s="186"/>
      <c r="AO64" s="177"/>
      <c r="AP64" s="186"/>
      <c r="AQ64" s="177"/>
      <c r="AR64" s="186"/>
      <c r="AS64" s="183"/>
      <c r="AT64" s="30"/>
      <c r="AU64" s="454"/>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86" t="str">
        <f>IF(Roster!$N$9=0&amp;"+","",Roster!$N$9)</f>
        <v>10+</v>
      </c>
      <c r="C66" s="177"/>
      <c r="D66" s="185" t="str">
        <f>IF(Roster!$AD$9=0,"",Roster!$AD$9)</f>
        <v/>
      </c>
      <c r="E66" s="177"/>
      <c r="F66" s="185" t="str">
        <f>IF(Roster!$AE$9=0,"",Roster!$AE$9)</f>
        <v/>
      </c>
      <c r="G66" s="177"/>
      <c r="H66" s="185" t="str">
        <f>IF(Roster!$AA$9=0,"",Roster!$AA$9)</f>
        <v/>
      </c>
      <c r="I66" s="177"/>
      <c r="J66" s="185">
        <f>IF(Roster!$AI$9=0,"",Roster!$AI$9)</f>
        <v>2</v>
      </c>
      <c r="K66" s="177"/>
      <c r="L66" s="185">
        <f>IF(Roster!$AJ$9=0,"",Roster!$AJ$9)</f>
        <v>22</v>
      </c>
      <c r="M66" s="177"/>
      <c r="N66" s="185" t="str">
        <f>IF(Roster!$Z$9=0,"",Roster!$Z$9)</f>
        <v/>
      </c>
      <c r="O66" s="187"/>
      <c r="P66" s="30"/>
      <c r="Q66" s="486" t="str">
        <f>IF(Roster!$N$10=0&amp;"+","",Roster!$N$10)</f>
        <v>10+</v>
      </c>
      <c r="R66" s="177"/>
      <c r="S66" s="185" t="str">
        <f>IF(Roster!$AD$10=0,"",Roster!$AD$10)</f>
        <v/>
      </c>
      <c r="T66" s="177"/>
      <c r="U66" s="185" t="str">
        <f>IF(Roster!$AE$10=0,"",Roster!$AE$10)</f>
        <v/>
      </c>
      <c r="V66" s="177"/>
      <c r="W66" s="185" t="str">
        <f>IF(Roster!$AA$10=0,"",Roster!$AA$10)</f>
        <v/>
      </c>
      <c r="X66" s="177"/>
      <c r="Y66" s="185" t="str">
        <f>IF(Roster!$AI$10=0,"",Roster!$AI$10)</f>
        <v/>
      </c>
      <c r="Z66" s="177"/>
      <c r="AA66" s="185">
        <f>IF(Roster!$AJ$10=0,"",Roster!$AJ$10)</f>
        <v>5</v>
      </c>
      <c r="AB66" s="177"/>
      <c r="AC66" s="185" t="str">
        <f>IF(Roster!$Z$10=0,"",Roster!$Z$10)</f>
        <v/>
      </c>
      <c r="AD66" s="187"/>
      <c r="AE66" s="30"/>
      <c r="AF66" s="486" t="str">
        <f>IF(Roster!$N$11=0&amp;"+","",Roster!$N$11)</f>
        <v>9+</v>
      </c>
      <c r="AG66" s="177"/>
      <c r="AH66" s="185" t="str">
        <f>IF(Roster!$AD$11=0,"",Roster!$AD$11)</f>
        <v/>
      </c>
      <c r="AI66" s="177"/>
      <c r="AJ66" s="185" t="str">
        <f>IF(Roster!$AE$11=0,"",Roster!$AE$11)</f>
        <v/>
      </c>
      <c r="AK66" s="177"/>
      <c r="AL66" s="185" t="str">
        <f>IF(Roster!$AA$11=0,"",Roster!$AA$11)</f>
        <v/>
      </c>
      <c r="AM66" s="177"/>
      <c r="AN66" s="185" t="str">
        <f>IF(Roster!$AI$11=0,"",Roster!$AI$11)</f>
        <v/>
      </c>
      <c r="AO66" s="177"/>
      <c r="AP66" s="185">
        <f>IF(Roster!$AJ$11=0,"",Roster!$AJ$11)</f>
        <v>23</v>
      </c>
      <c r="AQ66" s="177"/>
      <c r="AR66" s="185" t="str">
        <f>IF(Roster!$Z$11=0,"",Roster!$Z$11)</f>
        <v/>
      </c>
      <c r="AS66" s="187"/>
      <c r="AT66" s="30"/>
      <c r="AU66" s="486" t="str">
        <f>IF(Roster!$N$12=0&amp;"+","",Roster!$N$12)</f>
        <v/>
      </c>
      <c r="AV66" s="177"/>
      <c r="AW66" s="185" t="str">
        <f>IF(Roster!$AD$12=0,"",Roster!$AD$12)</f>
        <v/>
      </c>
      <c r="AX66" s="177"/>
      <c r="AY66" s="185" t="str">
        <f>IF(Roster!$AE$12=0,"",Roster!$AE$12)</f>
        <v/>
      </c>
      <c r="AZ66" s="177"/>
      <c r="BA66" s="185" t="str">
        <f>IF(Roster!$AA$12=0,"",Roster!$AA$12)</f>
        <v/>
      </c>
      <c r="BB66" s="177"/>
      <c r="BC66" s="185" t="str">
        <f>IF(Roster!$AI$12=0,"",Roster!$AI$12)</f>
        <v/>
      </c>
      <c r="BD66" s="177"/>
      <c r="BE66" s="185" t="str">
        <f>IF(Roster!$AJ$12=0,"",Roster!$AJ$12)</f>
        <v/>
      </c>
      <c r="BF66" s="177"/>
      <c r="BG66" s="185" t="str">
        <f>IF(Roster!$Z$12=0,"",Roster!$Z$12)</f>
        <v/>
      </c>
      <c r="BH66" s="187"/>
    </row>
    <row r="67" spans="1:60" ht="4.5" customHeight="1">
      <c r="A67" s="30"/>
      <c r="B67" s="453"/>
      <c r="C67" s="177"/>
      <c r="D67" s="177"/>
      <c r="E67" s="177"/>
      <c r="F67" s="177"/>
      <c r="G67" s="177"/>
      <c r="H67" s="177"/>
      <c r="I67" s="177"/>
      <c r="J67" s="177"/>
      <c r="K67" s="177"/>
      <c r="L67" s="177"/>
      <c r="M67" s="177"/>
      <c r="N67" s="183"/>
      <c r="O67" s="187"/>
      <c r="P67" s="30"/>
      <c r="Q67" s="453"/>
      <c r="R67" s="177"/>
      <c r="S67" s="177"/>
      <c r="T67" s="177"/>
      <c r="U67" s="177"/>
      <c r="V67" s="177"/>
      <c r="W67" s="177"/>
      <c r="X67" s="177"/>
      <c r="Y67" s="177"/>
      <c r="Z67" s="177"/>
      <c r="AA67" s="177"/>
      <c r="AB67" s="177"/>
      <c r="AC67" s="183"/>
      <c r="AD67" s="187"/>
      <c r="AE67" s="30"/>
      <c r="AF67" s="453"/>
      <c r="AG67" s="177"/>
      <c r="AH67" s="177"/>
      <c r="AI67" s="177"/>
      <c r="AJ67" s="177"/>
      <c r="AK67" s="177"/>
      <c r="AL67" s="177"/>
      <c r="AM67" s="177"/>
      <c r="AN67" s="177"/>
      <c r="AO67" s="177"/>
      <c r="AP67" s="177"/>
      <c r="AQ67" s="177"/>
      <c r="AR67" s="183"/>
      <c r="AS67" s="187"/>
      <c r="AT67" s="30"/>
      <c r="AU67" s="453"/>
      <c r="AV67" s="177"/>
      <c r="AW67" s="177"/>
      <c r="AX67" s="177"/>
      <c r="AY67" s="177"/>
      <c r="AZ67" s="177"/>
      <c r="BA67" s="177"/>
      <c r="BB67" s="177"/>
      <c r="BC67" s="177"/>
      <c r="BD67" s="177"/>
      <c r="BE67" s="177"/>
      <c r="BF67" s="177"/>
      <c r="BG67" s="183"/>
      <c r="BH67" s="187"/>
    </row>
    <row r="68" spans="1:60" ht="11.25" customHeight="1">
      <c r="A68" s="30"/>
      <c r="B68" s="453"/>
      <c r="C68" s="177"/>
      <c r="D68" s="483" t="str">
        <f>IF(Roster!$J$25="Italiano","ABILITÀ &amp; TRATTI",(IF(Roster!$J$25="Español","HABILIDADES Y RASGOS","SKILLS &amp; TRAITS")))</f>
        <v>ABILITÀ &amp; TRATTI</v>
      </c>
      <c r="E68" s="439"/>
      <c r="F68" s="439"/>
      <c r="G68" s="439"/>
      <c r="H68" s="439"/>
      <c r="I68" s="439"/>
      <c r="J68" s="439"/>
      <c r="K68" s="439"/>
      <c r="L68" s="439"/>
      <c r="M68" s="439"/>
      <c r="N68" s="440"/>
      <c r="O68" s="187"/>
      <c r="P68" s="30"/>
      <c r="Q68" s="453"/>
      <c r="R68" s="177"/>
      <c r="S68" s="483" t="str">
        <f>IF(Roster!$J$25="Italiano","ABILITÀ &amp; TRATTI",(IF(Roster!$J$25="Español","HABILIDADES Y RASGOS","SKILLS &amp; TRAITS")))</f>
        <v>ABILITÀ &amp; TRATTI</v>
      </c>
      <c r="T68" s="439"/>
      <c r="U68" s="439"/>
      <c r="V68" s="439"/>
      <c r="W68" s="439"/>
      <c r="X68" s="439"/>
      <c r="Y68" s="439"/>
      <c r="Z68" s="439"/>
      <c r="AA68" s="439"/>
      <c r="AB68" s="439"/>
      <c r="AC68" s="440"/>
      <c r="AD68" s="187"/>
      <c r="AE68" s="30"/>
      <c r="AF68" s="453"/>
      <c r="AG68" s="177"/>
      <c r="AH68" s="483" t="str">
        <f>IF(Roster!$J$25="Italiano","ABILITÀ &amp; TRATTI",(IF(Roster!$J$25="Español","HABILIDADES Y RASGOS","SKILLS &amp; TRAITS")))</f>
        <v>ABILITÀ &amp; TRATTI</v>
      </c>
      <c r="AI68" s="439"/>
      <c r="AJ68" s="439"/>
      <c r="AK68" s="439"/>
      <c r="AL68" s="439"/>
      <c r="AM68" s="439"/>
      <c r="AN68" s="439"/>
      <c r="AO68" s="439"/>
      <c r="AP68" s="439"/>
      <c r="AQ68" s="439"/>
      <c r="AR68" s="440"/>
      <c r="AS68" s="187"/>
      <c r="AT68" s="30"/>
      <c r="AU68" s="453"/>
      <c r="AV68" s="177"/>
      <c r="AW68" s="483" t="str">
        <f>IF(Roster!$J$25="Italiano","ABILITÀ &amp; TRATTI",(IF(Roster!$J$25="Español","HABILIDADES Y RASGOS","SKILLS &amp; TRAITS")))</f>
        <v>ABILITÀ &amp; TRATTI</v>
      </c>
      <c r="AX68" s="439"/>
      <c r="AY68" s="439"/>
      <c r="AZ68" s="439"/>
      <c r="BA68" s="439"/>
      <c r="BB68" s="439"/>
      <c r="BC68" s="439"/>
      <c r="BD68" s="439"/>
      <c r="BE68" s="439"/>
      <c r="BF68" s="439"/>
      <c r="BG68" s="440"/>
      <c r="BH68" s="187"/>
    </row>
    <row r="69" spans="1:60" ht="6.75" customHeight="1">
      <c r="A69" s="30"/>
      <c r="B69" s="454"/>
      <c r="C69" s="177"/>
      <c r="D69" s="487" t="str">
        <f>IF(Roster!$O$9=0&amp;BF9,"",Roster!$O$9)</f>
        <v>Animosity (alle Mitspieler), Block, Mighty Blow (+1), Tackle</v>
      </c>
      <c r="E69" s="488"/>
      <c r="F69" s="488"/>
      <c r="G69" s="488"/>
      <c r="H69" s="488"/>
      <c r="I69" s="488"/>
      <c r="J69" s="488"/>
      <c r="K69" s="488"/>
      <c r="L69" s="488"/>
      <c r="M69" s="488"/>
      <c r="N69" s="489"/>
      <c r="O69" s="187"/>
      <c r="P69" s="30"/>
      <c r="Q69" s="454"/>
      <c r="R69" s="177"/>
      <c r="S69" s="487" t="str">
        <f>IF(Roster!$O$10=0&amp;BF10,"",Roster!$O$10)</f>
        <v>Animosity (alle Mitspieler), Block</v>
      </c>
      <c r="T69" s="488"/>
      <c r="U69" s="488"/>
      <c r="V69" s="488"/>
      <c r="W69" s="488"/>
      <c r="X69" s="488"/>
      <c r="Y69" s="488"/>
      <c r="Z69" s="488"/>
      <c r="AA69" s="488"/>
      <c r="AB69" s="488"/>
      <c r="AC69" s="489"/>
      <c r="AD69" s="187"/>
      <c r="AE69" s="30"/>
      <c r="AF69" s="454"/>
      <c r="AG69" s="177"/>
      <c r="AH69" s="487" t="str">
        <f>IF(Roster!$O$11=0&amp;BF11,"",Roster!$O$11)</f>
        <v>Animosity (alle Mitspieler), Pass, Sure Hands, Leader, Block - 1 NI</v>
      </c>
      <c r="AI69" s="488"/>
      <c r="AJ69" s="488"/>
      <c r="AK69" s="488"/>
      <c r="AL69" s="488"/>
      <c r="AM69" s="488"/>
      <c r="AN69" s="488"/>
      <c r="AO69" s="488"/>
      <c r="AP69" s="488"/>
      <c r="AQ69" s="488"/>
      <c r="AR69" s="489"/>
      <c r="AS69" s="187"/>
      <c r="AT69" s="30"/>
      <c r="AU69" s="454"/>
      <c r="AV69" s="177"/>
      <c r="AW69" s="487" t="str">
        <f>IF(Roster!$O$12=0&amp;BF12,"",Roster!$O$12)</f>
        <v>0 - 1 NI</v>
      </c>
      <c r="AX69" s="488"/>
      <c r="AY69" s="488"/>
      <c r="AZ69" s="488"/>
      <c r="BA69" s="488"/>
      <c r="BB69" s="488"/>
      <c r="BC69" s="488"/>
      <c r="BD69" s="488"/>
      <c r="BE69" s="488"/>
      <c r="BF69" s="488"/>
      <c r="BG69" s="489"/>
      <c r="BH69" s="187"/>
    </row>
    <row r="70" spans="1:60" ht="11.25" customHeight="1">
      <c r="A70" s="30"/>
      <c r="B70" s="176" t="str">
        <f>IF(Roster!$AN$1=0,"",Roster!$AN$1)</f>
        <v>COSTO</v>
      </c>
      <c r="C70" s="176"/>
      <c r="D70" s="490"/>
      <c r="E70" s="491"/>
      <c r="F70" s="491"/>
      <c r="G70" s="491"/>
      <c r="H70" s="491"/>
      <c r="I70" s="491"/>
      <c r="J70" s="491"/>
      <c r="K70" s="491"/>
      <c r="L70" s="491"/>
      <c r="M70" s="491"/>
      <c r="N70" s="492"/>
      <c r="O70" s="188"/>
      <c r="P70" s="30"/>
      <c r="Q70" s="176" t="str">
        <f>IF(Roster!$AN$1=0,"",Roster!$AN$1)</f>
        <v>COSTO</v>
      </c>
      <c r="R70" s="176"/>
      <c r="S70" s="490"/>
      <c r="T70" s="491"/>
      <c r="U70" s="491"/>
      <c r="V70" s="491"/>
      <c r="W70" s="491"/>
      <c r="X70" s="491"/>
      <c r="Y70" s="491"/>
      <c r="Z70" s="491"/>
      <c r="AA70" s="491"/>
      <c r="AB70" s="491"/>
      <c r="AC70" s="492"/>
      <c r="AD70" s="188"/>
      <c r="AE70" s="30"/>
      <c r="AF70" s="176" t="str">
        <f>IF(Roster!$AN$1=0,"",Roster!$AN$1)</f>
        <v>COSTO</v>
      </c>
      <c r="AG70" s="176"/>
      <c r="AH70" s="490"/>
      <c r="AI70" s="491"/>
      <c r="AJ70" s="491"/>
      <c r="AK70" s="491"/>
      <c r="AL70" s="491"/>
      <c r="AM70" s="491"/>
      <c r="AN70" s="491"/>
      <c r="AO70" s="491"/>
      <c r="AP70" s="491"/>
      <c r="AQ70" s="491"/>
      <c r="AR70" s="492"/>
      <c r="AS70" s="188"/>
      <c r="AT70" s="30"/>
      <c r="AU70" s="176" t="str">
        <f>IF(Roster!$AN$1=0,"",Roster!$AN$1)</f>
        <v>COSTO</v>
      </c>
      <c r="AV70" s="176"/>
      <c r="AW70" s="490"/>
      <c r="AX70" s="491"/>
      <c r="AY70" s="491"/>
      <c r="AZ70" s="491"/>
      <c r="BA70" s="491"/>
      <c r="BB70" s="491"/>
      <c r="BC70" s="491"/>
      <c r="BD70" s="491"/>
      <c r="BE70" s="491"/>
      <c r="BF70" s="491"/>
      <c r="BG70" s="492"/>
      <c r="BH70" s="188"/>
    </row>
    <row r="71" spans="1:60" ht="34.5" customHeight="1">
      <c r="A71" s="30"/>
      <c r="B71" s="190">
        <f>IF(Roster!$AN$9=0,"",Roster!$AN$9)</f>
        <v>120000</v>
      </c>
      <c r="C71" s="191"/>
      <c r="D71" s="493"/>
      <c r="E71" s="494"/>
      <c r="F71" s="494"/>
      <c r="G71" s="494"/>
      <c r="H71" s="494"/>
      <c r="I71" s="494"/>
      <c r="J71" s="494"/>
      <c r="K71" s="494"/>
      <c r="L71" s="494"/>
      <c r="M71" s="494"/>
      <c r="N71" s="495"/>
      <c r="O71" s="188"/>
      <c r="P71" s="30"/>
      <c r="Q71" s="190">
        <f>IF(Roster!$AN$10=0,"",Roster!$AN$10)</f>
        <v>80000</v>
      </c>
      <c r="R71" s="191"/>
      <c r="S71" s="493"/>
      <c r="T71" s="494"/>
      <c r="U71" s="494"/>
      <c r="V71" s="494"/>
      <c r="W71" s="494"/>
      <c r="X71" s="494"/>
      <c r="Y71" s="494"/>
      <c r="Z71" s="494"/>
      <c r="AA71" s="494"/>
      <c r="AB71" s="494"/>
      <c r="AC71" s="495"/>
      <c r="AD71" s="188"/>
      <c r="AE71" s="30"/>
      <c r="AF71" s="190">
        <f>IF(Roster!$AN$11=0,"",Roster!$AN$11)</f>
        <v>105000</v>
      </c>
      <c r="AG71" s="191"/>
      <c r="AH71" s="493"/>
      <c r="AI71" s="494"/>
      <c r="AJ71" s="494"/>
      <c r="AK71" s="494"/>
      <c r="AL71" s="494"/>
      <c r="AM71" s="494"/>
      <c r="AN71" s="494"/>
      <c r="AO71" s="494"/>
      <c r="AP71" s="494"/>
      <c r="AQ71" s="494"/>
      <c r="AR71" s="495"/>
      <c r="AS71" s="188"/>
      <c r="AT71" s="30"/>
      <c r="AU71" s="190" t="str">
        <f>IF(Roster!$AN$12=0,"",Roster!$AN$12)</f>
        <v/>
      </c>
      <c r="AV71" s="191"/>
      <c r="AW71" s="493"/>
      <c r="AX71" s="494"/>
      <c r="AY71" s="494"/>
      <c r="AZ71" s="494"/>
      <c r="BA71" s="494"/>
      <c r="BB71" s="494"/>
      <c r="BC71" s="494"/>
      <c r="BD71" s="494"/>
      <c r="BE71" s="494"/>
      <c r="BF71" s="494"/>
      <c r="BG71" s="495"/>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85" t="str">
        <f>IF(Roster!$A$13=0,"","#"&amp;Roster!$A$13)</f>
        <v>#12</v>
      </c>
      <c r="C74" s="172"/>
      <c r="D74" s="172"/>
      <c r="E74" s="172"/>
      <c r="F74" s="172"/>
      <c r="G74" s="172"/>
      <c r="H74" s="172"/>
      <c r="I74" s="172"/>
      <c r="J74" s="172"/>
      <c r="K74" s="172"/>
      <c r="L74" s="172"/>
      <c r="M74" s="172"/>
      <c r="N74" s="172"/>
      <c r="O74" s="172"/>
      <c r="P74" s="30"/>
      <c r="Q74" s="485" t="str">
        <f>IF(Roster!$A$14=0,"","#"&amp;Roster!$A$14)</f>
        <v>#13</v>
      </c>
      <c r="R74" s="172"/>
      <c r="S74" s="172"/>
      <c r="T74" s="172"/>
      <c r="U74" s="172"/>
      <c r="V74" s="172"/>
      <c r="W74" s="172"/>
      <c r="X74" s="172"/>
      <c r="Y74" s="172"/>
      <c r="Z74" s="172"/>
      <c r="AA74" s="172"/>
      <c r="AB74" s="172"/>
      <c r="AC74" s="172"/>
      <c r="AD74" s="172"/>
      <c r="AE74" s="30"/>
      <c r="AF74" s="485" t="str">
        <f>IF(Roster!$A$15=0,"","#"&amp;Roster!$A$15)</f>
        <v>#14</v>
      </c>
      <c r="AG74" s="172"/>
      <c r="AH74" s="172"/>
      <c r="AI74" s="172"/>
      <c r="AJ74" s="172"/>
      <c r="AK74" s="172"/>
      <c r="AL74" s="172"/>
      <c r="AM74" s="172"/>
      <c r="AN74" s="172"/>
      <c r="AO74" s="172"/>
      <c r="AP74" s="172"/>
      <c r="AQ74" s="172"/>
      <c r="AR74" s="172"/>
      <c r="AS74" s="172"/>
      <c r="AT74" s="30"/>
      <c r="AU74" s="485" t="str">
        <f>IF(Roster!$A$16=0,"","#"&amp;Roster!$A$16)</f>
        <v>#15</v>
      </c>
      <c r="AV74" s="172"/>
      <c r="AW74" s="172"/>
      <c r="AX74" s="172"/>
      <c r="AY74" s="172"/>
      <c r="AZ74" s="172"/>
      <c r="BA74" s="172"/>
      <c r="BB74" s="172"/>
      <c r="BC74" s="172"/>
      <c r="BD74" s="172"/>
      <c r="BE74" s="172"/>
      <c r="BF74" s="172"/>
      <c r="BG74" s="172"/>
      <c r="BH74" s="172"/>
    </row>
    <row r="75" spans="1:60" ht="15" customHeight="1">
      <c r="A75" s="30"/>
      <c r="B75" s="453"/>
      <c r="C75" s="478" t="str">
        <f>IF(Roster!$B$13=0,"",Roster!$B$13)</f>
        <v>FREUD</v>
      </c>
      <c r="D75" s="439"/>
      <c r="E75" s="439"/>
      <c r="F75" s="439"/>
      <c r="G75" s="439"/>
      <c r="H75" s="439"/>
      <c r="I75" s="439"/>
      <c r="J75" s="439"/>
      <c r="K75" s="439"/>
      <c r="L75" s="439"/>
      <c r="M75" s="439"/>
      <c r="N75" s="440"/>
      <c r="O75" s="172"/>
      <c r="P75" s="30"/>
      <c r="Q75" s="453"/>
      <c r="R75" s="478" t="str">
        <f>IF(Roster!$B$14=0,"",Roster!$B$14)</f>
        <v>GAUTE</v>
      </c>
      <c r="S75" s="439"/>
      <c r="T75" s="439"/>
      <c r="U75" s="439"/>
      <c r="V75" s="439"/>
      <c r="W75" s="439"/>
      <c r="X75" s="439"/>
      <c r="Y75" s="439"/>
      <c r="Z75" s="439"/>
      <c r="AA75" s="439"/>
      <c r="AB75" s="439"/>
      <c r="AC75" s="440"/>
      <c r="AD75" s="172"/>
      <c r="AE75" s="30"/>
      <c r="AF75" s="453"/>
      <c r="AG75" s="478" t="str">
        <f>IF(Roster!$B$15=0,"",Roster!$B$15)</f>
        <v>MASTRO</v>
      </c>
      <c r="AH75" s="439"/>
      <c r="AI75" s="439"/>
      <c r="AJ75" s="439"/>
      <c r="AK75" s="439"/>
      <c r="AL75" s="439"/>
      <c r="AM75" s="439"/>
      <c r="AN75" s="439"/>
      <c r="AO75" s="439"/>
      <c r="AP75" s="439"/>
      <c r="AQ75" s="439"/>
      <c r="AR75" s="440"/>
      <c r="AS75" s="172"/>
      <c r="AT75" s="30"/>
      <c r="AU75" s="453"/>
      <c r="AV75" s="478" t="str">
        <f>IF(Roster!$B$16=0,"",Roster!$B$16)</f>
        <v>SGAUA</v>
      </c>
      <c r="AW75" s="439"/>
      <c r="AX75" s="439"/>
      <c r="AY75" s="439"/>
      <c r="AZ75" s="439"/>
      <c r="BA75" s="439"/>
      <c r="BB75" s="439"/>
      <c r="BC75" s="439"/>
      <c r="BD75" s="439"/>
      <c r="BE75" s="439"/>
      <c r="BF75" s="439"/>
      <c r="BG75" s="440"/>
      <c r="BH75" s="172"/>
    </row>
    <row r="76" spans="1:60" ht="11.25" customHeight="1">
      <c r="A76" s="30"/>
      <c r="B76" s="454"/>
      <c r="C76" s="484" t="str">
        <f>IF(Roster!$C$13=0,"",Roster!$C$13)</f>
        <v>Untrained Troll</v>
      </c>
      <c r="D76" s="439"/>
      <c r="E76" s="439"/>
      <c r="F76" s="439"/>
      <c r="G76" s="439"/>
      <c r="H76" s="439"/>
      <c r="I76" s="439"/>
      <c r="J76" s="439"/>
      <c r="K76" s="439"/>
      <c r="L76" s="439"/>
      <c r="M76" s="439"/>
      <c r="N76" s="440"/>
      <c r="O76" s="173"/>
      <c r="P76" s="30"/>
      <c r="Q76" s="454"/>
      <c r="R76" s="484" t="str">
        <f>IF(Roster!$C$14=0,"",Roster!$C$14)</f>
        <v xml:space="preserve">Goblin </v>
      </c>
      <c r="S76" s="439"/>
      <c r="T76" s="439"/>
      <c r="U76" s="439"/>
      <c r="V76" s="439"/>
      <c r="W76" s="439"/>
      <c r="X76" s="439"/>
      <c r="Y76" s="439"/>
      <c r="Z76" s="439"/>
      <c r="AA76" s="439"/>
      <c r="AB76" s="439"/>
      <c r="AC76" s="440"/>
      <c r="AD76" s="173"/>
      <c r="AE76" s="30"/>
      <c r="AF76" s="454"/>
      <c r="AG76" s="484" t="str">
        <f>IF(Roster!$C$15=0,"",Roster!$C$15)</f>
        <v>Lineman</v>
      </c>
      <c r="AH76" s="439"/>
      <c r="AI76" s="439"/>
      <c r="AJ76" s="439"/>
      <c r="AK76" s="439"/>
      <c r="AL76" s="439"/>
      <c r="AM76" s="439"/>
      <c r="AN76" s="439"/>
      <c r="AO76" s="439"/>
      <c r="AP76" s="439"/>
      <c r="AQ76" s="439"/>
      <c r="AR76" s="440"/>
      <c r="AS76" s="173"/>
      <c r="AT76" s="30"/>
      <c r="AU76" s="454"/>
      <c r="AV76" s="484" t="str">
        <f>IF(Roster!$C$16=0,"",Roster!$C$16)</f>
        <v>Lineman</v>
      </c>
      <c r="AW76" s="439"/>
      <c r="AX76" s="439"/>
      <c r="AY76" s="439"/>
      <c r="AZ76" s="439"/>
      <c r="BA76" s="439"/>
      <c r="BB76" s="439"/>
      <c r="BC76" s="439"/>
      <c r="BD76" s="439"/>
      <c r="BE76" s="439"/>
      <c r="BF76" s="439"/>
      <c r="BG76" s="440"/>
      <c r="BH76" s="173"/>
    </row>
    <row r="77" spans="1:60" ht="11.25" customHeight="1">
      <c r="A77" s="30"/>
      <c r="B77" s="176" t="str">
        <f>IF(Roster!$J$1=0,"",Roster!$J$1)</f>
        <v>MA</v>
      </c>
      <c r="C77" s="175"/>
      <c r="D77" s="497"/>
      <c r="E77" s="497"/>
      <c r="F77" s="497"/>
      <c r="G77" s="497"/>
      <c r="H77" s="497"/>
      <c r="I77" s="497"/>
      <c r="J77" s="497"/>
      <c r="K77" s="497"/>
      <c r="L77" s="497"/>
      <c r="M77" s="497"/>
      <c r="N77" s="497"/>
      <c r="O77" s="172"/>
      <c r="P77" s="30"/>
      <c r="Q77" s="176" t="str">
        <f>IF(Roster!$J$1=0,"",Roster!$J$1)</f>
        <v>MA</v>
      </c>
      <c r="R77" s="175"/>
      <c r="S77" s="497"/>
      <c r="T77" s="497"/>
      <c r="U77" s="497"/>
      <c r="V77" s="497"/>
      <c r="W77" s="497"/>
      <c r="X77" s="497"/>
      <c r="Y77" s="497"/>
      <c r="Z77" s="497"/>
      <c r="AA77" s="497"/>
      <c r="AB77" s="497"/>
      <c r="AC77" s="497"/>
      <c r="AD77" s="172"/>
      <c r="AE77" s="30"/>
      <c r="AF77" s="176" t="str">
        <f>IF(Roster!$J$1=0,"",Roster!$J$1)</f>
        <v>MA</v>
      </c>
      <c r="AG77" s="175"/>
      <c r="AH77" s="497"/>
      <c r="AI77" s="497"/>
      <c r="AJ77" s="497"/>
      <c r="AK77" s="497"/>
      <c r="AL77" s="497"/>
      <c r="AM77" s="497"/>
      <c r="AN77" s="497"/>
      <c r="AO77" s="497"/>
      <c r="AP77" s="497"/>
      <c r="AQ77" s="497"/>
      <c r="AR77" s="497"/>
      <c r="AS77" s="172"/>
      <c r="AT77" s="30"/>
      <c r="AU77" s="176" t="str">
        <f>IF(Roster!$J$1=0,"",Roster!$J$1)</f>
        <v>MA</v>
      </c>
      <c r="AV77" s="175"/>
      <c r="AW77" s="497"/>
      <c r="AX77" s="497"/>
      <c r="AY77" s="497"/>
      <c r="AZ77" s="497"/>
      <c r="BA77" s="497"/>
      <c r="BB77" s="497"/>
      <c r="BC77" s="497"/>
      <c r="BD77" s="497"/>
      <c r="BE77" s="497"/>
      <c r="BF77" s="497"/>
      <c r="BG77" s="497"/>
      <c r="BH77" s="172"/>
    </row>
    <row r="78" spans="1:60" ht="37.5" customHeight="1">
      <c r="A78" s="30"/>
      <c r="B78" s="178">
        <f>IF(Roster!$J$13=0,"",Roster!$J$13)</f>
        <v>4</v>
      </c>
      <c r="C78" s="175"/>
      <c r="D78" s="497"/>
      <c r="E78" s="497"/>
      <c r="F78" s="497"/>
      <c r="G78" s="497"/>
      <c r="H78" s="497"/>
      <c r="I78" s="497"/>
      <c r="J78" s="497"/>
      <c r="K78" s="497"/>
      <c r="L78" s="497"/>
      <c r="M78" s="497"/>
      <c r="N78" s="497"/>
      <c r="O78" s="172"/>
      <c r="P78" s="30"/>
      <c r="Q78" s="178">
        <f>IF(Roster!$J$14=0,"",Roster!$J$14)</f>
        <v>6</v>
      </c>
      <c r="R78" s="175"/>
      <c r="S78" s="497"/>
      <c r="T78" s="497"/>
      <c r="U78" s="497"/>
      <c r="V78" s="497"/>
      <c r="W78" s="497"/>
      <c r="X78" s="497"/>
      <c r="Y78" s="497"/>
      <c r="Z78" s="497"/>
      <c r="AA78" s="497"/>
      <c r="AB78" s="497"/>
      <c r="AC78" s="497"/>
      <c r="AD78" s="172"/>
      <c r="AE78" s="30"/>
      <c r="AF78" s="178">
        <f>IF(Roster!$J$15=0,"",Roster!$J$15)</f>
        <v>5</v>
      </c>
      <c r="AG78" s="175"/>
      <c r="AH78" s="497"/>
      <c r="AI78" s="497"/>
      <c r="AJ78" s="497"/>
      <c r="AK78" s="497"/>
      <c r="AL78" s="497"/>
      <c r="AM78" s="497"/>
      <c r="AN78" s="497"/>
      <c r="AO78" s="497"/>
      <c r="AP78" s="497"/>
      <c r="AQ78" s="497"/>
      <c r="AR78" s="497"/>
      <c r="AS78" s="172"/>
      <c r="AT78" s="30"/>
      <c r="AU78" s="178">
        <f>IF(Roster!$J$16=0,"",Roster!$J$16)</f>
        <v>5</v>
      </c>
      <c r="AV78" s="175"/>
      <c r="AW78" s="497"/>
      <c r="AX78" s="497"/>
      <c r="AY78" s="497"/>
      <c r="AZ78" s="497"/>
      <c r="BA78" s="497"/>
      <c r="BB78" s="497"/>
      <c r="BC78" s="497"/>
      <c r="BD78" s="497"/>
      <c r="BE78" s="497"/>
      <c r="BF78" s="497"/>
      <c r="BG78" s="497"/>
      <c r="BH78" s="172"/>
    </row>
    <row r="79" spans="1:60" ht="11.25" customHeight="1">
      <c r="A79" s="30"/>
      <c r="B79" s="176" t="str">
        <f>IF(Roster!$K$1=0,"",Roster!$K$1)</f>
        <v>ST</v>
      </c>
      <c r="C79" s="175"/>
      <c r="D79" s="497"/>
      <c r="E79" s="497"/>
      <c r="F79" s="497"/>
      <c r="G79" s="497"/>
      <c r="H79" s="497"/>
      <c r="I79" s="497"/>
      <c r="J79" s="497"/>
      <c r="K79" s="497"/>
      <c r="L79" s="497"/>
      <c r="M79" s="497"/>
      <c r="N79" s="497"/>
      <c r="O79" s="172"/>
      <c r="P79" s="30"/>
      <c r="Q79" s="176" t="str">
        <f>IF(Roster!$K$1=0,"",Roster!$K$1)</f>
        <v>ST</v>
      </c>
      <c r="R79" s="175"/>
      <c r="S79" s="497"/>
      <c r="T79" s="497"/>
      <c r="U79" s="497"/>
      <c r="V79" s="497"/>
      <c r="W79" s="497"/>
      <c r="X79" s="497"/>
      <c r="Y79" s="497"/>
      <c r="Z79" s="497"/>
      <c r="AA79" s="497"/>
      <c r="AB79" s="497"/>
      <c r="AC79" s="497"/>
      <c r="AD79" s="172"/>
      <c r="AE79" s="30"/>
      <c r="AF79" s="176" t="str">
        <f>IF(Roster!$K$1=0,"",Roster!$K$1)</f>
        <v>ST</v>
      </c>
      <c r="AG79" s="175"/>
      <c r="AH79" s="497"/>
      <c r="AI79" s="497"/>
      <c r="AJ79" s="497"/>
      <c r="AK79" s="497"/>
      <c r="AL79" s="497"/>
      <c r="AM79" s="497"/>
      <c r="AN79" s="497"/>
      <c r="AO79" s="497"/>
      <c r="AP79" s="497"/>
      <c r="AQ79" s="497"/>
      <c r="AR79" s="497"/>
      <c r="AS79" s="172"/>
      <c r="AT79" s="30"/>
      <c r="AU79" s="176" t="str">
        <f>IF(Roster!$K$1=0,"",Roster!$K$1)</f>
        <v>ST</v>
      </c>
      <c r="AV79" s="175"/>
      <c r="AW79" s="497"/>
      <c r="AX79" s="497"/>
      <c r="AY79" s="497"/>
      <c r="AZ79" s="497"/>
      <c r="BA79" s="497"/>
      <c r="BB79" s="497"/>
      <c r="BC79" s="497"/>
      <c r="BD79" s="497"/>
      <c r="BE79" s="497"/>
      <c r="BF79" s="497"/>
      <c r="BG79" s="497"/>
      <c r="BH79" s="172"/>
    </row>
    <row r="80" spans="1:60" ht="37.5" customHeight="1">
      <c r="A80" s="30"/>
      <c r="B80" s="178">
        <f>IF(Roster!$K$13=0,"",Roster!$K$13)</f>
        <v>5</v>
      </c>
      <c r="C80" s="175"/>
      <c r="D80" s="497"/>
      <c r="E80" s="497"/>
      <c r="F80" s="497"/>
      <c r="G80" s="497"/>
      <c r="H80" s="497"/>
      <c r="I80" s="497"/>
      <c r="J80" s="497"/>
      <c r="K80" s="497"/>
      <c r="L80" s="497"/>
      <c r="M80" s="497"/>
      <c r="N80" s="497"/>
      <c r="O80" s="172"/>
      <c r="P80" s="30"/>
      <c r="Q80" s="178">
        <f>IF(Roster!$K$14=0,"",Roster!$K$14)</f>
        <v>2</v>
      </c>
      <c r="R80" s="175"/>
      <c r="S80" s="497"/>
      <c r="T80" s="497"/>
      <c r="U80" s="497"/>
      <c r="V80" s="497"/>
      <c r="W80" s="497"/>
      <c r="X80" s="497"/>
      <c r="Y80" s="497"/>
      <c r="Z80" s="497"/>
      <c r="AA80" s="497"/>
      <c r="AB80" s="497"/>
      <c r="AC80" s="497"/>
      <c r="AD80" s="172"/>
      <c r="AE80" s="30"/>
      <c r="AF80" s="178">
        <f>IF(Roster!$K$15=0,"",Roster!$K$15)</f>
        <v>3</v>
      </c>
      <c r="AG80" s="175"/>
      <c r="AH80" s="497"/>
      <c r="AI80" s="497"/>
      <c r="AJ80" s="497"/>
      <c r="AK80" s="497"/>
      <c r="AL80" s="497"/>
      <c r="AM80" s="497"/>
      <c r="AN80" s="497"/>
      <c r="AO80" s="497"/>
      <c r="AP80" s="497"/>
      <c r="AQ80" s="497"/>
      <c r="AR80" s="497"/>
      <c r="AS80" s="172"/>
      <c r="AT80" s="30"/>
      <c r="AU80" s="178">
        <f>IF(Roster!$K$16=0,"",Roster!$K$16)</f>
        <v>3</v>
      </c>
      <c r="AV80" s="175"/>
      <c r="AW80" s="497"/>
      <c r="AX80" s="497"/>
      <c r="AY80" s="497"/>
      <c r="AZ80" s="497"/>
      <c r="BA80" s="497"/>
      <c r="BB80" s="497"/>
      <c r="BC80" s="497"/>
      <c r="BD80" s="497"/>
      <c r="BE80" s="497"/>
      <c r="BF80" s="497"/>
      <c r="BG80" s="497"/>
      <c r="BH80" s="172"/>
    </row>
    <row r="81" spans="1:60" ht="11.25" customHeight="1">
      <c r="A81" s="30"/>
      <c r="B81" s="176" t="str">
        <f>IF(Roster!$L$1=0,"",Roster!$L$1)</f>
        <v>AG</v>
      </c>
      <c r="C81" s="175"/>
      <c r="D81" s="497"/>
      <c r="E81" s="497"/>
      <c r="F81" s="497"/>
      <c r="G81" s="497"/>
      <c r="H81" s="497"/>
      <c r="I81" s="497"/>
      <c r="J81" s="497"/>
      <c r="K81" s="497"/>
      <c r="L81" s="497"/>
      <c r="M81" s="497"/>
      <c r="N81" s="497"/>
      <c r="O81" s="172"/>
      <c r="P81" s="30"/>
      <c r="Q81" s="176" t="str">
        <f>IF(Roster!$L$1=0,"",Roster!$L$1)</f>
        <v>AG</v>
      </c>
      <c r="R81" s="175"/>
      <c r="S81" s="497"/>
      <c r="T81" s="497"/>
      <c r="U81" s="497"/>
      <c r="V81" s="497"/>
      <c r="W81" s="497"/>
      <c r="X81" s="497"/>
      <c r="Y81" s="497"/>
      <c r="Z81" s="497"/>
      <c r="AA81" s="497"/>
      <c r="AB81" s="497"/>
      <c r="AC81" s="497"/>
      <c r="AD81" s="172"/>
      <c r="AE81" s="30"/>
      <c r="AF81" s="176" t="str">
        <f>IF(Roster!$L$1=0,"",Roster!$L$1)</f>
        <v>AG</v>
      </c>
      <c r="AG81" s="175"/>
      <c r="AH81" s="497"/>
      <c r="AI81" s="497"/>
      <c r="AJ81" s="497"/>
      <c r="AK81" s="497"/>
      <c r="AL81" s="497"/>
      <c r="AM81" s="497"/>
      <c r="AN81" s="497"/>
      <c r="AO81" s="497"/>
      <c r="AP81" s="497"/>
      <c r="AQ81" s="497"/>
      <c r="AR81" s="497"/>
      <c r="AS81" s="172"/>
      <c r="AT81" s="30"/>
      <c r="AU81" s="176" t="str">
        <f>IF(Roster!$L$1=0,"",Roster!$L$1)</f>
        <v>AG</v>
      </c>
      <c r="AV81" s="175"/>
      <c r="AW81" s="497"/>
      <c r="AX81" s="497"/>
      <c r="AY81" s="497"/>
      <c r="AZ81" s="497"/>
      <c r="BA81" s="497"/>
      <c r="BB81" s="497"/>
      <c r="BC81" s="497"/>
      <c r="BD81" s="497"/>
      <c r="BE81" s="497"/>
      <c r="BF81" s="497"/>
      <c r="BG81" s="497"/>
      <c r="BH81" s="172"/>
    </row>
    <row r="82" spans="1:60" ht="37.5" customHeight="1">
      <c r="A82" s="30"/>
      <c r="B82" s="178" t="str">
        <f>IF(Roster!$L$13=0&amp;"+","",Roster!$L$13)</f>
        <v>5+</v>
      </c>
      <c r="C82" s="175"/>
      <c r="D82" s="497"/>
      <c r="E82" s="497"/>
      <c r="F82" s="497"/>
      <c r="G82" s="497"/>
      <c r="H82" s="497"/>
      <c r="I82" s="497"/>
      <c r="J82" s="497"/>
      <c r="K82" s="497"/>
      <c r="L82" s="497"/>
      <c r="M82" s="497"/>
      <c r="N82" s="497"/>
      <c r="O82" s="172"/>
      <c r="P82" s="30"/>
      <c r="Q82" s="178" t="str">
        <f>IF(Roster!$L$14=0&amp;"+","",Roster!$L$14)</f>
        <v>3+</v>
      </c>
      <c r="R82" s="175"/>
      <c r="S82" s="497"/>
      <c r="T82" s="497"/>
      <c r="U82" s="497"/>
      <c r="V82" s="497"/>
      <c r="W82" s="497"/>
      <c r="X82" s="497"/>
      <c r="Y82" s="497"/>
      <c r="Z82" s="497"/>
      <c r="AA82" s="497"/>
      <c r="AB82" s="497"/>
      <c r="AC82" s="497"/>
      <c r="AD82" s="172"/>
      <c r="AE82" s="30"/>
      <c r="AF82" s="178" t="str">
        <f>IF(Roster!$L$15=0&amp;"+","",Roster!$L$15)</f>
        <v>3+</v>
      </c>
      <c r="AG82" s="175"/>
      <c r="AH82" s="497"/>
      <c r="AI82" s="497"/>
      <c r="AJ82" s="497"/>
      <c r="AK82" s="497"/>
      <c r="AL82" s="497"/>
      <c r="AM82" s="497"/>
      <c r="AN82" s="497"/>
      <c r="AO82" s="497"/>
      <c r="AP82" s="497"/>
      <c r="AQ82" s="497"/>
      <c r="AR82" s="497"/>
      <c r="AS82" s="172"/>
      <c r="AT82" s="30"/>
      <c r="AU82" s="178" t="str">
        <f>IF(Roster!$L$16=0&amp;"+","",Roster!$L$16)</f>
        <v>3+</v>
      </c>
      <c r="AV82" s="175"/>
      <c r="AW82" s="497"/>
      <c r="AX82" s="497"/>
      <c r="AY82" s="497"/>
      <c r="AZ82" s="497"/>
      <c r="BA82" s="497"/>
      <c r="BB82" s="497"/>
      <c r="BC82" s="497"/>
      <c r="BD82" s="497"/>
      <c r="BE82" s="497"/>
      <c r="BF82" s="497"/>
      <c r="BG82" s="497"/>
      <c r="BH82" s="172"/>
    </row>
    <row r="83" spans="1:60" ht="11.25" customHeight="1">
      <c r="A83" s="30"/>
      <c r="B83" s="176" t="str">
        <f>IF(Roster!$M$1=0,"",Roster!$M$1)</f>
        <v>PA</v>
      </c>
      <c r="C83" s="175"/>
      <c r="D83" s="497"/>
      <c r="E83" s="497"/>
      <c r="F83" s="497"/>
      <c r="G83" s="497"/>
      <c r="H83" s="497"/>
      <c r="I83" s="497"/>
      <c r="J83" s="497"/>
      <c r="K83" s="497"/>
      <c r="L83" s="497"/>
      <c r="M83" s="497"/>
      <c r="N83" s="497"/>
      <c r="O83" s="181"/>
      <c r="P83" s="30"/>
      <c r="Q83" s="176" t="str">
        <f>IF(Roster!$M$1=0,"",Roster!$M$1)</f>
        <v>PA</v>
      </c>
      <c r="R83" s="175"/>
      <c r="S83" s="497"/>
      <c r="T83" s="497"/>
      <c r="U83" s="497"/>
      <c r="V83" s="497"/>
      <c r="W83" s="497"/>
      <c r="X83" s="497"/>
      <c r="Y83" s="497"/>
      <c r="Z83" s="497"/>
      <c r="AA83" s="497"/>
      <c r="AB83" s="497"/>
      <c r="AC83" s="497"/>
      <c r="AD83" s="181"/>
      <c r="AE83" s="30"/>
      <c r="AF83" s="176" t="str">
        <f>IF(Roster!$M$1=0,"",Roster!$M$1)</f>
        <v>PA</v>
      </c>
      <c r="AG83" s="175"/>
      <c r="AH83" s="497"/>
      <c r="AI83" s="497"/>
      <c r="AJ83" s="497"/>
      <c r="AK83" s="497"/>
      <c r="AL83" s="497"/>
      <c r="AM83" s="497"/>
      <c r="AN83" s="497"/>
      <c r="AO83" s="497"/>
      <c r="AP83" s="497"/>
      <c r="AQ83" s="497"/>
      <c r="AR83" s="497"/>
      <c r="AS83" s="181"/>
      <c r="AT83" s="30"/>
      <c r="AU83" s="176" t="str">
        <f>IF(Roster!$M$1=0,"",Roster!$M$1)</f>
        <v>PA</v>
      </c>
      <c r="AV83" s="175"/>
      <c r="AW83" s="497"/>
      <c r="AX83" s="497"/>
      <c r="AY83" s="497"/>
      <c r="AZ83" s="497"/>
      <c r="BA83" s="497"/>
      <c r="BB83" s="497"/>
      <c r="BC83" s="497"/>
      <c r="BD83" s="497"/>
      <c r="BE83" s="497"/>
      <c r="BF83" s="497"/>
      <c r="BG83" s="497"/>
      <c r="BH83" s="181"/>
    </row>
    <row r="84" spans="1:60" ht="6" customHeight="1">
      <c r="A84" s="30"/>
      <c r="B84" s="486" t="str">
        <f>IF(Roster!$M$13=0&amp;"+","",Roster!$M$13)</f>
        <v>5+</v>
      </c>
      <c r="C84" s="175"/>
      <c r="D84" s="497"/>
      <c r="E84" s="497"/>
      <c r="F84" s="497"/>
      <c r="G84" s="497"/>
      <c r="H84" s="497"/>
      <c r="I84" s="497"/>
      <c r="J84" s="497"/>
      <c r="K84" s="497"/>
      <c r="L84" s="497"/>
      <c r="M84" s="497"/>
      <c r="N84" s="497"/>
      <c r="O84" s="183"/>
      <c r="P84" s="30"/>
      <c r="Q84" s="486" t="str">
        <f>IF(Roster!$M$14=0&amp;"+","",Roster!$M$14)</f>
        <v>4+</v>
      </c>
      <c r="R84" s="175"/>
      <c r="S84" s="497"/>
      <c r="T84" s="497"/>
      <c r="U84" s="497"/>
      <c r="V84" s="497"/>
      <c r="W84" s="497"/>
      <c r="X84" s="497"/>
      <c r="Y84" s="497"/>
      <c r="Z84" s="497"/>
      <c r="AA84" s="497"/>
      <c r="AB84" s="497"/>
      <c r="AC84" s="497"/>
      <c r="AD84" s="183"/>
      <c r="AE84" s="30"/>
      <c r="AF84" s="486" t="str">
        <f>IF(Roster!$M$15=0&amp;"+","",Roster!$M$15)</f>
        <v>4+</v>
      </c>
      <c r="AG84" s="175"/>
      <c r="AH84" s="497"/>
      <c r="AI84" s="497"/>
      <c r="AJ84" s="497"/>
      <c r="AK84" s="497"/>
      <c r="AL84" s="497"/>
      <c r="AM84" s="497"/>
      <c r="AN84" s="497"/>
      <c r="AO84" s="497"/>
      <c r="AP84" s="497"/>
      <c r="AQ84" s="497"/>
      <c r="AR84" s="497"/>
      <c r="AS84" s="183"/>
      <c r="AT84" s="30"/>
      <c r="AU84" s="486" t="str">
        <f>IF(Roster!$M$16=0&amp;"+","",Roster!$M$16)</f>
        <v>4+</v>
      </c>
      <c r="AV84" s="175"/>
      <c r="AW84" s="497"/>
      <c r="AX84" s="497"/>
      <c r="AY84" s="497"/>
      <c r="AZ84" s="497"/>
      <c r="BA84" s="497"/>
      <c r="BB84" s="497"/>
      <c r="BC84" s="497"/>
      <c r="BD84" s="497"/>
      <c r="BE84" s="497"/>
      <c r="BF84" s="497"/>
      <c r="BG84" s="497"/>
      <c r="BH84" s="183"/>
    </row>
    <row r="85" spans="1:60" ht="4.5" customHeight="1">
      <c r="A85" s="30"/>
      <c r="B85" s="453"/>
      <c r="C85" s="175"/>
      <c r="D85" s="172"/>
      <c r="E85" s="182"/>
      <c r="F85" s="172"/>
      <c r="G85" s="182"/>
      <c r="H85" s="172"/>
      <c r="I85" s="182"/>
      <c r="J85" s="172"/>
      <c r="K85" s="182"/>
      <c r="L85" s="172"/>
      <c r="M85" s="182"/>
      <c r="N85" s="172"/>
      <c r="O85" s="183"/>
      <c r="P85" s="30"/>
      <c r="Q85" s="453"/>
      <c r="R85" s="175"/>
      <c r="S85" s="172"/>
      <c r="T85" s="182"/>
      <c r="U85" s="172"/>
      <c r="V85" s="182"/>
      <c r="W85" s="172"/>
      <c r="X85" s="182"/>
      <c r="Y85" s="172"/>
      <c r="Z85" s="182"/>
      <c r="AA85" s="172"/>
      <c r="AB85" s="182"/>
      <c r="AC85" s="172"/>
      <c r="AD85" s="183"/>
      <c r="AE85" s="30"/>
      <c r="AF85" s="453"/>
      <c r="AG85" s="175"/>
      <c r="AH85" s="172"/>
      <c r="AI85" s="182"/>
      <c r="AJ85" s="172"/>
      <c r="AK85" s="182"/>
      <c r="AL85" s="172"/>
      <c r="AM85" s="182"/>
      <c r="AN85" s="172"/>
      <c r="AO85" s="182"/>
      <c r="AP85" s="172"/>
      <c r="AQ85" s="182"/>
      <c r="AR85" s="172"/>
      <c r="AS85" s="183"/>
      <c r="AT85" s="30"/>
      <c r="AU85" s="453"/>
      <c r="AV85" s="175"/>
      <c r="AW85" s="172"/>
      <c r="AX85" s="182"/>
      <c r="AY85" s="172"/>
      <c r="AZ85" s="182"/>
      <c r="BA85" s="172"/>
      <c r="BB85" s="182"/>
      <c r="BC85" s="172"/>
      <c r="BD85" s="182"/>
      <c r="BE85" s="172"/>
      <c r="BF85" s="182"/>
      <c r="BG85" s="172"/>
      <c r="BH85" s="183"/>
    </row>
    <row r="86" spans="1:60" ht="11.25" customHeight="1">
      <c r="A86" s="30"/>
      <c r="B86" s="453"/>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53"/>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53"/>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53"/>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53"/>
      <c r="C87" s="177"/>
      <c r="D87" s="185" t="str">
        <f>IF(Roster!$AC$13=0,"",Roster!$AC$13)</f>
        <v/>
      </c>
      <c r="E87" s="177"/>
      <c r="F87" s="185">
        <f>IF((SUM(H87,J87,L87))=0,"",(SUM(H87,J87,L87)))</f>
        <v>5</v>
      </c>
      <c r="G87" s="177"/>
      <c r="H87" s="185">
        <f>IF(Roster!$AF$13=0,"",Roster!$AF$13)</f>
        <v>2</v>
      </c>
      <c r="I87" s="177"/>
      <c r="J87" s="185">
        <f>IF(Roster!$AG$13=0,"",Roster!$AG$13)</f>
        <v>2</v>
      </c>
      <c r="K87" s="177"/>
      <c r="L87" s="185">
        <f>IF(Roster!$AH$13=0,"",Roster!$AH$13)</f>
        <v>1</v>
      </c>
      <c r="M87" s="177"/>
      <c r="N87" s="185" t="str">
        <f>IF(Roster!$AB$13=0,"",Roster!$AB$13)</f>
        <v/>
      </c>
      <c r="O87" s="183"/>
      <c r="P87" s="30"/>
      <c r="Q87" s="453"/>
      <c r="R87" s="177"/>
      <c r="S87" s="185">
        <f>IF(Roster!$AC$14=0,"",Roster!$AC$14)</f>
        <v>2</v>
      </c>
      <c r="T87" s="177"/>
      <c r="U87" s="185" t="str">
        <f>IF((SUM(W87,Y87,AA87))=0,"",(SUM(W87,Y87,AA87)))</f>
        <v/>
      </c>
      <c r="V87" s="177"/>
      <c r="W87" s="185" t="str">
        <f>IF(Roster!$AF$14=0,"",Roster!$AF$14)</f>
        <v/>
      </c>
      <c r="X87" s="177"/>
      <c r="Y87" s="185" t="str">
        <f>IF(Roster!$AG$14=0,"",Roster!$AG$14)</f>
        <v/>
      </c>
      <c r="Z87" s="177"/>
      <c r="AA87" s="185" t="str">
        <f>IF(Roster!$AH$14=0,"",Roster!$AH$14)</f>
        <v/>
      </c>
      <c r="AB87" s="177"/>
      <c r="AC87" s="185" t="str">
        <f>IF(Roster!$AB$14=0,"",Roster!$AB$14)</f>
        <v/>
      </c>
      <c r="AD87" s="183"/>
      <c r="AE87" s="30"/>
      <c r="AF87" s="453"/>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53"/>
      <c r="AV87" s="177"/>
      <c r="AW87" s="185" t="str">
        <f>IF(Roster!$AC$16=0,"",Roster!$AC$16)</f>
        <v/>
      </c>
      <c r="AX87" s="177"/>
      <c r="AY87" s="185">
        <f>IF((SUM(BA87,BC87,BE87))=0,"",(SUM(BA87,BC87,BE87)))</f>
        <v>1</v>
      </c>
      <c r="AZ87" s="177"/>
      <c r="BA87" s="185" t="str">
        <f>IF(Roster!$AF$16=0,"",Roster!$AF$16)</f>
        <v/>
      </c>
      <c r="BB87" s="177"/>
      <c r="BC87" s="185">
        <f>IF(Roster!$AG$16=0,"",Roster!$AG$16)</f>
        <v>1</v>
      </c>
      <c r="BD87" s="177"/>
      <c r="BE87" s="185" t="str">
        <f>IF(Roster!$AH$16=0,"",Roster!$AH$16)</f>
        <v/>
      </c>
      <c r="BF87" s="177"/>
      <c r="BG87" s="185" t="str">
        <f>IF(Roster!$AB$16=0,"",Roster!$AB$16)</f>
        <v/>
      </c>
      <c r="BH87" s="183"/>
    </row>
    <row r="88" spans="1:60" ht="4.5" customHeight="1">
      <c r="A88" s="30"/>
      <c r="B88" s="454"/>
      <c r="C88" s="177"/>
      <c r="D88" s="186"/>
      <c r="E88" s="177"/>
      <c r="F88" s="186"/>
      <c r="G88" s="177"/>
      <c r="H88" s="186"/>
      <c r="I88" s="177"/>
      <c r="J88" s="186"/>
      <c r="K88" s="177"/>
      <c r="L88" s="186"/>
      <c r="M88" s="177"/>
      <c r="N88" s="186"/>
      <c r="O88" s="183"/>
      <c r="P88" s="30"/>
      <c r="Q88" s="454"/>
      <c r="R88" s="177"/>
      <c r="S88" s="186"/>
      <c r="T88" s="177"/>
      <c r="U88" s="186"/>
      <c r="V88" s="177"/>
      <c r="W88" s="186"/>
      <c r="X88" s="177"/>
      <c r="Y88" s="186"/>
      <c r="Z88" s="177"/>
      <c r="AA88" s="186"/>
      <c r="AB88" s="177"/>
      <c r="AC88" s="186"/>
      <c r="AD88" s="183"/>
      <c r="AE88" s="30"/>
      <c r="AF88" s="454"/>
      <c r="AG88" s="177"/>
      <c r="AH88" s="186"/>
      <c r="AI88" s="177"/>
      <c r="AJ88" s="186"/>
      <c r="AK88" s="177"/>
      <c r="AL88" s="186"/>
      <c r="AM88" s="177"/>
      <c r="AN88" s="186"/>
      <c r="AO88" s="177"/>
      <c r="AP88" s="186"/>
      <c r="AQ88" s="177"/>
      <c r="AR88" s="186"/>
      <c r="AS88" s="183"/>
      <c r="AT88" s="30"/>
      <c r="AU88" s="454"/>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86" t="str">
        <f>IF(Roster!$N$13=0&amp;"+","",Roster!$N$13)</f>
        <v>10+</v>
      </c>
      <c r="C90" s="177"/>
      <c r="D90" s="185" t="str">
        <f>IF(Roster!$AD$13=0,"",Roster!$AD$13)</f>
        <v/>
      </c>
      <c r="E90" s="177"/>
      <c r="F90" s="185" t="str">
        <f>IF(Roster!$AE$13=0,"",Roster!$AE$13)</f>
        <v/>
      </c>
      <c r="G90" s="177"/>
      <c r="H90" s="185">
        <f>IF(Roster!$AA$13=0,"",Roster!$AA$13)</f>
        <v>1</v>
      </c>
      <c r="I90" s="177"/>
      <c r="J90" s="185" t="str">
        <f>IF(Roster!$AI$13=0,"",Roster!$AI$13)</f>
        <v/>
      </c>
      <c r="K90" s="177"/>
      <c r="L90" s="185">
        <f>IF(Roster!$AJ$13=0,"",Roster!$AJ$13)</f>
        <v>11</v>
      </c>
      <c r="M90" s="177"/>
      <c r="N90" s="185" t="str">
        <f>IF(Roster!$Z$13=0,"",Roster!$Z$13)</f>
        <v/>
      </c>
      <c r="O90" s="187"/>
      <c r="P90" s="30"/>
      <c r="Q90" s="486" t="str">
        <f>IF(Roster!$N$14=0&amp;"+","",Roster!$N$14)</f>
        <v>8+</v>
      </c>
      <c r="R90" s="177"/>
      <c r="S90" s="185" t="str">
        <f>IF(Roster!$AD$14=0,"",Roster!$AD$14)</f>
        <v/>
      </c>
      <c r="T90" s="177"/>
      <c r="U90" s="185" t="str">
        <f>IF(Roster!$AE$14=0,"",Roster!$AE$14)</f>
        <v/>
      </c>
      <c r="V90" s="177"/>
      <c r="W90" s="185" t="str">
        <f>IF(Roster!$AA$14=0,"",Roster!$AA$14)</f>
        <v/>
      </c>
      <c r="X90" s="177"/>
      <c r="Y90" s="185">
        <f>IF(Roster!$AI$14=0,"",Roster!$AI$14)</f>
        <v>1</v>
      </c>
      <c r="Z90" s="177"/>
      <c r="AA90" s="185">
        <f>IF(Roster!$AJ$14=0,"",Roster!$AJ$14)</f>
        <v>10</v>
      </c>
      <c r="AB90" s="177"/>
      <c r="AC90" s="185" t="str">
        <f>IF(Roster!$Z$14=0,"",Roster!$Z$14)</f>
        <v/>
      </c>
      <c r="AD90" s="187"/>
      <c r="AE90" s="30"/>
      <c r="AF90" s="486" t="str">
        <f>IF(Roster!$N$15=0&amp;"+","",Roster!$N$15)</f>
        <v>10+</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86" t="str">
        <f>IF(Roster!$N$16=0&amp;"+","",Roster!$N$16)</f>
        <v>10+</v>
      </c>
      <c r="AV90" s="177"/>
      <c r="AW90" s="185" t="str">
        <f>IF(Roster!$AD$16=0,"",Roster!$AD$16)</f>
        <v/>
      </c>
      <c r="AX90" s="177"/>
      <c r="AY90" s="185" t="str">
        <f>IF(Roster!$AE$16=0,"",Roster!$AE$16)</f>
        <v/>
      </c>
      <c r="AZ90" s="177"/>
      <c r="BA90" s="185" t="str">
        <f>IF(Roster!$AA$16=0,"",Roster!$AA$16)</f>
        <v/>
      </c>
      <c r="BB90" s="177"/>
      <c r="BC90" s="185" t="str">
        <f>IF(Roster!$AI$16=0,"",Roster!$AI$16)</f>
        <v/>
      </c>
      <c r="BD90" s="177"/>
      <c r="BE90" s="185">
        <f>IF(Roster!$AJ$16=0,"",Roster!$AJ$16)</f>
        <v>2</v>
      </c>
      <c r="BF90" s="177"/>
      <c r="BG90" s="185" t="str">
        <f>IF(Roster!$Z$16=0,"",Roster!$Z$16)</f>
        <v/>
      </c>
      <c r="BH90" s="187"/>
    </row>
    <row r="91" spans="1:60" ht="4.5" customHeight="1">
      <c r="A91" s="30"/>
      <c r="B91" s="453"/>
      <c r="C91" s="177"/>
      <c r="D91" s="177"/>
      <c r="E91" s="177"/>
      <c r="F91" s="177"/>
      <c r="G91" s="177"/>
      <c r="H91" s="177"/>
      <c r="I91" s="177"/>
      <c r="J91" s="177"/>
      <c r="K91" s="177"/>
      <c r="L91" s="177"/>
      <c r="M91" s="177"/>
      <c r="N91" s="183"/>
      <c r="O91" s="187"/>
      <c r="P91" s="30"/>
      <c r="Q91" s="453"/>
      <c r="R91" s="177"/>
      <c r="S91" s="177"/>
      <c r="T91" s="177"/>
      <c r="U91" s="177"/>
      <c r="V91" s="177"/>
      <c r="W91" s="177"/>
      <c r="X91" s="177"/>
      <c r="Y91" s="177"/>
      <c r="Z91" s="177"/>
      <c r="AA91" s="177"/>
      <c r="AB91" s="177"/>
      <c r="AC91" s="183"/>
      <c r="AD91" s="187"/>
      <c r="AE91" s="30"/>
      <c r="AF91" s="453"/>
      <c r="AG91" s="177"/>
      <c r="AH91" s="177"/>
      <c r="AI91" s="177"/>
      <c r="AJ91" s="177"/>
      <c r="AK91" s="177"/>
      <c r="AL91" s="177"/>
      <c r="AM91" s="177"/>
      <c r="AN91" s="177"/>
      <c r="AO91" s="177"/>
      <c r="AP91" s="177"/>
      <c r="AQ91" s="177"/>
      <c r="AR91" s="183"/>
      <c r="AS91" s="187"/>
      <c r="AT91" s="30"/>
      <c r="AU91" s="453"/>
      <c r="AV91" s="177"/>
      <c r="AW91" s="177"/>
      <c r="AX91" s="177"/>
      <c r="AY91" s="177"/>
      <c r="AZ91" s="177"/>
      <c r="BA91" s="177"/>
      <c r="BB91" s="177"/>
      <c r="BC91" s="177"/>
      <c r="BD91" s="177"/>
      <c r="BE91" s="177"/>
      <c r="BF91" s="177"/>
      <c r="BG91" s="183"/>
      <c r="BH91" s="187"/>
    </row>
    <row r="92" spans="1:60" ht="11.25" customHeight="1">
      <c r="A92" s="30"/>
      <c r="B92" s="453"/>
      <c r="C92" s="177"/>
      <c r="D92" s="483" t="str">
        <f>IF(Roster!$J$25="Italiano","ABILITÀ &amp; TRATTI",(IF(Roster!$J$25="Español","HABILIDADES Y RASGOS","SKILLS &amp; TRAITS")))</f>
        <v>ABILITÀ &amp; TRATTI</v>
      </c>
      <c r="E92" s="439"/>
      <c r="F92" s="439"/>
      <c r="G92" s="439"/>
      <c r="H92" s="439"/>
      <c r="I92" s="439"/>
      <c r="J92" s="439"/>
      <c r="K92" s="439"/>
      <c r="L92" s="439"/>
      <c r="M92" s="439"/>
      <c r="N92" s="440"/>
      <c r="O92" s="187"/>
      <c r="P92" s="30"/>
      <c r="Q92" s="453"/>
      <c r="R92" s="177"/>
      <c r="S92" s="483" t="str">
        <f>IF(Roster!$J$25="Italiano","ABILITÀ &amp; TRATTI",(IF(Roster!$J$25="Español","HABILIDADES Y RASGOS","SKILLS &amp; TRAITS")))</f>
        <v>ABILITÀ &amp; TRATTI</v>
      </c>
      <c r="T92" s="439"/>
      <c r="U92" s="439"/>
      <c r="V92" s="439"/>
      <c r="W92" s="439"/>
      <c r="X92" s="439"/>
      <c r="Y92" s="439"/>
      <c r="Z92" s="439"/>
      <c r="AA92" s="439"/>
      <c r="AB92" s="439"/>
      <c r="AC92" s="440"/>
      <c r="AD92" s="187"/>
      <c r="AE92" s="30"/>
      <c r="AF92" s="453"/>
      <c r="AG92" s="177"/>
      <c r="AH92" s="483" t="str">
        <f>IF(Roster!$J$25="Italiano","ABILITÀ &amp; TRATTI",(IF(Roster!$J$25="Español","HABILIDADES Y RASGOS","SKILLS &amp; TRAITS")))</f>
        <v>ABILITÀ &amp; TRATTI</v>
      </c>
      <c r="AI92" s="439"/>
      <c r="AJ92" s="439"/>
      <c r="AK92" s="439"/>
      <c r="AL92" s="439"/>
      <c r="AM92" s="439"/>
      <c r="AN92" s="439"/>
      <c r="AO92" s="439"/>
      <c r="AP92" s="439"/>
      <c r="AQ92" s="439"/>
      <c r="AR92" s="440"/>
      <c r="AS92" s="187"/>
      <c r="AT92" s="30"/>
      <c r="AU92" s="453"/>
      <c r="AV92" s="177"/>
      <c r="AW92" s="483" t="str">
        <f>IF(Roster!$J$25="Italiano","ABILITÀ &amp; TRATTI",(IF(Roster!$J$25="Español","HABILIDADES Y RASGOS","SKILLS &amp; TRAITS")))</f>
        <v>ABILITÀ &amp; TRATTI</v>
      </c>
      <c r="AX92" s="439"/>
      <c r="AY92" s="439"/>
      <c r="AZ92" s="439"/>
      <c r="BA92" s="439"/>
      <c r="BB92" s="439"/>
      <c r="BC92" s="439"/>
      <c r="BD92" s="439"/>
      <c r="BE92" s="439"/>
      <c r="BF92" s="439"/>
      <c r="BG92" s="440"/>
      <c r="BH92" s="187"/>
    </row>
    <row r="93" spans="1:60" ht="6.75" customHeight="1">
      <c r="A93" s="30"/>
      <c r="B93" s="454"/>
      <c r="C93" s="177"/>
      <c r="D93" s="487" t="str">
        <f>IF(Roster!$O$13=0&amp;BF13,"",Roster!$O$13)</f>
        <v>Always Hungry, Loner (4+), Mighty Blow (+1), Projectile Vomit, Really Stupid, Regeneration, Throw Team-mate, Guard</v>
      </c>
      <c r="E93" s="488"/>
      <c r="F93" s="488"/>
      <c r="G93" s="488"/>
      <c r="H93" s="488"/>
      <c r="I93" s="488"/>
      <c r="J93" s="488"/>
      <c r="K93" s="488"/>
      <c r="L93" s="488"/>
      <c r="M93" s="488"/>
      <c r="N93" s="489"/>
      <c r="O93" s="187"/>
      <c r="P93" s="30"/>
      <c r="Q93" s="454"/>
      <c r="R93" s="177"/>
      <c r="S93" s="487" t="str">
        <f>IF(Roster!$O$14=0&amp;BF14,"",Roster!$O$14)</f>
        <v>Dodge, Right Stuff, Stunty</v>
      </c>
      <c r="T93" s="488"/>
      <c r="U93" s="488"/>
      <c r="V93" s="488"/>
      <c r="W93" s="488"/>
      <c r="X93" s="488"/>
      <c r="Y93" s="488"/>
      <c r="Z93" s="488"/>
      <c r="AA93" s="488"/>
      <c r="AB93" s="488"/>
      <c r="AC93" s="489"/>
      <c r="AD93" s="187"/>
      <c r="AE93" s="30"/>
      <c r="AF93" s="454"/>
      <c r="AG93" s="177"/>
      <c r="AH93" s="487" t="str">
        <f>IF(Roster!$O$15=0&amp;BF15,"",Roster!$O$15)</f>
        <v>Animosity (Orc Linemen)</v>
      </c>
      <c r="AI93" s="488"/>
      <c r="AJ93" s="488"/>
      <c r="AK93" s="488"/>
      <c r="AL93" s="488"/>
      <c r="AM93" s="488"/>
      <c r="AN93" s="488"/>
      <c r="AO93" s="488"/>
      <c r="AP93" s="488"/>
      <c r="AQ93" s="488"/>
      <c r="AR93" s="489"/>
      <c r="AS93" s="187"/>
      <c r="AT93" s="30"/>
      <c r="AU93" s="454"/>
      <c r="AV93" s="177"/>
      <c r="AW93" s="487" t="str">
        <f>IF(Roster!$O$16=0&amp;BF16,"",Roster!$O$16)</f>
        <v>Animosity (Orc Linemen)</v>
      </c>
      <c r="AX93" s="488"/>
      <c r="AY93" s="488"/>
      <c r="AZ93" s="488"/>
      <c r="BA93" s="488"/>
      <c r="BB93" s="488"/>
      <c r="BC93" s="488"/>
      <c r="BD93" s="488"/>
      <c r="BE93" s="488"/>
      <c r="BF93" s="488"/>
      <c r="BG93" s="489"/>
      <c r="BH93" s="187"/>
    </row>
    <row r="94" spans="1:60" ht="11.25" customHeight="1">
      <c r="A94" s="30"/>
      <c r="B94" s="176" t="str">
        <f>IF(Roster!$AN$1=0,"",Roster!$AN$1)</f>
        <v>COSTO</v>
      </c>
      <c r="C94" s="176"/>
      <c r="D94" s="490"/>
      <c r="E94" s="491"/>
      <c r="F94" s="491"/>
      <c r="G94" s="491"/>
      <c r="H94" s="491"/>
      <c r="I94" s="491"/>
      <c r="J94" s="491"/>
      <c r="K94" s="491"/>
      <c r="L94" s="491"/>
      <c r="M94" s="491"/>
      <c r="N94" s="492"/>
      <c r="O94" s="188"/>
      <c r="P94" s="30"/>
      <c r="Q94" s="176" t="str">
        <f>IF(Roster!$AN$1=0,"",Roster!$AN$1)</f>
        <v>COSTO</v>
      </c>
      <c r="R94" s="176"/>
      <c r="S94" s="490"/>
      <c r="T94" s="491"/>
      <c r="U94" s="491"/>
      <c r="V94" s="491"/>
      <c r="W94" s="491"/>
      <c r="X94" s="491"/>
      <c r="Y94" s="491"/>
      <c r="Z94" s="491"/>
      <c r="AA94" s="491"/>
      <c r="AB94" s="491"/>
      <c r="AC94" s="492"/>
      <c r="AD94" s="188"/>
      <c r="AE94" s="30"/>
      <c r="AF94" s="176" t="str">
        <f>IF(Roster!$AN$1=0,"",Roster!$AN$1)</f>
        <v>COSTO</v>
      </c>
      <c r="AG94" s="176"/>
      <c r="AH94" s="490"/>
      <c r="AI94" s="491"/>
      <c r="AJ94" s="491"/>
      <c r="AK94" s="491"/>
      <c r="AL94" s="491"/>
      <c r="AM94" s="491"/>
      <c r="AN94" s="491"/>
      <c r="AO94" s="491"/>
      <c r="AP94" s="491"/>
      <c r="AQ94" s="491"/>
      <c r="AR94" s="492"/>
      <c r="AS94" s="188"/>
      <c r="AT94" s="30"/>
      <c r="AU94" s="176" t="str">
        <f>IF(Roster!$AN$1=0,"",Roster!$AN$1)</f>
        <v>COSTO</v>
      </c>
      <c r="AV94" s="176"/>
      <c r="AW94" s="490"/>
      <c r="AX94" s="491"/>
      <c r="AY94" s="491"/>
      <c r="AZ94" s="491"/>
      <c r="BA94" s="491"/>
      <c r="BB94" s="491"/>
      <c r="BC94" s="491"/>
      <c r="BD94" s="491"/>
      <c r="BE94" s="491"/>
      <c r="BF94" s="491"/>
      <c r="BG94" s="492"/>
      <c r="BH94" s="188"/>
    </row>
    <row r="95" spans="1:60" ht="34.5" customHeight="1">
      <c r="A95" s="30"/>
      <c r="B95" s="190">
        <f>IF(Roster!$AN$13=0,"",Roster!$AN$13)</f>
        <v>135000</v>
      </c>
      <c r="C95" s="191"/>
      <c r="D95" s="493"/>
      <c r="E95" s="494"/>
      <c r="F95" s="494"/>
      <c r="G95" s="494"/>
      <c r="H95" s="494"/>
      <c r="I95" s="494"/>
      <c r="J95" s="494"/>
      <c r="K95" s="494"/>
      <c r="L95" s="494"/>
      <c r="M95" s="494"/>
      <c r="N95" s="495"/>
      <c r="O95" s="188"/>
      <c r="P95" s="30"/>
      <c r="Q95" s="190">
        <f>IF(Roster!$AN$14=0,"",Roster!$AN$14)</f>
        <v>40000</v>
      </c>
      <c r="R95" s="191"/>
      <c r="S95" s="493"/>
      <c r="T95" s="494"/>
      <c r="U95" s="494"/>
      <c r="V95" s="494"/>
      <c r="W95" s="494"/>
      <c r="X95" s="494"/>
      <c r="Y95" s="494"/>
      <c r="Z95" s="494"/>
      <c r="AA95" s="494"/>
      <c r="AB95" s="494"/>
      <c r="AC95" s="495"/>
      <c r="AD95" s="188"/>
      <c r="AE95" s="30"/>
      <c r="AF95" s="190">
        <f>IF(Roster!$AN$15=0,"",Roster!$AN$15)</f>
        <v>50000</v>
      </c>
      <c r="AG95" s="191"/>
      <c r="AH95" s="493"/>
      <c r="AI95" s="494"/>
      <c r="AJ95" s="494"/>
      <c r="AK95" s="494"/>
      <c r="AL95" s="494"/>
      <c r="AM95" s="494"/>
      <c r="AN95" s="494"/>
      <c r="AO95" s="494"/>
      <c r="AP95" s="494"/>
      <c r="AQ95" s="494"/>
      <c r="AR95" s="495"/>
      <c r="AS95" s="188"/>
      <c r="AT95" s="30"/>
      <c r="AU95" s="190">
        <f>IF(Roster!$AN$16=0,"",Roster!$AN$16)</f>
        <v>50000</v>
      </c>
      <c r="AV95" s="191"/>
      <c r="AW95" s="493"/>
      <c r="AX95" s="494"/>
      <c r="AY95" s="494"/>
      <c r="AZ95" s="494"/>
      <c r="BA95" s="494"/>
      <c r="BB95" s="494"/>
      <c r="BC95" s="494"/>
      <c r="BD95" s="494"/>
      <c r="BE95" s="494"/>
      <c r="BF95" s="494"/>
      <c r="BG95" s="495"/>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85" t="str">
        <f>IF(Roster!$A$17=0,"","#"&amp;Roster!$A$17)</f>
        <v>#16</v>
      </c>
      <c r="C98" s="172"/>
      <c r="D98" s="172"/>
      <c r="E98" s="172"/>
      <c r="F98" s="172"/>
      <c r="G98" s="172"/>
      <c r="H98" s="172"/>
      <c r="I98" s="172"/>
      <c r="J98" s="172"/>
      <c r="K98" s="172"/>
      <c r="L98" s="172"/>
      <c r="M98" s="172"/>
      <c r="N98" s="172"/>
      <c r="O98" s="172"/>
      <c r="P98" s="30"/>
      <c r="Q98" s="496"/>
      <c r="R98" s="172"/>
      <c r="S98" s="172"/>
      <c r="T98" s="172"/>
      <c r="U98" s="172"/>
      <c r="V98" s="172"/>
      <c r="W98" s="172"/>
      <c r="X98" s="172"/>
      <c r="Y98" s="172"/>
      <c r="Z98" s="172"/>
      <c r="AA98" s="172"/>
      <c r="AB98" s="172"/>
      <c r="AC98" s="172"/>
      <c r="AD98" s="172"/>
      <c r="AE98" s="30"/>
      <c r="AF98" s="496"/>
      <c r="AG98" s="172"/>
      <c r="AH98" s="172"/>
      <c r="AI98" s="172"/>
      <c r="AJ98" s="172"/>
      <c r="AK98" s="172"/>
      <c r="AL98" s="172"/>
      <c r="AM98" s="172"/>
      <c r="AN98" s="172"/>
      <c r="AO98" s="172"/>
      <c r="AP98" s="172"/>
      <c r="AQ98" s="172"/>
      <c r="AR98" s="172"/>
      <c r="AS98" s="172"/>
      <c r="AT98" s="30"/>
      <c r="AU98" s="496"/>
      <c r="AV98" s="172"/>
      <c r="AW98" s="172"/>
      <c r="AX98" s="172"/>
      <c r="AY98" s="172"/>
      <c r="AZ98" s="172"/>
      <c r="BA98" s="172"/>
      <c r="BB98" s="172"/>
      <c r="BC98" s="172"/>
      <c r="BD98" s="172"/>
      <c r="BE98" s="172"/>
      <c r="BF98" s="172"/>
      <c r="BG98" s="172"/>
      <c r="BH98" s="172"/>
    </row>
    <row r="99" spans="1:60" ht="15" customHeight="1">
      <c r="A99" s="30"/>
      <c r="B99" s="453"/>
      <c r="C99" s="478" t="str">
        <f>IF(Roster!$B$17=0,"",Roster!$B$17)</f>
        <v/>
      </c>
      <c r="D99" s="439"/>
      <c r="E99" s="439"/>
      <c r="F99" s="439"/>
      <c r="G99" s="439"/>
      <c r="H99" s="439"/>
      <c r="I99" s="439"/>
      <c r="J99" s="439"/>
      <c r="K99" s="439"/>
      <c r="L99" s="439"/>
      <c r="M99" s="439"/>
      <c r="N99" s="440"/>
      <c r="O99" s="172"/>
      <c r="P99" s="30"/>
      <c r="Q99" s="453"/>
      <c r="R99" s="479" t="str">
        <f>IF(Roster!$B$18=0,"","("&amp;Roster!$B$18&amp;")")</f>
        <v>(Star Player &amp; Mercenario)</v>
      </c>
      <c r="S99" s="480"/>
      <c r="T99" s="480"/>
      <c r="U99" s="480"/>
      <c r="V99" s="480"/>
      <c r="W99" s="480"/>
      <c r="X99" s="480"/>
      <c r="Y99" s="480"/>
      <c r="Z99" s="480"/>
      <c r="AA99" s="480"/>
      <c r="AB99" s="480"/>
      <c r="AC99" s="481"/>
      <c r="AD99" s="172"/>
      <c r="AE99" s="30"/>
      <c r="AF99" s="453"/>
      <c r="AG99" s="479" t="str">
        <f>IF(Roster!$B$19=0,"","("&amp;Roster!$B$19&amp;")")</f>
        <v>(Star Player &amp; Mercenario)</v>
      </c>
      <c r="AH99" s="480"/>
      <c r="AI99" s="480"/>
      <c r="AJ99" s="480"/>
      <c r="AK99" s="480"/>
      <c r="AL99" s="480"/>
      <c r="AM99" s="480"/>
      <c r="AN99" s="480"/>
      <c r="AO99" s="480"/>
      <c r="AP99" s="480"/>
      <c r="AQ99" s="480"/>
      <c r="AR99" s="481"/>
      <c r="AS99" s="172"/>
      <c r="AT99" s="30"/>
      <c r="AU99" s="453"/>
      <c r="AV99" s="479" t="str">
        <f>IF(Roster!$B$20=0,"","("&amp;Roster!$B$20&amp;")")</f>
        <v>(Mercenario)</v>
      </c>
      <c r="AW99" s="480"/>
      <c r="AX99" s="480"/>
      <c r="AY99" s="480"/>
      <c r="AZ99" s="480"/>
      <c r="BA99" s="480"/>
      <c r="BB99" s="480"/>
      <c r="BC99" s="480"/>
      <c r="BD99" s="480"/>
      <c r="BE99" s="480"/>
      <c r="BF99" s="480"/>
      <c r="BG99" s="481"/>
      <c r="BH99" s="172"/>
    </row>
    <row r="100" spans="1:60" ht="11.25" customHeight="1">
      <c r="A100" s="30"/>
      <c r="B100" s="454"/>
      <c r="C100" s="484" t="str">
        <f>IF(Roster!$C$17=0,"",Roster!$C$17)</f>
        <v/>
      </c>
      <c r="D100" s="439"/>
      <c r="E100" s="439"/>
      <c r="F100" s="439"/>
      <c r="G100" s="439"/>
      <c r="H100" s="439"/>
      <c r="I100" s="439"/>
      <c r="J100" s="439"/>
      <c r="K100" s="439"/>
      <c r="L100" s="439"/>
      <c r="M100" s="439"/>
      <c r="N100" s="440"/>
      <c r="O100" s="173"/>
      <c r="P100" s="30"/>
      <c r="Q100" s="454"/>
      <c r="R100" s="498" t="str">
        <f>IF(Roster!$C$18=0,"",Roster!$C$18)</f>
        <v/>
      </c>
      <c r="S100" s="498"/>
      <c r="T100" s="498"/>
      <c r="U100" s="498"/>
      <c r="V100" s="498"/>
      <c r="W100" s="498"/>
      <c r="X100" s="498"/>
      <c r="Y100" s="498"/>
      <c r="Z100" s="498"/>
      <c r="AA100" s="498"/>
      <c r="AB100" s="498"/>
      <c r="AC100" s="498"/>
      <c r="AD100" s="173"/>
      <c r="AE100" s="30"/>
      <c r="AF100" s="454"/>
      <c r="AG100" s="482" t="str">
        <f>IF(Roster!$C$19=0,"",Roster!$C$19)</f>
        <v/>
      </c>
      <c r="AH100" s="482"/>
      <c r="AI100" s="482"/>
      <c r="AJ100" s="482"/>
      <c r="AK100" s="482"/>
      <c r="AL100" s="482"/>
      <c r="AM100" s="482"/>
      <c r="AN100" s="482"/>
      <c r="AO100" s="482"/>
      <c r="AP100" s="482"/>
      <c r="AQ100" s="482"/>
      <c r="AR100" s="482"/>
      <c r="AS100" s="173"/>
      <c r="AT100" s="30"/>
      <c r="AU100" s="454"/>
      <c r="AV100" s="482" t="str">
        <f>IF(Roster!$C$20=0,"",Roster!$C$20)</f>
        <v/>
      </c>
      <c r="AW100" s="482"/>
      <c r="AX100" s="482"/>
      <c r="AY100" s="482"/>
      <c r="AZ100" s="482"/>
      <c r="BA100" s="482"/>
      <c r="BB100" s="482"/>
      <c r="BC100" s="482"/>
      <c r="BD100" s="482"/>
      <c r="BE100" s="482"/>
      <c r="BF100" s="482"/>
      <c r="BG100" s="482"/>
      <c r="BH100" s="173"/>
    </row>
    <row r="101" spans="1:60" ht="11.25" customHeight="1">
      <c r="A101" s="30"/>
      <c r="B101" s="176" t="str">
        <f>IF(Roster!$J$1=0,"",Roster!$J$1)</f>
        <v>MA</v>
      </c>
      <c r="C101" s="175"/>
      <c r="D101" s="497"/>
      <c r="E101" s="497"/>
      <c r="F101" s="497"/>
      <c r="G101" s="497"/>
      <c r="H101" s="497"/>
      <c r="I101" s="497"/>
      <c r="J101" s="497"/>
      <c r="K101" s="497"/>
      <c r="L101" s="497"/>
      <c r="M101" s="497"/>
      <c r="N101" s="497"/>
      <c r="O101" s="172"/>
      <c r="P101" s="30"/>
      <c r="Q101" s="176" t="str">
        <f>IF(Roster!$J$1=0,"",Roster!$J$1)</f>
        <v>MA</v>
      </c>
      <c r="R101" s="498"/>
      <c r="S101" s="498"/>
      <c r="T101" s="498"/>
      <c r="U101" s="498"/>
      <c r="V101" s="498"/>
      <c r="W101" s="498"/>
      <c r="X101" s="498"/>
      <c r="Y101" s="498"/>
      <c r="Z101" s="498"/>
      <c r="AA101" s="498"/>
      <c r="AB101" s="498"/>
      <c r="AC101" s="498"/>
      <c r="AD101" s="172"/>
      <c r="AE101" s="30"/>
      <c r="AF101" s="176" t="str">
        <f>IF(Roster!$J$1=0,"",Roster!$J$1)</f>
        <v>MA</v>
      </c>
      <c r="AG101" s="482"/>
      <c r="AH101" s="482"/>
      <c r="AI101" s="482"/>
      <c r="AJ101" s="482"/>
      <c r="AK101" s="482"/>
      <c r="AL101" s="482"/>
      <c r="AM101" s="482"/>
      <c r="AN101" s="482"/>
      <c r="AO101" s="482"/>
      <c r="AP101" s="482"/>
      <c r="AQ101" s="482"/>
      <c r="AR101" s="482"/>
      <c r="AS101" s="172"/>
      <c r="AT101" s="30"/>
      <c r="AU101" s="176" t="str">
        <f>IF(Roster!$J$1=0,"",Roster!$J$1)</f>
        <v>MA</v>
      </c>
      <c r="AV101" s="482"/>
      <c r="AW101" s="482"/>
      <c r="AX101" s="482"/>
      <c r="AY101" s="482"/>
      <c r="AZ101" s="482"/>
      <c r="BA101" s="482"/>
      <c r="BB101" s="482"/>
      <c r="BC101" s="482"/>
      <c r="BD101" s="482"/>
      <c r="BE101" s="482"/>
      <c r="BF101" s="482"/>
      <c r="BG101" s="482"/>
      <c r="BH101" s="172"/>
    </row>
    <row r="102" spans="1:60" ht="37.5" customHeight="1">
      <c r="A102" s="30"/>
      <c r="B102" s="178" t="str">
        <f>IF(Roster!$J$17=0,"",Roster!$J$17)</f>
        <v/>
      </c>
      <c r="C102" s="175"/>
      <c r="D102" s="497"/>
      <c r="E102" s="497"/>
      <c r="F102" s="497"/>
      <c r="G102" s="497"/>
      <c r="H102" s="497"/>
      <c r="I102" s="497"/>
      <c r="J102" s="497"/>
      <c r="K102" s="497"/>
      <c r="L102" s="497"/>
      <c r="M102" s="497"/>
      <c r="N102" s="497"/>
      <c r="O102" s="172"/>
      <c r="P102" s="30"/>
      <c r="Q102" s="178" t="str">
        <f>IF(Roster!$J$18=0,"",Roster!$J$18)</f>
        <v/>
      </c>
      <c r="R102" s="498"/>
      <c r="S102" s="498"/>
      <c r="T102" s="498"/>
      <c r="U102" s="498"/>
      <c r="V102" s="498"/>
      <c r="W102" s="498"/>
      <c r="X102" s="498"/>
      <c r="Y102" s="498"/>
      <c r="Z102" s="498"/>
      <c r="AA102" s="498"/>
      <c r="AB102" s="498"/>
      <c r="AC102" s="498"/>
      <c r="AD102" s="172"/>
      <c r="AE102" s="30"/>
      <c r="AF102" s="178" t="str">
        <f>IF(Roster!$J$19=0,"",Roster!$J$19)</f>
        <v/>
      </c>
      <c r="AG102" s="482"/>
      <c r="AH102" s="482"/>
      <c r="AI102" s="482"/>
      <c r="AJ102" s="482"/>
      <c r="AK102" s="482"/>
      <c r="AL102" s="482"/>
      <c r="AM102" s="482"/>
      <c r="AN102" s="482"/>
      <c r="AO102" s="482"/>
      <c r="AP102" s="482"/>
      <c r="AQ102" s="482"/>
      <c r="AR102" s="482"/>
      <c r="AS102" s="172"/>
      <c r="AT102" s="30"/>
      <c r="AU102" s="178" t="str">
        <f>IF(Roster!$J$20=0,"",Roster!$J$20)</f>
        <v/>
      </c>
      <c r="AV102" s="482"/>
      <c r="AW102" s="482"/>
      <c r="AX102" s="482"/>
      <c r="AY102" s="482"/>
      <c r="AZ102" s="482"/>
      <c r="BA102" s="482"/>
      <c r="BB102" s="482"/>
      <c r="BC102" s="482"/>
      <c r="BD102" s="482"/>
      <c r="BE102" s="482"/>
      <c r="BF102" s="482"/>
      <c r="BG102" s="482"/>
      <c r="BH102" s="172"/>
    </row>
    <row r="103" spans="1:60" ht="11.25" customHeight="1">
      <c r="A103" s="30"/>
      <c r="B103" s="176" t="str">
        <f>IF(Roster!$K$1=0,"",Roster!$K$1)</f>
        <v>ST</v>
      </c>
      <c r="C103" s="175"/>
      <c r="D103" s="497"/>
      <c r="E103" s="497"/>
      <c r="F103" s="497"/>
      <c r="G103" s="497"/>
      <c r="H103" s="497"/>
      <c r="I103" s="497"/>
      <c r="J103" s="497"/>
      <c r="K103" s="497"/>
      <c r="L103" s="497"/>
      <c r="M103" s="497"/>
      <c r="N103" s="497"/>
      <c r="O103" s="172"/>
      <c r="P103" s="30"/>
      <c r="Q103" s="176" t="str">
        <f>IF(Roster!$K$1=0,"",Roster!$K$1)</f>
        <v>ST</v>
      </c>
      <c r="R103" s="176"/>
      <c r="S103" s="483" t="str">
        <f>IF(Roster!$J$25="Italiano","REGOLE SPECIALI",(IF(Roster!$J$25="Español","REGLA ESPECIAL","SPECIAL RULE")))</f>
        <v>REGOLE SPECIALI</v>
      </c>
      <c r="T103" s="439"/>
      <c r="U103" s="439"/>
      <c r="V103" s="439"/>
      <c r="W103" s="439"/>
      <c r="X103" s="439"/>
      <c r="Y103" s="439"/>
      <c r="Z103" s="439"/>
      <c r="AA103" s="439"/>
      <c r="AB103" s="439"/>
      <c r="AC103" s="440"/>
      <c r="AD103" s="172"/>
      <c r="AE103" s="30"/>
      <c r="AF103" s="176" t="str">
        <f>IF(Roster!$K$1=0,"",Roster!$K$1)</f>
        <v>ST</v>
      </c>
      <c r="AG103" s="221"/>
      <c r="AH103" s="483" t="str">
        <f>IF(Roster!$J$25="Italiano","REGOLE SPECIALI",(IF(Roster!$J$25="Español","REGLA ESPECIAL","SPECIAL RULE")))</f>
        <v>REGOLE SPECIALI</v>
      </c>
      <c r="AI103" s="439"/>
      <c r="AJ103" s="439"/>
      <c r="AK103" s="439"/>
      <c r="AL103" s="439"/>
      <c r="AM103" s="439"/>
      <c r="AN103" s="439"/>
      <c r="AO103" s="439"/>
      <c r="AP103" s="439"/>
      <c r="AQ103" s="439"/>
      <c r="AR103" s="440"/>
      <c r="AS103" s="172"/>
      <c r="AT103" s="30"/>
      <c r="AU103" s="176" t="str">
        <f>IF(Roster!$K$1=0,"",Roster!$K$1)</f>
        <v>ST</v>
      </c>
      <c r="AV103" s="221"/>
      <c r="AW103" s="483" t="str">
        <f>IF(Roster!$J$25="Italiano","REGOLE SPECIALI",(IF(Roster!$J$25="Español","REGLA ESPECIAL","SPECIAL RULE")))</f>
        <v>REGOLE SPECIALI</v>
      </c>
      <c r="AX103" s="439"/>
      <c r="AY103" s="439"/>
      <c r="AZ103" s="439"/>
      <c r="BA103" s="439"/>
      <c r="BB103" s="439"/>
      <c r="BC103" s="439"/>
      <c r="BD103" s="439"/>
      <c r="BE103" s="439"/>
      <c r="BF103" s="439"/>
      <c r="BG103" s="440"/>
      <c r="BH103" s="172"/>
    </row>
    <row r="104" spans="1:60" ht="37.5" customHeight="1">
      <c r="A104" s="30"/>
      <c r="B104" s="178" t="str">
        <f>IF(Roster!$K$17=0,"",Roster!$K$17)</f>
        <v/>
      </c>
      <c r="C104" s="175"/>
      <c r="D104" s="497"/>
      <c r="E104" s="497"/>
      <c r="F104" s="497"/>
      <c r="G104" s="497"/>
      <c r="H104" s="497"/>
      <c r="I104" s="497"/>
      <c r="J104" s="497"/>
      <c r="K104" s="497"/>
      <c r="L104" s="497"/>
      <c r="M104" s="497"/>
      <c r="N104" s="497"/>
      <c r="O104" s="172"/>
      <c r="P104" s="30"/>
      <c r="Q104" s="178" t="str">
        <f>IF(Roster!$K$18=0,"",Roster!$K$18)</f>
        <v/>
      </c>
      <c r="R104" s="176"/>
      <c r="S104" s="500" t="str">
        <f>IF(Roster!$Z$18=0,"",Roster!$Z$18)</f>
        <v/>
      </c>
      <c r="T104" s="500"/>
      <c r="U104" s="500"/>
      <c r="V104" s="500"/>
      <c r="W104" s="500"/>
      <c r="X104" s="500"/>
      <c r="Y104" s="500"/>
      <c r="Z104" s="500"/>
      <c r="AA104" s="500"/>
      <c r="AB104" s="500"/>
      <c r="AC104" s="500"/>
      <c r="AD104" s="172"/>
      <c r="AE104" s="30"/>
      <c r="AF104" s="178" t="str">
        <f>IF(Roster!$K$19=0,"",Roster!$K$19)</f>
        <v/>
      </c>
      <c r="AG104" s="221"/>
      <c r="AH104" s="500" t="str">
        <f>IF(Roster!$Z$19=0,"",Roster!$Z$19)</f>
        <v/>
      </c>
      <c r="AI104" s="500"/>
      <c r="AJ104" s="500"/>
      <c r="AK104" s="500"/>
      <c r="AL104" s="500"/>
      <c r="AM104" s="500"/>
      <c r="AN104" s="500"/>
      <c r="AO104" s="500"/>
      <c r="AP104" s="500"/>
      <c r="AQ104" s="500"/>
      <c r="AR104" s="500"/>
      <c r="AS104" s="172"/>
      <c r="AT104" s="30"/>
      <c r="AU104" s="178" t="str">
        <f>IF(Roster!$K$20=0,"",Roster!$K$20)</f>
        <v/>
      </c>
      <c r="AV104" s="221"/>
      <c r="AW104" s="500" t="str">
        <f>IF(Roster!$Z$20=0,"",Roster!$Z$20)</f>
        <v/>
      </c>
      <c r="AX104" s="500"/>
      <c r="AY104" s="500"/>
      <c r="AZ104" s="500"/>
      <c r="BA104" s="500"/>
      <c r="BB104" s="500"/>
      <c r="BC104" s="500"/>
      <c r="BD104" s="500"/>
      <c r="BE104" s="500"/>
      <c r="BF104" s="500"/>
      <c r="BG104" s="500"/>
      <c r="BH104" s="172"/>
    </row>
    <row r="105" spans="1:60" ht="11.25" customHeight="1">
      <c r="A105" s="30"/>
      <c r="B105" s="176" t="str">
        <f>IF(Roster!$L$1=0,"",Roster!$L$1)</f>
        <v>AG</v>
      </c>
      <c r="C105" s="175"/>
      <c r="D105" s="497"/>
      <c r="E105" s="497"/>
      <c r="F105" s="497"/>
      <c r="G105" s="497"/>
      <c r="H105" s="497"/>
      <c r="I105" s="497"/>
      <c r="J105" s="497"/>
      <c r="K105" s="497"/>
      <c r="L105" s="497"/>
      <c r="M105" s="497"/>
      <c r="N105" s="497"/>
      <c r="O105" s="172"/>
      <c r="P105" s="30"/>
      <c r="Q105" s="176" t="str">
        <f>IF(Roster!$L$1=0,"",Roster!$L$1)</f>
        <v>AG</v>
      </c>
      <c r="R105" s="176"/>
      <c r="S105" s="500"/>
      <c r="T105" s="500"/>
      <c r="U105" s="500"/>
      <c r="V105" s="500"/>
      <c r="W105" s="500"/>
      <c r="X105" s="500"/>
      <c r="Y105" s="500"/>
      <c r="Z105" s="500"/>
      <c r="AA105" s="500"/>
      <c r="AB105" s="500"/>
      <c r="AC105" s="500"/>
      <c r="AD105" s="172"/>
      <c r="AE105" s="30"/>
      <c r="AF105" s="176" t="str">
        <f>IF(Roster!$L$1=0,"",Roster!$L$1)</f>
        <v>AG</v>
      </c>
      <c r="AG105" s="221"/>
      <c r="AH105" s="500"/>
      <c r="AI105" s="500"/>
      <c r="AJ105" s="500"/>
      <c r="AK105" s="500"/>
      <c r="AL105" s="500"/>
      <c r="AM105" s="500"/>
      <c r="AN105" s="500"/>
      <c r="AO105" s="500"/>
      <c r="AP105" s="500"/>
      <c r="AQ105" s="500"/>
      <c r="AR105" s="500"/>
      <c r="AS105" s="172"/>
      <c r="AT105" s="30"/>
      <c r="AU105" s="176" t="str">
        <f>IF(Roster!$L$1=0,"",Roster!$L$1)</f>
        <v>AG</v>
      </c>
      <c r="AV105" s="221"/>
      <c r="AW105" s="500"/>
      <c r="AX105" s="500"/>
      <c r="AY105" s="500"/>
      <c r="AZ105" s="500"/>
      <c r="BA105" s="500"/>
      <c r="BB105" s="500"/>
      <c r="BC105" s="500"/>
      <c r="BD105" s="500"/>
      <c r="BE105" s="500"/>
      <c r="BF105" s="500"/>
      <c r="BG105" s="500"/>
      <c r="BH105" s="172"/>
    </row>
    <row r="106" spans="1:60" ht="37.5" customHeight="1">
      <c r="A106" s="30"/>
      <c r="B106" s="178" t="str">
        <f>IF(Roster!$L$17=0&amp;"+","",Roster!$L$17)</f>
        <v/>
      </c>
      <c r="C106" s="175"/>
      <c r="D106" s="497"/>
      <c r="E106" s="497"/>
      <c r="F106" s="497"/>
      <c r="G106" s="497"/>
      <c r="H106" s="497"/>
      <c r="I106" s="497"/>
      <c r="J106" s="497"/>
      <c r="K106" s="497"/>
      <c r="L106" s="497"/>
      <c r="M106" s="497"/>
      <c r="N106" s="497"/>
      <c r="O106" s="172"/>
      <c r="P106" s="30"/>
      <c r="Q106" s="178" t="str">
        <f>IF(Roster!$L$18=0,"",Roster!$L$18)</f>
        <v/>
      </c>
      <c r="R106" s="176"/>
      <c r="S106" s="500"/>
      <c r="T106" s="500"/>
      <c r="U106" s="500"/>
      <c r="V106" s="500"/>
      <c r="W106" s="500"/>
      <c r="X106" s="500"/>
      <c r="Y106" s="500"/>
      <c r="Z106" s="500"/>
      <c r="AA106" s="500"/>
      <c r="AB106" s="500"/>
      <c r="AC106" s="500"/>
      <c r="AD106" s="172"/>
      <c r="AE106" s="30"/>
      <c r="AF106" s="178" t="str">
        <f>IF(Roster!$L$19=0,"",Roster!$L$19)</f>
        <v/>
      </c>
      <c r="AG106" s="221"/>
      <c r="AH106" s="500"/>
      <c r="AI106" s="500"/>
      <c r="AJ106" s="500"/>
      <c r="AK106" s="500"/>
      <c r="AL106" s="500"/>
      <c r="AM106" s="500"/>
      <c r="AN106" s="500"/>
      <c r="AO106" s="500"/>
      <c r="AP106" s="500"/>
      <c r="AQ106" s="500"/>
      <c r="AR106" s="500"/>
      <c r="AS106" s="172"/>
      <c r="AT106" s="30"/>
      <c r="AU106" s="178" t="str">
        <f>IF(Roster!$L$20=0,"",Roster!$L$20)</f>
        <v/>
      </c>
      <c r="AV106" s="221"/>
      <c r="AW106" s="500"/>
      <c r="AX106" s="500"/>
      <c r="AY106" s="500"/>
      <c r="AZ106" s="500"/>
      <c r="BA106" s="500"/>
      <c r="BB106" s="500"/>
      <c r="BC106" s="500"/>
      <c r="BD106" s="500"/>
      <c r="BE106" s="500"/>
      <c r="BF106" s="500"/>
      <c r="BG106" s="500"/>
      <c r="BH106" s="172"/>
    </row>
    <row r="107" spans="1:60" ht="11.25" customHeight="1">
      <c r="A107" s="30"/>
      <c r="B107" s="176" t="str">
        <f>IF(Roster!$M$1=0,"",Roster!$M$1)</f>
        <v>PA</v>
      </c>
      <c r="C107" s="175"/>
      <c r="D107" s="497"/>
      <c r="E107" s="497"/>
      <c r="F107" s="497"/>
      <c r="G107" s="497"/>
      <c r="H107" s="497"/>
      <c r="I107" s="497"/>
      <c r="J107" s="497"/>
      <c r="K107" s="497"/>
      <c r="L107" s="497"/>
      <c r="M107" s="497"/>
      <c r="N107" s="497"/>
      <c r="O107" s="181"/>
      <c r="P107" s="30"/>
      <c r="Q107" s="176" t="str">
        <f>IF(Roster!$M$1=0,"",Roster!$M$1)</f>
        <v>PA</v>
      </c>
      <c r="R107" s="176"/>
      <c r="S107" s="500"/>
      <c r="T107" s="500"/>
      <c r="U107" s="500"/>
      <c r="V107" s="500"/>
      <c r="W107" s="500"/>
      <c r="X107" s="500"/>
      <c r="Y107" s="500"/>
      <c r="Z107" s="500"/>
      <c r="AA107" s="500"/>
      <c r="AB107" s="500"/>
      <c r="AC107" s="500"/>
      <c r="AD107" s="181"/>
      <c r="AE107" s="30"/>
      <c r="AF107" s="176" t="str">
        <f>IF(Roster!$M$1=0,"",Roster!$M$1)</f>
        <v>PA</v>
      </c>
      <c r="AG107" s="221"/>
      <c r="AH107" s="500"/>
      <c r="AI107" s="500"/>
      <c r="AJ107" s="500"/>
      <c r="AK107" s="500"/>
      <c r="AL107" s="500"/>
      <c r="AM107" s="500"/>
      <c r="AN107" s="500"/>
      <c r="AO107" s="500"/>
      <c r="AP107" s="500"/>
      <c r="AQ107" s="500"/>
      <c r="AR107" s="500"/>
      <c r="AS107" s="181"/>
      <c r="AT107" s="30"/>
      <c r="AU107" s="176" t="str">
        <f>IF(Roster!$M$1=0,"",Roster!$M$1)</f>
        <v>PA</v>
      </c>
      <c r="AV107" s="221"/>
      <c r="AW107" s="500"/>
      <c r="AX107" s="500"/>
      <c r="AY107" s="500"/>
      <c r="AZ107" s="500"/>
      <c r="BA107" s="500"/>
      <c r="BB107" s="500"/>
      <c r="BC107" s="500"/>
      <c r="BD107" s="500"/>
      <c r="BE107" s="500"/>
      <c r="BF107" s="500"/>
      <c r="BG107" s="500"/>
      <c r="BH107" s="181"/>
    </row>
    <row r="108" spans="1:60" ht="6" customHeight="1">
      <c r="A108" s="30"/>
      <c r="B108" s="486" t="str">
        <f>IF(Roster!$M$17=0&amp;"+","",Roster!$M$17)</f>
        <v/>
      </c>
      <c r="C108" s="175"/>
      <c r="D108" s="497"/>
      <c r="E108" s="497"/>
      <c r="F108" s="497"/>
      <c r="G108" s="497"/>
      <c r="H108" s="497"/>
      <c r="I108" s="497"/>
      <c r="J108" s="497"/>
      <c r="K108" s="497"/>
      <c r="L108" s="497"/>
      <c r="M108" s="497"/>
      <c r="N108" s="497"/>
      <c r="O108" s="183"/>
      <c r="P108" s="30"/>
      <c r="Q108" s="486" t="str">
        <f>IF(Roster!$M$18=0,"",Roster!$M$18)</f>
        <v/>
      </c>
      <c r="R108" s="176"/>
      <c r="S108" s="500"/>
      <c r="T108" s="500"/>
      <c r="U108" s="500"/>
      <c r="V108" s="500"/>
      <c r="W108" s="500"/>
      <c r="X108" s="500"/>
      <c r="Y108" s="500"/>
      <c r="Z108" s="500"/>
      <c r="AA108" s="500"/>
      <c r="AB108" s="500"/>
      <c r="AC108" s="500"/>
      <c r="AD108" s="183"/>
      <c r="AE108" s="30"/>
      <c r="AF108" s="486" t="str">
        <f>IF(Roster!$M$19=0,"",Roster!$M$19)</f>
        <v/>
      </c>
      <c r="AG108" s="222"/>
      <c r="AH108" s="500"/>
      <c r="AI108" s="500"/>
      <c r="AJ108" s="500"/>
      <c r="AK108" s="500"/>
      <c r="AL108" s="500"/>
      <c r="AM108" s="500"/>
      <c r="AN108" s="500"/>
      <c r="AO108" s="500"/>
      <c r="AP108" s="500"/>
      <c r="AQ108" s="500"/>
      <c r="AR108" s="500"/>
      <c r="AS108" s="183"/>
      <c r="AT108" s="30"/>
      <c r="AU108" s="486" t="str">
        <f>IF(Roster!$M$20=0,"",Roster!$M$20)</f>
        <v/>
      </c>
      <c r="AV108" s="222"/>
      <c r="AW108" s="500"/>
      <c r="AX108" s="500"/>
      <c r="AY108" s="500"/>
      <c r="AZ108" s="500"/>
      <c r="BA108" s="500"/>
      <c r="BB108" s="500"/>
      <c r="BC108" s="500"/>
      <c r="BD108" s="500"/>
      <c r="BE108" s="500"/>
      <c r="BF108" s="500"/>
      <c r="BG108" s="500"/>
      <c r="BH108" s="183"/>
    </row>
    <row r="109" spans="1:60" ht="4.5" customHeight="1">
      <c r="A109" s="30"/>
      <c r="B109" s="453"/>
      <c r="C109" s="175"/>
      <c r="D109" s="172"/>
      <c r="E109" s="182"/>
      <c r="F109" s="172"/>
      <c r="G109" s="182"/>
      <c r="H109" s="172"/>
      <c r="I109" s="182"/>
      <c r="J109" s="172"/>
      <c r="K109" s="182"/>
      <c r="L109" s="172"/>
      <c r="M109" s="182"/>
      <c r="N109" s="172"/>
      <c r="O109" s="183"/>
      <c r="P109" s="30"/>
      <c r="Q109" s="453"/>
      <c r="R109" s="176"/>
      <c r="S109" s="500"/>
      <c r="T109" s="500"/>
      <c r="U109" s="500"/>
      <c r="V109" s="500"/>
      <c r="W109" s="500"/>
      <c r="X109" s="500"/>
      <c r="Y109" s="500"/>
      <c r="Z109" s="500"/>
      <c r="AA109" s="500"/>
      <c r="AB109" s="500"/>
      <c r="AC109" s="500"/>
      <c r="AD109" s="183"/>
      <c r="AE109" s="30"/>
      <c r="AF109" s="453"/>
      <c r="AG109" s="217"/>
      <c r="AH109" s="500"/>
      <c r="AI109" s="500"/>
      <c r="AJ109" s="500"/>
      <c r="AK109" s="500"/>
      <c r="AL109" s="500"/>
      <c r="AM109" s="500"/>
      <c r="AN109" s="500"/>
      <c r="AO109" s="500"/>
      <c r="AP109" s="500"/>
      <c r="AQ109" s="500"/>
      <c r="AR109" s="500"/>
      <c r="AS109" s="183"/>
      <c r="AT109" s="30"/>
      <c r="AU109" s="453"/>
      <c r="AV109" s="217"/>
      <c r="AW109" s="500"/>
      <c r="AX109" s="500"/>
      <c r="AY109" s="500"/>
      <c r="AZ109" s="500"/>
      <c r="BA109" s="500"/>
      <c r="BB109" s="500"/>
      <c r="BC109" s="500"/>
      <c r="BD109" s="500"/>
      <c r="BE109" s="500"/>
      <c r="BF109" s="500"/>
      <c r="BG109" s="500"/>
      <c r="BH109" s="183"/>
    </row>
    <row r="110" spans="1:60" ht="11.25" customHeight="1">
      <c r="A110" s="30"/>
      <c r="B110" s="453"/>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53"/>
      <c r="R110" s="176"/>
      <c r="S110" s="500"/>
      <c r="T110" s="500"/>
      <c r="U110" s="500"/>
      <c r="V110" s="500"/>
      <c r="W110" s="500"/>
      <c r="X110" s="500"/>
      <c r="Y110" s="500"/>
      <c r="Z110" s="500"/>
      <c r="AA110" s="500"/>
      <c r="AB110" s="500"/>
      <c r="AC110" s="500"/>
      <c r="AD110" s="183"/>
      <c r="AE110" s="30"/>
      <c r="AF110" s="453"/>
      <c r="AG110" s="217"/>
      <c r="AH110" s="500"/>
      <c r="AI110" s="500"/>
      <c r="AJ110" s="500"/>
      <c r="AK110" s="500"/>
      <c r="AL110" s="500"/>
      <c r="AM110" s="500"/>
      <c r="AN110" s="500"/>
      <c r="AO110" s="500"/>
      <c r="AP110" s="500"/>
      <c r="AQ110" s="500"/>
      <c r="AR110" s="500"/>
      <c r="AS110" s="183"/>
      <c r="AT110" s="30"/>
      <c r="AU110" s="453"/>
      <c r="AV110" s="217"/>
      <c r="AW110" s="500"/>
      <c r="AX110" s="500"/>
      <c r="AY110" s="500"/>
      <c r="AZ110" s="500"/>
      <c r="BA110" s="500"/>
      <c r="BB110" s="500"/>
      <c r="BC110" s="500"/>
      <c r="BD110" s="500"/>
      <c r="BE110" s="500"/>
      <c r="BF110" s="500"/>
      <c r="BG110" s="500"/>
      <c r="BH110" s="183"/>
    </row>
    <row r="111" spans="1:60" ht="15" customHeight="1">
      <c r="A111" s="30"/>
      <c r="B111" s="453"/>
      <c r="C111" s="177"/>
      <c r="D111" s="185" t="str">
        <f>IF(Roster!$AC$17=0,"",Roster!$AC$17)</f>
        <v/>
      </c>
      <c r="E111" s="177"/>
      <c r="F111" s="185" t="str">
        <f>IF((SUM(H111,J111,L111))=0,"",(SUM(H111,J111,L111)))</f>
        <v/>
      </c>
      <c r="G111" s="177"/>
      <c r="H111" s="185" t="str">
        <f>IF(Roster!$AF$17=0,"",Roster!$AF$17)</f>
        <v/>
      </c>
      <c r="I111" s="177"/>
      <c r="J111" s="185" t="str">
        <f>IF(Roster!$AG$17=0,"",Roster!$AG$17)</f>
        <v/>
      </c>
      <c r="K111" s="177"/>
      <c r="L111" s="185" t="str">
        <f>IF(Roster!$AH$17=0,"",Roster!$AH$17)</f>
        <v/>
      </c>
      <c r="M111" s="177"/>
      <c r="N111" s="185" t="str">
        <f>IF(Roster!$AB$17=0,"",Roster!$AB$17)</f>
        <v/>
      </c>
      <c r="O111" s="183"/>
      <c r="P111" s="30"/>
      <c r="Q111" s="453"/>
      <c r="R111" s="176"/>
      <c r="S111" s="500"/>
      <c r="T111" s="500"/>
      <c r="U111" s="500"/>
      <c r="V111" s="500"/>
      <c r="W111" s="500"/>
      <c r="X111" s="500"/>
      <c r="Y111" s="500"/>
      <c r="Z111" s="500"/>
      <c r="AA111" s="500"/>
      <c r="AB111" s="500"/>
      <c r="AC111" s="500"/>
      <c r="AD111" s="183"/>
      <c r="AE111" s="30"/>
      <c r="AF111" s="453"/>
      <c r="AG111" s="218"/>
      <c r="AH111" s="500"/>
      <c r="AI111" s="500"/>
      <c r="AJ111" s="500"/>
      <c r="AK111" s="500"/>
      <c r="AL111" s="500"/>
      <c r="AM111" s="500"/>
      <c r="AN111" s="500"/>
      <c r="AO111" s="500"/>
      <c r="AP111" s="500"/>
      <c r="AQ111" s="500"/>
      <c r="AR111" s="500"/>
      <c r="AS111" s="183"/>
      <c r="AT111" s="30"/>
      <c r="AU111" s="453"/>
      <c r="AV111" s="218"/>
      <c r="AW111" s="500"/>
      <c r="AX111" s="500"/>
      <c r="AY111" s="500"/>
      <c r="AZ111" s="500"/>
      <c r="BA111" s="500"/>
      <c r="BB111" s="500"/>
      <c r="BC111" s="500"/>
      <c r="BD111" s="500"/>
      <c r="BE111" s="500"/>
      <c r="BF111" s="500"/>
      <c r="BG111" s="500"/>
      <c r="BH111" s="183"/>
    </row>
    <row r="112" spans="1:60" ht="4.5" customHeight="1">
      <c r="A112" s="30"/>
      <c r="B112" s="454"/>
      <c r="C112" s="177"/>
      <c r="D112" s="186"/>
      <c r="E112" s="177"/>
      <c r="F112" s="186"/>
      <c r="G112" s="177"/>
      <c r="H112" s="186"/>
      <c r="I112" s="177"/>
      <c r="J112" s="186"/>
      <c r="K112" s="177"/>
      <c r="L112" s="186"/>
      <c r="M112" s="177"/>
      <c r="N112" s="186"/>
      <c r="O112" s="183"/>
      <c r="P112" s="30"/>
      <c r="Q112" s="454"/>
      <c r="R112" s="177"/>
      <c r="S112" s="191"/>
      <c r="T112" s="191"/>
      <c r="U112" s="191"/>
      <c r="V112" s="191"/>
      <c r="W112" s="191"/>
      <c r="X112" s="191"/>
      <c r="Y112" s="191"/>
      <c r="Z112" s="191"/>
      <c r="AA112" s="191"/>
      <c r="AB112" s="191"/>
      <c r="AC112" s="172"/>
      <c r="AD112" s="183"/>
      <c r="AE112" s="30"/>
      <c r="AF112" s="454"/>
      <c r="AG112" s="217"/>
      <c r="AH112" s="191"/>
      <c r="AI112" s="191"/>
      <c r="AJ112" s="191"/>
      <c r="AK112" s="191"/>
      <c r="AL112" s="191"/>
      <c r="AM112" s="191"/>
      <c r="AN112" s="191"/>
      <c r="AO112" s="191"/>
      <c r="AP112" s="191"/>
      <c r="AQ112" s="191"/>
      <c r="AR112" s="172"/>
      <c r="AS112" s="183"/>
      <c r="AT112" s="30"/>
      <c r="AU112" s="454"/>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83" t="str">
        <f>IF(Roster!$J$25="Italiano","ABILITÀ &amp; TRATTI",(IF(Roster!$J$25="Español","HABILIDADES Y RASGOS","SKILLS &amp; TRAITS")))</f>
        <v>ABILITÀ &amp; TRATTI</v>
      </c>
      <c r="T113" s="439"/>
      <c r="U113" s="439"/>
      <c r="V113" s="439"/>
      <c r="W113" s="439"/>
      <c r="X113" s="439"/>
      <c r="Y113" s="439"/>
      <c r="Z113" s="439"/>
      <c r="AA113" s="439"/>
      <c r="AB113" s="439"/>
      <c r="AC113" s="440"/>
      <c r="AD113" s="172"/>
      <c r="AE113" s="30"/>
      <c r="AF113" s="176" t="str">
        <f>IF(Roster!$N$1=0,"",Roster!$N$1)</f>
        <v>AV</v>
      </c>
      <c r="AG113" s="217"/>
      <c r="AH113" s="483" t="str">
        <f>IF(Roster!$J$25="Italiano","ABILITÀ &amp; TRATTI",(IF(Roster!$J$25="Español","HABILIDADES Y RASGOS","SKILLS &amp; TRAITS")))</f>
        <v>ABILITÀ &amp; TRATTI</v>
      </c>
      <c r="AI113" s="439"/>
      <c r="AJ113" s="439"/>
      <c r="AK113" s="439"/>
      <c r="AL113" s="439"/>
      <c r="AM113" s="439"/>
      <c r="AN113" s="439"/>
      <c r="AO113" s="439"/>
      <c r="AP113" s="439"/>
      <c r="AQ113" s="439"/>
      <c r="AR113" s="440"/>
      <c r="AS113" s="172"/>
      <c r="AT113" s="30"/>
      <c r="AU113" s="176" t="str">
        <f>IF(Roster!$N$1=0,"",Roster!$N$1)</f>
        <v>AV</v>
      </c>
      <c r="AV113" s="217"/>
      <c r="AW113" s="483" t="str">
        <f>IF(Roster!$J$25="Italiano","ABILITÀ &amp; TRATTI",(IF(Roster!$J$25="Español","HABILIDADES Y RASGOS","SKILLS &amp; TRAITS")))</f>
        <v>ABILITÀ &amp; TRATTI</v>
      </c>
      <c r="AX113" s="439"/>
      <c r="AY113" s="439"/>
      <c r="AZ113" s="439"/>
      <c r="BA113" s="439"/>
      <c r="BB113" s="439"/>
      <c r="BC113" s="439"/>
      <c r="BD113" s="439"/>
      <c r="BE113" s="439"/>
      <c r="BF113" s="439"/>
      <c r="BG113" s="440"/>
      <c r="BH113" s="172"/>
    </row>
    <row r="114" spans="1:60" ht="15" customHeight="1">
      <c r="A114" s="30"/>
      <c r="B114" s="486" t="str">
        <f>IF(Roster!$N$17=0&amp;"+","",Roster!$N$17)</f>
        <v/>
      </c>
      <c r="C114" s="177"/>
      <c r="D114" s="185" t="str">
        <f>IF(Roster!$AD$17=0,"",Roster!$AD$17)</f>
        <v/>
      </c>
      <c r="E114" s="177"/>
      <c r="F114" s="185" t="str">
        <f>IF(Roster!$AE$17=0,"",Roster!$AE$17)</f>
        <v/>
      </c>
      <c r="G114" s="177"/>
      <c r="H114" s="185" t="str">
        <f>IF(Roster!$AA$17=0,"",Roster!$AA$17)</f>
        <v/>
      </c>
      <c r="I114" s="177"/>
      <c r="J114" s="185" t="str">
        <f>IF(Roster!$AI$17=0,"",Roster!$AI$17)</f>
        <v/>
      </c>
      <c r="K114" s="177"/>
      <c r="L114" s="185" t="str">
        <f>IF(Roster!$AJ$17=0,"",Roster!$AJ$17)</f>
        <v/>
      </c>
      <c r="M114" s="177"/>
      <c r="N114" s="185" t="str">
        <f>IF(Roster!$Z$17=0,"",Roster!$Z$17)</f>
        <v/>
      </c>
      <c r="O114" s="187"/>
      <c r="P114" s="30"/>
      <c r="Q114" s="486" t="str">
        <f>IF(Roster!$N$18=0,"",Roster!$N$18)</f>
        <v/>
      </c>
      <c r="R114" s="176"/>
      <c r="S114" s="499" t="str">
        <f>IF(Roster!$O$18=0,"",Roster!$O$18)</f>
        <v/>
      </c>
      <c r="T114" s="499"/>
      <c r="U114" s="499"/>
      <c r="V114" s="499"/>
      <c r="W114" s="499"/>
      <c r="X114" s="499"/>
      <c r="Y114" s="499"/>
      <c r="Z114" s="499"/>
      <c r="AA114" s="499"/>
      <c r="AB114" s="499"/>
      <c r="AC114" s="499"/>
      <c r="AD114" s="187"/>
      <c r="AE114" s="30"/>
      <c r="AF114" s="486" t="str">
        <f>IF(Roster!$N$19=0,"",Roster!$N$19)</f>
        <v/>
      </c>
      <c r="AG114" s="218"/>
      <c r="AH114" s="499" t="str">
        <f>IF(Roster!$O$19=0,"",Roster!$O$19)</f>
        <v/>
      </c>
      <c r="AI114" s="499"/>
      <c r="AJ114" s="499"/>
      <c r="AK114" s="499"/>
      <c r="AL114" s="499"/>
      <c r="AM114" s="499"/>
      <c r="AN114" s="499"/>
      <c r="AO114" s="499"/>
      <c r="AP114" s="499"/>
      <c r="AQ114" s="499"/>
      <c r="AR114" s="499"/>
      <c r="AS114" s="187"/>
      <c r="AT114" s="30"/>
      <c r="AU114" s="486" t="str">
        <f>IF(Roster!$N$20=0,"",Roster!$N$20)</f>
        <v/>
      </c>
      <c r="AV114" s="218"/>
      <c r="AW114" s="499" t="str">
        <f>IF(Roster!$O$20=0,"",Roster!$O$20)</f>
        <v/>
      </c>
      <c r="AX114" s="499"/>
      <c r="AY114" s="499"/>
      <c r="AZ114" s="499"/>
      <c r="BA114" s="499"/>
      <c r="BB114" s="499"/>
      <c r="BC114" s="499"/>
      <c r="BD114" s="499"/>
      <c r="BE114" s="499"/>
      <c r="BF114" s="499"/>
      <c r="BG114" s="499"/>
      <c r="BH114" s="187"/>
    </row>
    <row r="115" spans="1:60" ht="4.5" customHeight="1">
      <c r="A115" s="30"/>
      <c r="B115" s="453"/>
      <c r="C115" s="177"/>
      <c r="D115" s="177"/>
      <c r="E115" s="177"/>
      <c r="F115" s="177"/>
      <c r="G115" s="177"/>
      <c r="H115" s="177"/>
      <c r="I115" s="177"/>
      <c r="J115" s="177"/>
      <c r="K115" s="177"/>
      <c r="L115" s="177"/>
      <c r="M115" s="177"/>
      <c r="N115" s="183"/>
      <c r="O115" s="187"/>
      <c r="P115" s="30"/>
      <c r="Q115" s="453"/>
      <c r="R115" s="191"/>
      <c r="S115" s="499"/>
      <c r="T115" s="499"/>
      <c r="U115" s="499"/>
      <c r="V115" s="499"/>
      <c r="W115" s="499"/>
      <c r="X115" s="499"/>
      <c r="Y115" s="499"/>
      <c r="Z115" s="499"/>
      <c r="AA115" s="499"/>
      <c r="AB115" s="499"/>
      <c r="AC115" s="499"/>
      <c r="AD115" s="187"/>
      <c r="AE115" s="30"/>
      <c r="AF115" s="453"/>
      <c r="AG115" s="219"/>
      <c r="AH115" s="499"/>
      <c r="AI115" s="499"/>
      <c r="AJ115" s="499"/>
      <c r="AK115" s="499"/>
      <c r="AL115" s="499"/>
      <c r="AM115" s="499"/>
      <c r="AN115" s="499"/>
      <c r="AO115" s="499"/>
      <c r="AP115" s="499"/>
      <c r="AQ115" s="499"/>
      <c r="AR115" s="499"/>
      <c r="AS115" s="187"/>
      <c r="AT115" s="30"/>
      <c r="AU115" s="453"/>
      <c r="AV115" s="219"/>
      <c r="AW115" s="499"/>
      <c r="AX115" s="499"/>
      <c r="AY115" s="499"/>
      <c r="AZ115" s="499"/>
      <c r="BA115" s="499"/>
      <c r="BB115" s="499"/>
      <c r="BC115" s="499"/>
      <c r="BD115" s="499"/>
      <c r="BE115" s="499"/>
      <c r="BF115" s="499"/>
      <c r="BG115" s="499"/>
      <c r="BH115" s="187"/>
    </row>
    <row r="116" spans="1:60" ht="11.25" customHeight="1">
      <c r="A116" s="30"/>
      <c r="B116" s="453"/>
      <c r="C116" s="177"/>
      <c r="D116" s="483" t="str">
        <f>IF(Roster!$J$25="Italiano","ABILITÀ &amp; TRATTI",(IF(Roster!$J$25="Español","HABILIDADES Y RASGOS","SKILLS &amp; TRAITS")))</f>
        <v>ABILITÀ &amp; TRATTI</v>
      </c>
      <c r="E116" s="439"/>
      <c r="F116" s="439"/>
      <c r="G116" s="439"/>
      <c r="H116" s="439"/>
      <c r="I116" s="439"/>
      <c r="J116" s="439"/>
      <c r="K116" s="439"/>
      <c r="L116" s="439"/>
      <c r="M116" s="439"/>
      <c r="N116" s="440"/>
      <c r="O116" s="187"/>
      <c r="P116" s="30"/>
      <c r="Q116" s="453"/>
      <c r="R116" s="172"/>
      <c r="S116" s="499"/>
      <c r="T116" s="499"/>
      <c r="U116" s="499"/>
      <c r="V116" s="499"/>
      <c r="W116" s="499"/>
      <c r="X116" s="499"/>
      <c r="Y116" s="499"/>
      <c r="Z116" s="499"/>
      <c r="AA116" s="499"/>
      <c r="AB116" s="499"/>
      <c r="AC116" s="499"/>
      <c r="AD116" s="187"/>
      <c r="AE116" s="30"/>
      <c r="AF116" s="453"/>
      <c r="AG116" s="220"/>
      <c r="AH116" s="499"/>
      <c r="AI116" s="499"/>
      <c r="AJ116" s="499"/>
      <c r="AK116" s="499"/>
      <c r="AL116" s="499"/>
      <c r="AM116" s="499"/>
      <c r="AN116" s="499"/>
      <c r="AO116" s="499"/>
      <c r="AP116" s="499"/>
      <c r="AQ116" s="499"/>
      <c r="AR116" s="499"/>
      <c r="AS116" s="187"/>
      <c r="AT116" s="30"/>
      <c r="AU116" s="453"/>
      <c r="AV116" s="220"/>
      <c r="AW116" s="499"/>
      <c r="AX116" s="499"/>
      <c r="AY116" s="499"/>
      <c r="AZ116" s="499"/>
      <c r="BA116" s="499"/>
      <c r="BB116" s="499"/>
      <c r="BC116" s="499"/>
      <c r="BD116" s="499"/>
      <c r="BE116" s="499"/>
      <c r="BF116" s="499"/>
      <c r="BG116" s="499"/>
      <c r="BH116" s="187"/>
    </row>
    <row r="117" spans="1:60" ht="6.75" customHeight="1">
      <c r="A117" s="30"/>
      <c r="B117" s="454"/>
      <c r="C117" s="177"/>
      <c r="D117" s="487" t="str">
        <f>IF(Roster!$O$17=0&amp;BF17,"",Roster!$O$17)</f>
        <v/>
      </c>
      <c r="E117" s="488"/>
      <c r="F117" s="488"/>
      <c r="G117" s="488"/>
      <c r="H117" s="488"/>
      <c r="I117" s="488"/>
      <c r="J117" s="488"/>
      <c r="K117" s="488"/>
      <c r="L117" s="488"/>
      <c r="M117" s="488"/>
      <c r="N117" s="489"/>
      <c r="O117" s="187"/>
      <c r="P117" s="30"/>
      <c r="Q117" s="454"/>
      <c r="R117" s="192"/>
      <c r="S117" s="499"/>
      <c r="T117" s="499"/>
      <c r="U117" s="499"/>
      <c r="V117" s="499"/>
      <c r="W117" s="499"/>
      <c r="X117" s="499"/>
      <c r="Y117" s="499"/>
      <c r="Z117" s="499"/>
      <c r="AA117" s="499"/>
      <c r="AB117" s="499"/>
      <c r="AC117" s="499"/>
      <c r="AD117" s="187"/>
      <c r="AE117" s="30"/>
      <c r="AF117" s="454"/>
      <c r="AG117" s="192"/>
      <c r="AH117" s="499"/>
      <c r="AI117" s="499"/>
      <c r="AJ117" s="499"/>
      <c r="AK117" s="499"/>
      <c r="AL117" s="499"/>
      <c r="AM117" s="499"/>
      <c r="AN117" s="499"/>
      <c r="AO117" s="499"/>
      <c r="AP117" s="499"/>
      <c r="AQ117" s="499"/>
      <c r="AR117" s="499"/>
      <c r="AS117" s="187"/>
      <c r="AT117" s="30"/>
      <c r="AU117" s="454"/>
      <c r="AV117" s="192"/>
      <c r="AW117" s="499"/>
      <c r="AX117" s="499"/>
      <c r="AY117" s="499"/>
      <c r="AZ117" s="499"/>
      <c r="BA117" s="499"/>
      <c r="BB117" s="499"/>
      <c r="BC117" s="499"/>
      <c r="BD117" s="499"/>
      <c r="BE117" s="499"/>
      <c r="BF117" s="499"/>
      <c r="BG117" s="499"/>
      <c r="BH117" s="187"/>
    </row>
    <row r="118" spans="1:60" ht="11.25" customHeight="1">
      <c r="A118" s="30"/>
      <c r="B118" s="176" t="str">
        <f>IF(Roster!$AN$1=0,"",Roster!$AN$1)</f>
        <v>COSTO</v>
      </c>
      <c r="C118" s="176"/>
      <c r="D118" s="490"/>
      <c r="E118" s="491"/>
      <c r="F118" s="491"/>
      <c r="G118" s="491"/>
      <c r="H118" s="491"/>
      <c r="I118" s="491"/>
      <c r="J118" s="491"/>
      <c r="K118" s="491"/>
      <c r="L118" s="491"/>
      <c r="M118" s="491"/>
      <c r="N118" s="492"/>
      <c r="O118" s="188"/>
      <c r="P118" s="30"/>
      <c r="Q118" s="176" t="str">
        <f>IF(Roster!$AN$1=0,"",Roster!$AN$1)</f>
        <v>COSTO</v>
      </c>
      <c r="R118" s="192"/>
      <c r="S118" s="499"/>
      <c r="T118" s="499"/>
      <c r="U118" s="499"/>
      <c r="V118" s="499"/>
      <c r="W118" s="499"/>
      <c r="X118" s="499"/>
      <c r="Y118" s="499"/>
      <c r="Z118" s="499"/>
      <c r="AA118" s="499"/>
      <c r="AB118" s="499"/>
      <c r="AC118" s="499"/>
      <c r="AD118" s="188"/>
      <c r="AE118" s="30"/>
      <c r="AF118" s="176" t="str">
        <f>IF(Roster!$AN$1=0,"",Roster!$AN$1)</f>
        <v>COSTO</v>
      </c>
      <c r="AG118" s="192"/>
      <c r="AH118" s="499"/>
      <c r="AI118" s="499"/>
      <c r="AJ118" s="499"/>
      <c r="AK118" s="499"/>
      <c r="AL118" s="499"/>
      <c r="AM118" s="499"/>
      <c r="AN118" s="499"/>
      <c r="AO118" s="499"/>
      <c r="AP118" s="499"/>
      <c r="AQ118" s="499"/>
      <c r="AR118" s="499"/>
      <c r="AS118" s="188"/>
      <c r="AT118" s="30"/>
      <c r="AU118" s="176" t="str">
        <f>IF(Roster!$AN$1=0,"",Roster!$AN$1)</f>
        <v>COSTO</v>
      </c>
      <c r="AV118" s="192"/>
      <c r="AW118" s="499"/>
      <c r="AX118" s="499"/>
      <c r="AY118" s="499"/>
      <c r="AZ118" s="499"/>
      <c r="BA118" s="499"/>
      <c r="BB118" s="499"/>
      <c r="BC118" s="499"/>
      <c r="BD118" s="499"/>
      <c r="BE118" s="499"/>
      <c r="BF118" s="499"/>
      <c r="BG118" s="499"/>
      <c r="BH118" s="188"/>
    </row>
    <row r="119" spans="1:60" ht="34.5" customHeight="1">
      <c r="A119" s="30"/>
      <c r="B119" s="190" t="str">
        <f>IF(Roster!$AN$17=0,"",Roster!$AN$17)</f>
        <v/>
      </c>
      <c r="C119" s="191"/>
      <c r="D119" s="493"/>
      <c r="E119" s="494"/>
      <c r="F119" s="494"/>
      <c r="G119" s="494"/>
      <c r="H119" s="494"/>
      <c r="I119" s="494"/>
      <c r="J119" s="494"/>
      <c r="K119" s="494"/>
      <c r="L119" s="494"/>
      <c r="M119" s="494"/>
      <c r="N119" s="495"/>
      <c r="O119" s="188"/>
      <c r="P119" s="30"/>
      <c r="Q119" s="190" t="str">
        <f>IF(Roster!$AN$18=0,"",Roster!$AN$18)</f>
        <v/>
      </c>
      <c r="R119" s="192"/>
      <c r="S119" s="499"/>
      <c r="T119" s="499"/>
      <c r="U119" s="499"/>
      <c r="V119" s="499"/>
      <c r="W119" s="499"/>
      <c r="X119" s="499"/>
      <c r="Y119" s="499"/>
      <c r="Z119" s="499"/>
      <c r="AA119" s="499"/>
      <c r="AB119" s="499"/>
      <c r="AC119" s="499"/>
      <c r="AD119" s="188"/>
      <c r="AE119" s="30"/>
      <c r="AF119" s="190" t="str">
        <f>IF(Roster!$AN$19=0,"",Roster!$AN$19)</f>
        <v/>
      </c>
      <c r="AG119" s="192"/>
      <c r="AH119" s="499"/>
      <c r="AI119" s="499"/>
      <c r="AJ119" s="499"/>
      <c r="AK119" s="499"/>
      <c r="AL119" s="499"/>
      <c r="AM119" s="499"/>
      <c r="AN119" s="499"/>
      <c r="AO119" s="499"/>
      <c r="AP119" s="499"/>
      <c r="AQ119" s="499"/>
      <c r="AR119" s="499"/>
      <c r="AS119" s="188"/>
      <c r="AT119" s="30"/>
      <c r="AU119" s="190" t="str">
        <f>IF(Roster!$AN$20=0,"",Roster!$AN$20)</f>
        <v/>
      </c>
      <c r="AV119" s="192"/>
      <c r="AW119" s="499"/>
      <c r="AX119" s="499"/>
      <c r="AY119" s="499"/>
      <c r="AZ119" s="499"/>
      <c r="BA119" s="499"/>
      <c r="BB119" s="499"/>
      <c r="BC119" s="499"/>
      <c r="BD119" s="499"/>
      <c r="BE119" s="499"/>
      <c r="BF119" s="499"/>
      <c r="BG119" s="499"/>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B108:B112"/>
    <mergeCell ref="B114:B117"/>
    <mergeCell ref="B26:B28"/>
    <mergeCell ref="B36:B40"/>
    <mergeCell ref="B42:B45"/>
    <mergeCell ref="B50:B52"/>
    <mergeCell ref="B60:B64"/>
    <mergeCell ref="B66:B69"/>
    <mergeCell ref="B74:B76"/>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9" customWidth="1"/>
    <col min="47" max="47" width="7.85546875" style="259" customWidth="1"/>
    <col min="48" max="48" width="0.85546875" style="259" customWidth="1"/>
    <col min="49" max="49" width="5" style="259" customWidth="1"/>
    <col min="50" max="50" width="0.85546875" style="259" customWidth="1"/>
    <col min="51" max="51" width="5" style="259" customWidth="1"/>
    <col min="52" max="52" width="0.85546875" style="259" customWidth="1"/>
    <col min="53" max="53" width="5" style="259" customWidth="1"/>
    <col min="54" max="54" width="0.85546875" style="259" customWidth="1"/>
    <col min="55" max="55" width="5" style="259" customWidth="1"/>
    <col min="56" max="56" width="0.85546875" style="259" customWidth="1"/>
    <col min="57" max="57" width="5" style="259" customWidth="1"/>
    <col min="58" max="58" width="0.85546875" style="259" customWidth="1"/>
    <col min="59" max="59" width="5" style="259" customWidth="1"/>
    <col min="60" max="60" width="0.85546875" style="259" customWidth="1"/>
    <col min="61" max="61" width="14.42578125" style="259"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29"/>
      <c r="C2" s="193"/>
      <c r="D2" s="193"/>
      <c r="E2" s="193"/>
      <c r="F2" s="193"/>
      <c r="G2" s="193"/>
      <c r="H2" s="193"/>
      <c r="I2" s="193"/>
      <c r="J2" s="193"/>
      <c r="K2" s="193"/>
      <c r="L2" s="193"/>
      <c r="M2" s="193"/>
      <c r="N2" s="193"/>
      <c r="O2" s="194"/>
      <c r="P2" s="30"/>
      <c r="Q2" s="529" t="str">
        <f>IF(Roster!$A$2=0,"","#"&amp;Roster!$A$2)</f>
        <v>#1</v>
      </c>
      <c r="R2" s="193"/>
      <c r="S2" s="193"/>
      <c r="T2" s="193"/>
      <c r="U2" s="193"/>
      <c r="V2" s="193"/>
      <c r="W2" s="193"/>
      <c r="X2" s="193"/>
      <c r="Y2" s="193"/>
      <c r="Z2" s="193"/>
      <c r="AA2" s="193"/>
      <c r="AB2" s="193"/>
      <c r="AC2" s="193"/>
      <c r="AD2" s="194"/>
      <c r="AE2" s="30"/>
      <c r="AF2" s="529" t="str">
        <f>IF(Roster!$A$3=0,"","#"&amp;Roster!$A$3)</f>
        <v>#2</v>
      </c>
      <c r="AG2" s="193"/>
      <c r="AH2" s="193"/>
      <c r="AI2" s="193"/>
      <c r="AJ2" s="193"/>
      <c r="AK2" s="193"/>
      <c r="AL2" s="193"/>
      <c r="AM2" s="193"/>
      <c r="AN2" s="193"/>
      <c r="AO2" s="193"/>
      <c r="AP2" s="193"/>
      <c r="AQ2" s="193"/>
      <c r="AR2" s="193"/>
      <c r="AS2" s="194"/>
      <c r="AT2" s="30"/>
      <c r="AU2" s="529" t="str">
        <f>IF(Roster!$A$4=0,"","#"&amp;Roster!$A$4)</f>
        <v>#3</v>
      </c>
      <c r="AV2" s="193"/>
      <c r="AW2" s="193"/>
      <c r="AX2" s="193"/>
      <c r="AY2" s="193"/>
      <c r="AZ2" s="193"/>
      <c r="BA2" s="193"/>
      <c r="BB2" s="193"/>
      <c r="BC2" s="193"/>
      <c r="BD2" s="193"/>
      <c r="BE2" s="193"/>
      <c r="BF2" s="193"/>
      <c r="BG2" s="193"/>
      <c r="BH2" s="194"/>
    </row>
    <row r="3" spans="1:60" s="31" customFormat="1" ht="15" customHeight="1">
      <c r="A3" s="30"/>
      <c r="B3" s="530"/>
      <c r="C3" s="515" t="str">
        <f>IF(Roster!$J$24=0,Roster!$C$24,Roster!$J$24)</f>
        <v>RobocORK</v>
      </c>
      <c r="D3" s="439"/>
      <c r="E3" s="439"/>
      <c r="F3" s="439"/>
      <c r="G3" s="439"/>
      <c r="H3" s="439"/>
      <c r="I3" s="439"/>
      <c r="J3" s="439"/>
      <c r="K3" s="439"/>
      <c r="L3" s="439"/>
      <c r="M3" s="439"/>
      <c r="N3" s="440"/>
      <c r="O3" s="195"/>
      <c r="P3" s="30"/>
      <c r="Q3" s="530"/>
      <c r="R3" s="515" t="str">
        <f>IF(Roster!$B$2=0,"",Roster!$B$2)</f>
        <v/>
      </c>
      <c r="S3" s="439"/>
      <c r="T3" s="439"/>
      <c r="U3" s="439"/>
      <c r="V3" s="439"/>
      <c r="W3" s="439"/>
      <c r="X3" s="439"/>
      <c r="Y3" s="439"/>
      <c r="Z3" s="439"/>
      <c r="AA3" s="439"/>
      <c r="AB3" s="439"/>
      <c r="AC3" s="440"/>
      <c r="AD3" s="195"/>
      <c r="AE3" s="30"/>
      <c r="AF3" s="530"/>
      <c r="AG3" s="515" t="str">
        <f>IF(Roster!$B$3=0,"",Roster!$B$3)</f>
        <v>ZPARTAKO</v>
      </c>
      <c r="AH3" s="439"/>
      <c r="AI3" s="439"/>
      <c r="AJ3" s="439"/>
      <c r="AK3" s="439"/>
      <c r="AL3" s="439"/>
      <c r="AM3" s="439"/>
      <c r="AN3" s="439"/>
      <c r="AO3" s="439"/>
      <c r="AP3" s="439"/>
      <c r="AQ3" s="439"/>
      <c r="AR3" s="440"/>
      <c r="AS3" s="195"/>
      <c r="AT3" s="30"/>
      <c r="AU3" s="530"/>
      <c r="AV3" s="515" t="str">
        <f>IF(Roster!$B$4=0,"",Roster!$B$4)</f>
        <v>SCAVO</v>
      </c>
      <c r="AW3" s="439"/>
      <c r="AX3" s="439"/>
      <c r="AY3" s="439"/>
      <c r="AZ3" s="439"/>
      <c r="BA3" s="439"/>
      <c r="BB3" s="439"/>
      <c r="BC3" s="439"/>
      <c r="BD3" s="439"/>
      <c r="BE3" s="439"/>
      <c r="BF3" s="439"/>
      <c r="BG3" s="440"/>
      <c r="BH3" s="195"/>
    </row>
    <row r="4" spans="1:60" s="31" customFormat="1" ht="11.25" customHeight="1">
      <c r="A4" s="30"/>
      <c r="B4" s="530"/>
      <c r="C4" s="532" t="str">
        <f>IF(Roster!$J$21="SPONSORS",Roster!$J$23,Roster!$J$23&amp;"; Sponsor: "&amp;Roster!$J$21)</f>
        <v>Orc; Sponsor: MCMURTY’S BURGER EMPORIUM</v>
      </c>
      <c r="D4" s="439"/>
      <c r="E4" s="439"/>
      <c r="F4" s="439"/>
      <c r="G4" s="439"/>
      <c r="H4" s="439"/>
      <c r="I4" s="439"/>
      <c r="J4" s="439"/>
      <c r="K4" s="439"/>
      <c r="L4" s="439"/>
      <c r="M4" s="439"/>
      <c r="N4" s="440"/>
      <c r="O4" s="196"/>
      <c r="P4" s="30"/>
      <c r="Q4" s="531"/>
      <c r="R4" s="532" t="str">
        <f>IF(Roster!$C$2=0,"",Roster!$C$2)</f>
        <v/>
      </c>
      <c r="S4" s="439"/>
      <c r="T4" s="439"/>
      <c r="U4" s="439"/>
      <c r="V4" s="439"/>
      <c r="W4" s="439"/>
      <c r="X4" s="439"/>
      <c r="Y4" s="439"/>
      <c r="Z4" s="439"/>
      <c r="AA4" s="439"/>
      <c r="AB4" s="439"/>
      <c r="AC4" s="440"/>
      <c r="AD4" s="196"/>
      <c r="AE4" s="30"/>
      <c r="AF4" s="531"/>
      <c r="AG4" s="532" t="str">
        <f>IF(Roster!$C$3=0,"",Roster!$C$3)</f>
        <v>Big Un</v>
      </c>
      <c r="AH4" s="439"/>
      <c r="AI4" s="439"/>
      <c r="AJ4" s="439"/>
      <c r="AK4" s="439"/>
      <c r="AL4" s="439"/>
      <c r="AM4" s="439"/>
      <c r="AN4" s="439"/>
      <c r="AO4" s="439"/>
      <c r="AP4" s="439"/>
      <c r="AQ4" s="439"/>
      <c r="AR4" s="440"/>
      <c r="AS4" s="196"/>
      <c r="AT4" s="30"/>
      <c r="AU4" s="531"/>
      <c r="AV4" s="532" t="str">
        <f>IF(Roster!$C$4=0,"",Roster!$C$4)</f>
        <v>Big Un</v>
      </c>
      <c r="AW4" s="439"/>
      <c r="AX4" s="439"/>
      <c r="AY4" s="439"/>
      <c r="AZ4" s="439"/>
      <c r="BA4" s="439"/>
      <c r="BB4" s="439"/>
      <c r="BC4" s="439"/>
      <c r="BD4" s="439"/>
      <c r="BE4" s="439"/>
      <c r="BF4" s="439"/>
      <c r="BG4" s="440"/>
      <c r="BH4" s="196"/>
    </row>
    <row r="5" spans="1:60" s="31" customFormat="1" ht="11.25" customHeight="1">
      <c r="A5" s="30"/>
      <c r="B5" s="531"/>
      <c r="C5" s="197"/>
      <c r="D5" s="532" t="str">
        <f>IF(Roster!$C$32=0,"",Roster!$C$32)</f>
        <v>VALORE SQUADRA</v>
      </c>
      <c r="E5" s="439"/>
      <c r="F5" s="440"/>
      <c r="G5" s="198"/>
      <c r="H5" s="532" t="str">
        <f>IF(Roster!$C$26=0,"",Roster!$C$26)</f>
        <v>TIFOSI SFEGATATI</v>
      </c>
      <c r="I5" s="439"/>
      <c r="J5" s="440"/>
      <c r="K5" s="198"/>
      <c r="L5" s="532" t="str">
        <f>IF(Roster!$AD$21=0,"",Roster!$AD$21)</f>
        <v>REROLLS TOTALI</v>
      </c>
      <c r="M5" s="439"/>
      <c r="N5" s="440"/>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62" t="str">
        <f>IF(Roster!$J$22=0,"",Roster!$J$22)</f>
        <v>LIHULK</v>
      </c>
      <c r="C6" s="201"/>
      <c r="D6" s="563">
        <f>Roster!$J$32</f>
        <v>1200</v>
      </c>
      <c r="E6" s="340"/>
      <c r="F6" s="341"/>
      <c r="G6" s="198"/>
      <c r="H6" s="563">
        <f>IF(Roster!$J$26=0,"",Roster!$J$26)</f>
        <v>4</v>
      </c>
      <c r="I6" s="340"/>
      <c r="J6" s="341"/>
      <c r="K6" s="198"/>
      <c r="L6" s="563">
        <f>Roster!$AI$22</f>
        <v>2</v>
      </c>
      <c r="M6" s="340"/>
      <c r="N6" s="341"/>
      <c r="O6" s="195"/>
      <c r="P6" s="30"/>
      <c r="Q6" s="202" t="str">
        <f>IF(Roster!$J$2=0,"",Roster!$J$2)</f>
        <v/>
      </c>
      <c r="R6" s="200"/>
      <c r="S6" s="567"/>
      <c r="T6" s="568"/>
      <c r="U6" s="568"/>
      <c r="V6" s="568"/>
      <c r="W6" s="568"/>
      <c r="X6" s="568"/>
      <c r="Y6" s="568"/>
      <c r="Z6" s="568"/>
      <c r="AA6" s="568"/>
      <c r="AB6" s="568"/>
      <c r="AC6" s="569"/>
      <c r="AD6" s="195"/>
      <c r="AE6" s="30"/>
      <c r="AF6" s="202">
        <f>IF(Roster!$J$3=0,"",Roster!$J$3)</f>
        <v>5</v>
      </c>
      <c r="AG6" s="200"/>
      <c r="AH6" s="533"/>
      <c r="AI6" s="534"/>
      <c r="AJ6" s="534"/>
      <c r="AK6" s="534"/>
      <c r="AL6" s="534"/>
      <c r="AM6" s="534"/>
      <c r="AN6" s="534"/>
      <c r="AO6" s="534"/>
      <c r="AP6" s="534"/>
      <c r="AQ6" s="534"/>
      <c r="AR6" s="374"/>
      <c r="AS6" s="195"/>
      <c r="AT6" s="30"/>
      <c r="AU6" s="202">
        <f>IF(Roster!$J$4=0,"",Roster!$J$4)</f>
        <v>5</v>
      </c>
      <c r="AV6" s="200"/>
      <c r="AW6" s="533"/>
      <c r="AX6" s="534"/>
      <c r="AY6" s="534"/>
      <c r="AZ6" s="534"/>
      <c r="BA6" s="534"/>
      <c r="BB6" s="534"/>
      <c r="BC6" s="534"/>
      <c r="BD6" s="534"/>
      <c r="BE6" s="534"/>
      <c r="BF6" s="534"/>
      <c r="BG6" s="374"/>
      <c r="BH6" s="195"/>
    </row>
    <row r="7" spans="1:60" s="31" customFormat="1" ht="11.25" customHeight="1">
      <c r="A7" s="30"/>
      <c r="B7" s="530"/>
      <c r="C7" s="200"/>
      <c r="D7" s="532" t="str">
        <f>IF(Roster!$R$22=0,"",Roster!$R$22)</f>
        <v>MEDICO</v>
      </c>
      <c r="E7" s="439"/>
      <c r="F7" s="440"/>
      <c r="G7" s="198"/>
      <c r="H7" s="532" t="str">
        <f>IF(Roster!$R$23=0,"",Roster!$R$23)</f>
        <v>CHEERLEADERS</v>
      </c>
      <c r="I7" s="439"/>
      <c r="J7" s="440"/>
      <c r="K7" s="198"/>
      <c r="L7" s="532" t="str">
        <f>IF(Roster!$R$24=0,"",Roster!$R$24)</f>
        <v>ASSISTENTI ALLENATORI</v>
      </c>
      <c r="M7" s="439"/>
      <c r="N7" s="440"/>
      <c r="O7" s="195"/>
      <c r="P7" s="30"/>
      <c r="Q7" s="199" t="str">
        <f>IF(Roster!$K$1=0,"",Roster!$K$1)</f>
        <v>ST</v>
      </c>
      <c r="R7" s="200"/>
      <c r="S7" s="570"/>
      <c r="T7" s="571"/>
      <c r="U7" s="571"/>
      <c r="V7" s="571"/>
      <c r="W7" s="571"/>
      <c r="X7" s="571"/>
      <c r="Y7" s="571"/>
      <c r="Z7" s="571"/>
      <c r="AA7" s="571"/>
      <c r="AB7" s="571"/>
      <c r="AC7" s="572"/>
      <c r="AD7" s="195"/>
      <c r="AE7" s="30"/>
      <c r="AF7" s="199" t="str">
        <f>IF(Roster!$K$1=0,"",Roster!$K$1)</f>
        <v>ST</v>
      </c>
      <c r="AG7" s="200"/>
      <c r="AH7" s="375"/>
      <c r="AI7" s="535"/>
      <c r="AJ7" s="535"/>
      <c r="AK7" s="535"/>
      <c r="AL7" s="535"/>
      <c r="AM7" s="535"/>
      <c r="AN7" s="535"/>
      <c r="AO7" s="535"/>
      <c r="AP7" s="535"/>
      <c r="AQ7" s="535"/>
      <c r="AR7" s="376"/>
      <c r="AS7" s="195"/>
      <c r="AT7" s="30"/>
      <c r="AU7" s="199" t="str">
        <f>IF(Roster!$K$1=0,"",Roster!$K$1)</f>
        <v>ST</v>
      </c>
      <c r="AV7" s="200"/>
      <c r="AW7" s="375"/>
      <c r="AX7" s="535"/>
      <c r="AY7" s="535"/>
      <c r="AZ7" s="535"/>
      <c r="BA7" s="535"/>
      <c r="BB7" s="535"/>
      <c r="BC7" s="535"/>
      <c r="BD7" s="535"/>
      <c r="BE7" s="535"/>
      <c r="BF7" s="535"/>
      <c r="BG7" s="376"/>
      <c r="BH7" s="195"/>
    </row>
    <row r="8" spans="1:60" s="31" customFormat="1" ht="37.5" customHeight="1">
      <c r="A8" s="30"/>
      <c r="B8" s="530"/>
      <c r="C8" s="203"/>
      <c r="D8" s="563">
        <f>Roster!$W$22</f>
        <v>0</v>
      </c>
      <c r="E8" s="340"/>
      <c r="F8" s="341"/>
      <c r="G8" s="198"/>
      <c r="H8" s="563">
        <f>Roster!$W$23</f>
        <v>0</v>
      </c>
      <c r="I8" s="340"/>
      <c r="J8" s="341"/>
      <c r="K8" s="198"/>
      <c r="L8" s="563">
        <f>Roster!$W$24</f>
        <v>0</v>
      </c>
      <c r="M8" s="340"/>
      <c r="N8" s="341"/>
      <c r="O8" s="195"/>
      <c r="P8" s="30"/>
      <c r="Q8" s="202" t="str">
        <f>IF(Roster!$K$2=0,"",Roster!$K$2)</f>
        <v/>
      </c>
      <c r="R8" s="200"/>
      <c r="S8" s="570"/>
      <c r="T8" s="571"/>
      <c r="U8" s="571"/>
      <c r="V8" s="571"/>
      <c r="W8" s="571"/>
      <c r="X8" s="571"/>
      <c r="Y8" s="571"/>
      <c r="Z8" s="571"/>
      <c r="AA8" s="571"/>
      <c r="AB8" s="571"/>
      <c r="AC8" s="572"/>
      <c r="AD8" s="195"/>
      <c r="AE8" s="30"/>
      <c r="AF8" s="202">
        <f>IF(Roster!$K$3=0,"",Roster!$K$3)</f>
        <v>4</v>
      </c>
      <c r="AG8" s="200"/>
      <c r="AH8" s="375"/>
      <c r="AI8" s="535"/>
      <c r="AJ8" s="535"/>
      <c r="AK8" s="535"/>
      <c r="AL8" s="535"/>
      <c r="AM8" s="535"/>
      <c r="AN8" s="535"/>
      <c r="AO8" s="535"/>
      <c r="AP8" s="535"/>
      <c r="AQ8" s="535"/>
      <c r="AR8" s="376"/>
      <c r="AS8" s="195"/>
      <c r="AT8" s="30"/>
      <c r="AU8" s="202">
        <f>IF(Roster!$K$4=0,"",Roster!$K$4)</f>
        <v>4</v>
      </c>
      <c r="AV8" s="200"/>
      <c r="AW8" s="375"/>
      <c r="AX8" s="535"/>
      <c r="AY8" s="535"/>
      <c r="AZ8" s="535"/>
      <c r="BA8" s="535"/>
      <c r="BB8" s="535"/>
      <c r="BC8" s="535"/>
      <c r="BD8" s="535"/>
      <c r="BE8" s="535"/>
      <c r="BF8" s="535"/>
      <c r="BG8" s="376"/>
      <c r="BH8" s="195"/>
    </row>
    <row r="9" spans="1:60" s="31" customFormat="1" ht="11.25" customHeight="1">
      <c r="A9" s="30"/>
      <c r="B9" s="530"/>
      <c r="C9" s="197"/>
      <c r="D9" s="532" t="str">
        <f>IF(Roster!$R$25=0,"",Roster!$R$25)</f>
        <v>FUSTI DI BLOODWEISER</v>
      </c>
      <c r="E9" s="439"/>
      <c r="F9" s="440"/>
      <c r="G9" s="198"/>
      <c r="H9" s="532" t="str">
        <f>IF(Roster!$R$29=0,"",Roster!$R$29)</f>
        <v>MAZZETTE</v>
      </c>
      <c r="I9" s="439"/>
      <c r="J9" s="440"/>
      <c r="K9" s="198"/>
      <c r="L9" s="532" t="str">
        <f>IF(Roster!$R$30=0,"",Roster!$R$30)</f>
        <v>CAPOCUOCO</v>
      </c>
      <c r="M9" s="439"/>
      <c r="N9" s="440"/>
      <c r="O9" s="195"/>
      <c r="P9" s="30"/>
      <c r="Q9" s="199" t="str">
        <f>IF(Roster!$L$1=0,"",Roster!$L$1)</f>
        <v>AG</v>
      </c>
      <c r="R9" s="200"/>
      <c r="S9" s="570"/>
      <c r="T9" s="571"/>
      <c r="U9" s="571"/>
      <c r="V9" s="571"/>
      <c r="W9" s="571"/>
      <c r="X9" s="571"/>
      <c r="Y9" s="571"/>
      <c r="Z9" s="571"/>
      <c r="AA9" s="571"/>
      <c r="AB9" s="571"/>
      <c r="AC9" s="572"/>
      <c r="AD9" s="195"/>
      <c r="AE9" s="30"/>
      <c r="AF9" s="199" t="str">
        <f>IF(Roster!$L$1=0,"",Roster!$L$1)</f>
        <v>AG</v>
      </c>
      <c r="AG9" s="200"/>
      <c r="AH9" s="375"/>
      <c r="AI9" s="535"/>
      <c r="AJ9" s="535"/>
      <c r="AK9" s="535"/>
      <c r="AL9" s="535"/>
      <c r="AM9" s="535"/>
      <c r="AN9" s="535"/>
      <c r="AO9" s="535"/>
      <c r="AP9" s="535"/>
      <c r="AQ9" s="535"/>
      <c r="AR9" s="376"/>
      <c r="AS9" s="195"/>
      <c r="AT9" s="30"/>
      <c r="AU9" s="199" t="str">
        <f>IF(Roster!$L$1=0,"",Roster!$L$1)</f>
        <v>AG</v>
      </c>
      <c r="AV9" s="200"/>
      <c r="AW9" s="375"/>
      <c r="AX9" s="535"/>
      <c r="AY9" s="535"/>
      <c r="AZ9" s="535"/>
      <c r="BA9" s="535"/>
      <c r="BB9" s="535"/>
      <c r="BC9" s="535"/>
      <c r="BD9" s="535"/>
      <c r="BE9" s="535"/>
      <c r="BF9" s="535"/>
      <c r="BG9" s="376"/>
      <c r="BH9" s="195"/>
    </row>
    <row r="10" spans="1:60" s="31" customFormat="1" ht="37.5" customHeight="1">
      <c r="A10" s="30"/>
      <c r="B10" s="530"/>
      <c r="C10" s="203"/>
      <c r="D10" s="563">
        <f>Roster!$W$25</f>
        <v>0</v>
      </c>
      <c r="E10" s="340"/>
      <c r="F10" s="341"/>
      <c r="G10" s="198"/>
      <c r="H10" s="563">
        <f>Roster!$W$29</f>
        <v>0</v>
      </c>
      <c r="I10" s="340"/>
      <c r="J10" s="341"/>
      <c r="K10" s="198"/>
      <c r="L10" s="563">
        <f>Roster!$W$30</f>
        <v>0</v>
      </c>
      <c r="M10" s="340"/>
      <c r="N10" s="341"/>
      <c r="O10" s="195"/>
      <c r="P10" s="30"/>
      <c r="Q10" s="202" t="str">
        <f>IF(Roster!$L$2=0&amp;"+","",Roster!$L$2)</f>
        <v/>
      </c>
      <c r="R10" s="200"/>
      <c r="S10" s="570"/>
      <c r="T10" s="571"/>
      <c r="U10" s="571"/>
      <c r="V10" s="571"/>
      <c r="W10" s="571"/>
      <c r="X10" s="571"/>
      <c r="Y10" s="571"/>
      <c r="Z10" s="571"/>
      <c r="AA10" s="571"/>
      <c r="AB10" s="571"/>
      <c r="AC10" s="572"/>
      <c r="AD10" s="195"/>
      <c r="AE10" s="30"/>
      <c r="AF10" s="202" t="str">
        <f>IF(Roster!$L$3=0&amp;"+","",Roster!$L$3)</f>
        <v>4+</v>
      </c>
      <c r="AG10" s="200"/>
      <c r="AH10" s="375"/>
      <c r="AI10" s="535"/>
      <c r="AJ10" s="535"/>
      <c r="AK10" s="535"/>
      <c r="AL10" s="535"/>
      <c r="AM10" s="535"/>
      <c r="AN10" s="535"/>
      <c r="AO10" s="535"/>
      <c r="AP10" s="535"/>
      <c r="AQ10" s="535"/>
      <c r="AR10" s="376"/>
      <c r="AS10" s="195"/>
      <c r="AT10" s="30"/>
      <c r="AU10" s="202" t="str">
        <f>IF(Roster!$L$4=0&amp;"+","",Roster!$L$4)</f>
        <v>4+</v>
      </c>
      <c r="AV10" s="200"/>
      <c r="AW10" s="375"/>
      <c r="AX10" s="535"/>
      <c r="AY10" s="535"/>
      <c r="AZ10" s="535"/>
      <c r="BA10" s="535"/>
      <c r="BB10" s="535"/>
      <c r="BC10" s="535"/>
      <c r="BD10" s="535"/>
      <c r="BE10" s="535"/>
      <c r="BF10" s="535"/>
      <c r="BG10" s="376"/>
      <c r="BH10" s="195"/>
    </row>
    <row r="11" spans="1:60" s="31" customFormat="1" ht="11.25" customHeight="1">
      <c r="A11" s="30"/>
      <c r="B11" s="530"/>
      <c r="C11" s="200"/>
      <c r="D11" s="560" t="str">
        <f>IF(Roster!$R$31=0,"",Roster!$R$31)</f>
        <v>ESORDIENTI RIBELLI</v>
      </c>
      <c r="E11" s="439"/>
      <c r="F11" s="440"/>
      <c r="G11" s="200"/>
      <c r="H11" s="560" t="str">
        <f>IF(Roster!$AD$25=0,"",Roster!$AD$25)</f>
        <v>WIZARDS</v>
      </c>
      <c r="I11" s="439"/>
      <c r="J11" s="440"/>
      <c r="K11" s="200"/>
      <c r="L11" s="532" t="str">
        <f>IF(Roster!$AD$24=0,"",Roster!$AD$24)</f>
        <v>MAGO DEL CLIMA</v>
      </c>
      <c r="M11" s="439"/>
      <c r="N11" s="440"/>
      <c r="O11" s="204"/>
      <c r="P11" s="30"/>
      <c r="Q11" s="199" t="str">
        <f>IF(Roster!$M$1=0,"",Roster!$M$1)</f>
        <v>PA</v>
      </c>
      <c r="R11" s="200"/>
      <c r="S11" s="570"/>
      <c r="T11" s="571"/>
      <c r="U11" s="571"/>
      <c r="V11" s="571"/>
      <c r="W11" s="571"/>
      <c r="X11" s="571"/>
      <c r="Y11" s="571"/>
      <c r="Z11" s="571"/>
      <c r="AA11" s="571"/>
      <c r="AB11" s="571"/>
      <c r="AC11" s="572"/>
      <c r="AD11" s="204"/>
      <c r="AE11" s="30"/>
      <c r="AF11" s="199" t="str">
        <f>IF(Roster!$M$1=0,"",Roster!$M$1)</f>
        <v>PA</v>
      </c>
      <c r="AG11" s="200"/>
      <c r="AH11" s="375"/>
      <c r="AI11" s="535"/>
      <c r="AJ11" s="535"/>
      <c r="AK11" s="535"/>
      <c r="AL11" s="535"/>
      <c r="AM11" s="535"/>
      <c r="AN11" s="535"/>
      <c r="AO11" s="535"/>
      <c r="AP11" s="535"/>
      <c r="AQ11" s="535"/>
      <c r="AR11" s="376"/>
      <c r="AS11" s="204"/>
      <c r="AT11" s="30"/>
      <c r="AU11" s="199" t="str">
        <f>IF(Roster!$M$1=0,"",Roster!$M$1)</f>
        <v>PA</v>
      </c>
      <c r="AV11" s="200"/>
      <c r="AW11" s="375"/>
      <c r="AX11" s="535"/>
      <c r="AY11" s="535"/>
      <c r="AZ11" s="535"/>
      <c r="BA11" s="535"/>
      <c r="BB11" s="535"/>
      <c r="BC11" s="535"/>
      <c r="BD11" s="535"/>
      <c r="BE11" s="535"/>
      <c r="BF11" s="535"/>
      <c r="BG11" s="376"/>
      <c r="BH11" s="204"/>
    </row>
    <row r="12" spans="1:60" s="31" customFormat="1" ht="6" customHeight="1">
      <c r="A12" s="30"/>
      <c r="B12" s="530"/>
      <c r="C12" s="201"/>
      <c r="D12" s="564">
        <f>Roster!$W$31</f>
        <v>0</v>
      </c>
      <c r="E12" s="392"/>
      <c r="F12" s="357"/>
      <c r="G12" s="205"/>
      <c r="H12" s="564">
        <f>Roster!$AI$25</f>
        <v>0</v>
      </c>
      <c r="I12" s="392"/>
      <c r="J12" s="357"/>
      <c r="K12" s="205"/>
      <c r="L12" s="564">
        <f>Roster!$AI$24</f>
        <v>0</v>
      </c>
      <c r="M12" s="392"/>
      <c r="N12" s="357"/>
      <c r="O12" s="206"/>
      <c r="P12" s="30"/>
      <c r="Q12" s="526" t="str">
        <f>IF(Roster!$M$2=0&amp;"+","",Roster!$M$2)</f>
        <v/>
      </c>
      <c r="R12" s="200"/>
      <c r="S12" s="573"/>
      <c r="T12" s="574"/>
      <c r="U12" s="574"/>
      <c r="V12" s="574"/>
      <c r="W12" s="574"/>
      <c r="X12" s="574"/>
      <c r="Y12" s="574"/>
      <c r="Z12" s="574"/>
      <c r="AA12" s="574"/>
      <c r="AB12" s="574"/>
      <c r="AC12" s="575"/>
      <c r="AD12" s="206"/>
      <c r="AE12" s="30"/>
      <c r="AF12" s="526" t="str">
        <f>IF(Roster!$M$3=0&amp;"+","",Roster!$M$3)</f>
        <v/>
      </c>
      <c r="AG12" s="200"/>
      <c r="AH12" s="377"/>
      <c r="AI12" s="536"/>
      <c r="AJ12" s="536"/>
      <c r="AK12" s="536"/>
      <c r="AL12" s="536"/>
      <c r="AM12" s="536"/>
      <c r="AN12" s="536"/>
      <c r="AO12" s="536"/>
      <c r="AP12" s="536"/>
      <c r="AQ12" s="536"/>
      <c r="AR12" s="378"/>
      <c r="AS12" s="206"/>
      <c r="AT12" s="30"/>
      <c r="AU12" s="526" t="str">
        <f>IF(Roster!$M$4=0&amp;"+","",Roster!$M$4)</f>
        <v/>
      </c>
      <c r="AV12" s="200"/>
      <c r="AW12" s="377"/>
      <c r="AX12" s="536"/>
      <c r="AY12" s="536"/>
      <c r="AZ12" s="536"/>
      <c r="BA12" s="536"/>
      <c r="BB12" s="536"/>
      <c r="BC12" s="536"/>
      <c r="BD12" s="536"/>
      <c r="BE12" s="536"/>
      <c r="BF12" s="536"/>
      <c r="BG12" s="378"/>
      <c r="BH12" s="206"/>
    </row>
    <row r="13" spans="1:60" s="31" customFormat="1" ht="4.5" customHeight="1">
      <c r="A13" s="30"/>
      <c r="B13" s="530"/>
      <c r="C13" s="201"/>
      <c r="D13" s="565"/>
      <c r="E13" s="368"/>
      <c r="F13" s="566"/>
      <c r="G13" s="205"/>
      <c r="H13" s="565"/>
      <c r="I13" s="368"/>
      <c r="J13" s="566"/>
      <c r="K13" s="205"/>
      <c r="L13" s="565"/>
      <c r="M13" s="368"/>
      <c r="N13" s="566"/>
      <c r="O13" s="206"/>
      <c r="P13" s="30"/>
      <c r="Q13" s="527"/>
      <c r="R13" s="198"/>
      <c r="S13" s="207"/>
      <c r="T13" s="205"/>
      <c r="U13" s="207"/>
      <c r="V13" s="205"/>
      <c r="W13" s="207"/>
      <c r="X13" s="205"/>
      <c r="Y13" s="207"/>
      <c r="Z13" s="205"/>
      <c r="AA13" s="207"/>
      <c r="AB13" s="205"/>
      <c r="AC13" s="207"/>
      <c r="AD13" s="206"/>
      <c r="AE13" s="30"/>
      <c r="AF13" s="527"/>
      <c r="AG13" s="198"/>
      <c r="AH13" s="207"/>
      <c r="AI13" s="205"/>
      <c r="AJ13" s="207"/>
      <c r="AK13" s="205"/>
      <c r="AL13" s="207"/>
      <c r="AM13" s="205"/>
      <c r="AN13" s="207"/>
      <c r="AO13" s="205"/>
      <c r="AP13" s="207"/>
      <c r="AQ13" s="205"/>
      <c r="AR13" s="207"/>
      <c r="AS13" s="206"/>
      <c r="AT13" s="30"/>
      <c r="AU13" s="527"/>
      <c r="AV13" s="198"/>
      <c r="AW13" s="207"/>
      <c r="AX13" s="205"/>
      <c r="AY13" s="207"/>
      <c r="AZ13" s="205"/>
      <c r="BA13" s="207"/>
      <c r="BB13" s="205"/>
      <c r="BC13" s="207"/>
      <c r="BD13" s="205"/>
      <c r="BE13" s="207"/>
      <c r="BF13" s="205"/>
      <c r="BG13" s="207"/>
      <c r="BH13" s="206"/>
    </row>
    <row r="14" spans="1:60" s="31" customFormat="1" ht="11.25" customHeight="1">
      <c r="A14" s="30"/>
      <c r="B14" s="530"/>
      <c r="C14" s="201"/>
      <c r="D14" s="565"/>
      <c r="E14" s="368"/>
      <c r="F14" s="566"/>
      <c r="G14" s="205"/>
      <c r="H14" s="565"/>
      <c r="I14" s="368"/>
      <c r="J14" s="566"/>
      <c r="K14" s="205"/>
      <c r="L14" s="565"/>
      <c r="M14" s="368"/>
      <c r="N14" s="566"/>
      <c r="O14" s="206"/>
      <c r="P14" s="30"/>
      <c r="Q14" s="527"/>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27"/>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27"/>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30"/>
      <c r="C15" s="201"/>
      <c r="D15" s="565"/>
      <c r="E15" s="368"/>
      <c r="F15" s="566"/>
      <c r="G15" s="201"/>
      <c r="H15" s="565"/>
      <c r="I15" s="368"/>
      <c r="J15" s="566"/>
      <c r="K15" s="201"/>
      <c r="L15" s="565"/>
      <c r="M15" s="368"/>
      <c r="N15" s="566"/>
      <c r="O15" s="206"/>
      <c r="P15" s="30"/>
      <c r="Q15" s="527"/>
      <c r="R15" s="201"/>
      <c r="S15" s="241" t="str">
        <f>IF(Roster!$AC$2=0,"",Roster!$AC$2)</f>
        <v/>
      </c>
      <c r="T15" s="236"/>
      <c r="U15" s="241" t="str">
        <f>IF((SUM(W15,Y15,AA15))=0,"",(SUM(W15,Y15,AA15)))</f>
        <v/>
      </c>
      <c r="V15" s="236"/>
      <c r="W15" s="241" t="str">
        <f>IF(Roster!$AF$2=0,"",Roster!$AF$2)</f>
        <v/>
      </c>
      <c r="X15" s="236"/>
      <c r="Y15" s="241" t="str">
        <f>IF(Roster!$AG$2=0,"",Roster!$AG$2)</f>
        <v/>
      </c>
      <c r="Z15" s="236"/>
      <c r="AA15" s="241" t="str">
        <f>IF(Roster!$AH$2=0,"",Roster!$AH$2)</f>
        <v/>
      </c>
      <c r="AB15" s="236"/>
      <c r="AC15" s="241" t="str">
        <f>IF(Roster!$AB$2=0,"",Roster!$AB$2)</f>
        <v/>
      </c>
      <c r="AD15" s="206"/>
      <c r="AE15" s="30"/>
      <c r="AF15" s="527"/>
      <c r="AG15" s="201"/>
      <c r="AH15" s="241" t="str">
        <f>IF(Roster!$AC$3=0,"",Roster!$AC$3)</f>
        <v/>
      </c>
      <c r="AI15" s="236"/>
      <c r="AJ15" s="241" t="str">
        <f>IF((SUM(AL15,AN15,AP15))=0,"",(SUM(AL15,AN15,AP15)))</f>
        <v/>
      </c>
      <c r="AK15" s="236"/>
      <c r="AL15" s="241" t="str">
        <f>IF(Roster!$AF$3=0,"",Roster!$AF$3)</f>
        <v/>
      </c>
      <c r="AM15" s="236"/>
      <c r="AN15" s="241" t="str">
        <f>IF(Roster!$AG$3=0,"",Roster!$AG$3)</f>
        <v/>
      </c>
      <c r="AO15" s="236"/>
      <c r="AP15" s="241" t="str">
        <f>IF(Roster!$AH$3=0,"",Roster!$AH$3)</f>
        <v/>
      </c>
      <c r="AQ15" s="236"/>
      <c r="AR15" s="241" t="str">
        <f>IF(Roster!$AB$3=0,"",Roster!$AB$3)</f>
        <v/>
      </c>
      <c r="AS15" s="206"/>
      <c r="AT15" s="30"/>
      <c r="AU15" s="527"/>
      <c r="AV15" s="201"/>
      <c r="AW15" s="241" t="str">
        <f>IF(Roster!$AC$4=0,"",Roster!$AC$4)</f>
        <v/>
      </c>
      <c r="AX15" s="236"/>
      <c r="AY15" s="241">
        <f>IF((SUM(BA15,BC15,BE15))=0,"",(SUM(BA15,BC15,BE15)))</f>
        <v>1</v>
      </c>
      <c r="AZ15" s="236"/>
      <c r="BA15" s="241">
        <f>IF(Roster!$AF$4=0,"",Roster!$AF$4)</f>
        <v>1</v>
      </c>
      <c r="BB15" s="236"/>
      <c r="BC15" s="241" t="str">
        <f>IF(Roster!$AG$4=0,"",Roster!$AG$4)</f>
        <v/>
      </c>
      <c r="BD15" s="236"/>
      <c r="BE15" s="241" t="str">
        <f>IF(Roster!$AH$4=0,"",Roster!$AH$4)</f>
        <v/>
      </c>
      <c r="BF15" s="236"/>
      <c r="BG15" s="241" t="str">
        <f>IF(Roster!$AB$4=0,"",Roster!$AB$4)</f>
        <v/>
      </c>
      <c r="BH15" s="206"/>
    </row>
    <row r="16" spans="1:60" s="31" customFormat="1" ht="4.5" customHeight="1">
      <c r="A16" s="30"/>
      <c r="B16" s="530"/>
      <c r="C16" s="201"/>
      <c r="D16" s="358"/>
      <c r="E16" s="393"/>
      <c r="F16" s="359"/>
      <c r="G16" s="201"/>
      <c r="H16" s="358"/>
      <c r="I16" s="393"/>
      <c r="J16" s="359"/>
      <c r="K16" s="201"/>
      <c r="L16" s="358"/>
      <c r="M16" s="393"/>
      <c r="N16" s="359"/>
      <c r="O16" s="206"/>
      <c r="P16" s="30"/>
      <c r="Q16" s="382"/>
      <c r="R16" s="201"/>
      <c r="S16" s="237"/>
      <c r="T16" s="236"/>
      <c r="U16" s="237"/>
      <c r="V16" s="236"/>
      <c r="W16" s="237"/>
      <c r="X16" s="236"/>
      <c r="Y16" s="237"/>
      <c r="Z16" s="236"/>
      <c r="AA16" s="237"/>
      <c r="AB16" s="236"/>
      <c r="AC16" s="237"/>
      <c r="AD16" s="206"/>
      <c r="AE16" s="30"/>
      <c r="AF16" s="382"/>
      <c r="AG16" s="201"/>
      <c r="AH16" s="237"/>
      <c r="AI16" s="236"/>
      <c r="AJ16" s="237"/>
      <c r="AK16" s="236"/>
      <c r="AL16" s="237"/>
      <c r="AM16" s="236"/>
      <c r="AN16" s="237"/>
      <c r="AO16" s="236"/>
      <c r="AP16" s="237"/>
      <c r="AQ16" s="236"/>
      <c r="AR16" s="237"/>
      <c r="AS16" s="206"/>
      <c r="AT16" s="30"/>
      <c r="AU16" s="382"/>
      <c r="AV16" s="201"/>
      <c r="AW16" s="237"/>
      <c r="AX16" s="236"/>
      <c r="AY16" s="237"/>
      <c r="AZ16" s="236"/>
      <c r="BA16" s="237"/>
      <c r="BB16" s="236"/>
      <c r="BC16" s="237"/>
      <c r="BD16" s="236"/>
      <c r="BE16" s="237"/>
      <c r="BF16" s="236"/>
      <c r="BG16" s="237"/>
      <c r="BH16" s="206"/>
    </row>
    <row r="17" spans="1:60" s="31" customFormat="1" ht="11.25" customHeight="1">
      <c r="A17" s="30"/>
      <c r="B17" s="530"/>
      <c r="C17" s="200"/>
      <c r="D17" s="532" t="str">
        <f>IF(Roster!$R$26=0,"",Roster!$R$26)</f>
        <v>CARTE SPECIALI</v>
      </c>
      <c r="E17" s="439"/>
      <c r="F17" s="440"/>
      <c r="G17" s="200"/>
      <c r="H17" s="560" t="str">
        <f>IF(Roster!$AD$26=0,"",Roster!$AD$26)</f>
        <v>(IN)FAMOUS COACHES</v>
      </c>
      <c r="I17" s="439"/>
      <c r="J17" s="440"/>
      <c r="K17" s="200"/>
      <c r="L17" s="560" t="str">
        <f>IF(Roster!$AD$27=0,"",Roster!$AD$27)</f>
        <v>(IN)FAMOUS COACHES</v>
      </c>
      <c r="M17" s="439"/>
      <c r="N17" s="440"/>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30"/>
      <c r="C18" s="201"/>
      <c r="D18" s="564">
        <f>Roster!$W$26</f>
        <v>0</v>
      </c>
      <c r="E18" s="392"/>
      <c r="F18" s="357"/>
      <c r="G18" s="201"/>
      <c r="H18" s="564">
        <f>Roster!$AI$26</f>
        <v>0</v>
      </c>
      <c r="I18" s="392"/>
      <c r="J18" s="357"/>
      <c r="K18" s="201"/>
      <c r="L18" s="564">
        <f>Roster!$AI$27</f>
        <v>0</v>
      </c>
      <c r="M18" s="392"/>
      <c r="N18" s="357"/>
      <c r="O18" s="208"/>
      <c r="P18" s="30"/>
      <c r="Q18" s="526" t="str">
        <f>IF(Roster!$N$2=0&amp;"+","",Roster!$N$2)</f>
        <v/>
      </c>
      <c r="R18" s="201"/>
      <c r="S18" s="241" t="str">
        <f>IF(Roster!$AD$2=0,"",Roster!$AD$2)</f>
        <v/>
      </c>
      <c r="T18" s="236"/>
      <c r="U18" s="241" t="str">
        <f>IF(Roster!$AE$2=0,"",Roster!$AE$2)</f>
        <v/>
      </c>
      <c r="V18" s="236"/>
      <c r="W18" s="241" t="str">
        <f>IF(Roster!$AA$2=0,"",Roster!$AA$2)</f>
        <v/>
      </c>
      <c r="X18" s="236"/>
      <c r="Y18" s="241" t="str">
        <f>IF(Roster!$AI$2=0,"",Roster!$AI$2)</f>
        <v/>
      </c>
      <c r="Z18" s="236"/>
      <c r="AA18" s="241" t="str">
        <f>IF(Roster!$AJ$2=0,"",Roster!$AJ$2)</f>
        <v/>
      </c>
      <c r="AB18" s="236"/>
      <c r="AC18" s="241" t="str">
        <f>IF(Roster!$Z$2=0,"",Roster!$Z$2)</f>
        <v/>
      </c>
      <c r="AD18" s="208"/>
      <c r="AE18" s="30"/>
      <c r="AF18" s="526" t="str">
        <f>IF(Roster!$N$3=0&amp;"+","",Roster!$N$3)</f>
        <v>10+</v>
      </c>
      <c r="AG18" s="201"/>
      <c r="AH18" s="241" t="str">
        <f>IF(Roster!$AD$3=0,"",Roster!$AD$3)</f>
        <v/>
      </c>
      <c r="AI18" s="236"/>
      <c r="AJ18" s="241" t="str">
        <f>IF(Roster!$AE$3=0,"",Roster!$AE$3)</f>
        <v/>
      </c>
      <c r="AK18" s="236"/>
      <c r="AL18" s="241" t="str">
        <f>IF(Roster!$AA$3=0,"",Roster!$AA$3)</f>
        <v/>
      </c>
      <c r="AM18" s="236"/>
      <c r="AN18" s="241" t="str">
        <f>IF(Roster!$AI$3=0,"",Roster!$AI$3)</f>
        <v/>
      </c>
      <c r="AO18" s="236"/>
      <c r="AP18" s="241" t="str">
        <f>IF(Roster!$AJ$3=0,"",Roster!$AJ$3)</f>
        <v/>
      </c>
      <c r="AQ18" s="236"/>
      <c r="AR18" s="241" t="str">
        <f>IF(Roster!$Z$3=0,"",Roster!$Z$3)</f>
        <v/>
      </c>
      <c r="AS18" s="208"/>
      <c r="AT18" s="30"/>
      <c r="AU18" s="526" t="str">
        <f>IF(Roster!$N$4=0&amp;"+","",Roster!$N$4)</f>
        <v>10+</v>
      </c>
      <c r="AV18" s="201"/>
      <c r="AW18" s="241" t="str">
        <f>IF(Roster!$AD$4=0,"",Roster!$AD$4)</f>
        <v/>
      </c>
      <c r="AX18" s="236"/>
      <c r="AY18" s="241" t="str">
        <f>IF(Roster!$AE$4=0,"",Roster!$AE$4)</f>
        <v/>
      </c>
      <c r="AZ18" s="236"/>
      <c r="BA18" s="241" t="str">
        <f>IF(Roster!$AA$4=0,"",Roster!$AA$4)</f>
        <v/>
      </c>
      <c r="BB18" s="236"/>
      <c r="BC18" s="241">
        <f>IF(Roster!$AI$4=0,"",Roster!$AI$4)</f>
        <v>1</v>
      </c>
      <c r="BD18" s="236"/>
      <c r="BE18" s="241">
        <f>IF(Roster!$AJ$4=0,"",Roster!$AJ$4)</f>
        <v>6</v>
      </c>
      <c r="BF18" s="236"/>
      <c r="BG18" s="241" t="str">
        <f>IF(Roster!$Z$4=0,"",Roster!$Z$4)</f>
        <v/>
      </c>
      <c r="BH18" s="208"/>
    </row>
    <row r="19" spans="1:60" s="31" customFormat="1" ht="4.5" customHeight="1">
      <c r="A19" s="30"/>
      <c r="B19" s="530"/>
      <c r="C19" s="201"/>
      <c r="D19" s="565"/>
      <c r="E19" s="368"/>
      <c r="F19" s="566"/>
      <c r="G19" s="201"/>
      <c r="H19" s="565"/>
      <c r="I19" s="368"/>
      <c r="J19" s="566"/>
      <c r="K19" s="201"/>
      <c r="L19" s="565"/>
      <c r="M19" s="368"/>
      <c r="N19" s="566"/>
      <c r="O19" s="208"/>
      <c r="P19" s="30"/>
      <c r="Q19" s="527"/>
      <c r="R19" s="201"/>
      <c r="S19" s="236"/>
      <c r="T19" s="236"/>
      <c r="U19" s="236"/>
      <c r="V19" s="236"/>
      <c r="W19" s="236"/>
      <c r="X19" s="236"/>
      <c r="Y19" s="236"/>
      <c r="Z19" s="236"/>
      <c r="AA19" s="236"/>
      <c r="AB19" s="236"/>
      <c r="AC19" s="239"/>
      <c r="AD19" s="208"/>
      <c r="AE19" s="30"/>
      <c r="AF19" s="527"/>
      <c r="AG19" s="201"/>
      <c r="AH19" s="236"/>
      <c r="AI19" s="236"/>
      <c r="AJ19" s="236"/>
      <c r="AK19" s="236"/>
      <c r="AL19" s="236"/>
      <c r="AM19" s="236"/>
      <c r="AN19" s="236"/>
      <c r="AO19" s="236"/>
      <c r="AP19" s="236"/>
      <c r="AQ19" s="236"/>
      <c r="AR19" s="239"/>
      <c r="AS19" s="208"/>
      <c r="AT19" s="30"/>
      <c r="AU19" s="527"/>
      <c r="AV19" s="201"/>
      <c r="AW19" s="236"/>
      <c r="AX19" s="236"/>
      <c r="AY19" s="236"/>
      <c r="AZ19" s="236"/>
      <c r="BA19" s="236"/>
      <c r="BB19" s="236"/>
      <c r="BC19" s="236"/>
      <c r="BD19" s="236"/>
      <c r="BE19" s="236"/>
      <c r="BF19" s="236"/>
      <c r="BG19" s="239"/>
      <c r="BH19" s="208"/>
    </row>
    <row r="20" spans="1:60" s="31" customFormat="1" ht="11.25" customHeight="1">
      <c r="A20" s="30"/>
      <c r="B20" s="530"/>
      <c r="C20" s="201"/>
      <c r="D20" s="565"/>
      <c r="E20" s="368"/>
      <c r="F20" s="566"/>
      <c r="G20" s="209"/>
      <c r="H20" s="565"/>
      <c r="I20" s="368"/>
      <c r="J20" s="566"/>
      <c r="K20" s="209"/>
      <c r="L20" s="565"/>
      <c r="M20" s="368"/>
      <c r="N20" s="566"/>
      <c r="O20" s="208"/>
      <c r="P20" s="30"/>
      <c r="Q20" s="527"/>
      <c r="R20" s="201"/>
      <c r="S20" s="523" t="str">
        <f>IF(Roster!$J$25="Italiano","ABILITÀ &amp; TRATTI",(IF(Roster!$J$25="Español","HABILIDADES Y RASGOS","SKILLS &amp; TRAITS")))</f>
        <v>ABILITÀ &amp; TRATTI</v>
      </c>
      <c r="T20" s="524"/>
      <c r="U20" s="524"/>
      <c r="V20" s="524"/>
      <c r="W20" s="524"/>
      <c r="X20" s="524"/>
      <c r="Y20" s="524"/>
      <c r="Z20" s="524"/>
      <c r="AA20" s="524"/>
      <c r="AB20" s="524"/>
      <c r="AC20" s="525"/>
      <c r="AD20" s="208"/>
      <c r="AE20" s="30"/>
      <c r="AF20" s="527"/>
      <c r="AG20" s="201"/>
      <c r="AH20" s="523" t="str">
        <f>IF(Roster!$J$25="Italiano","ABILITÀ &amp; TRATTI",(IF(Roster!$J$25="Español","HABILIDADES Y RASGOS","SKILLS &amp; TRAITS")))</f>
        <v>ABILITÀ &amp; TRATTI</v>
      </c>
      <c r="AI20" s="524"/>
      <c r="AJ20" s="524"/>
      <c r="AK20" s="524"/>
      <c r="AL20" s="524"/>
      <c r="AM20" s="524"/>
      <c r="AN20" s="524"/>
      <c r="AO20" s="524"/>
      <c r="AP20" s="524"/>
      <c r="AQ20" s="524"/>
      <c r="AR20" s="525"/>
      <c r="AS20" s="208"/>
      <c r="AT20" s="30"/>
      <c r="AU20" s="527"/>
      <c r="AV20" s="201"/>
      <c r="AW20" s="523" t="str">
        <f>IF(Roster!$J$25="Italiano","ABILITÀ &amp; TRATTI",(IF(Roster!$J$25="Español","HABILIDADES Y RASGOS","SKILLS &amp; TRAITS")))</f>
        <v>ABILITÀ &amp; TRATTI</v>
      </c>
      <c r="AX20" s="524"/>
      <c r="AY20" s="524"/>
      <c r="AZ20" s="524"/>
      <c r="BA20" s="524"/>
      <c r="BB20" s="524"/>
      <c r="BC20" s="524"/>
      <c r="BD20" s="524"/>
      <c r="BE20" s="524"/>
      <c r="BF20" s="524"/>
      <c r="BG20" s="525"/>
      <c r="BH20" s="208"/>
    </row>
    <row r="21" spans="1:60" s="31" customFormat="1" ht="6.75" customHeight="1">
      <c r="A21" s="30"/>
      <c r="B21" s="530"/>
      <c r="C21" s="201"/>
      <c r="D21" s="358"/>
      <c r="E21" s="393"/>
      <c r="F21" s="359"/>
      <c r="G21" s="210"/>
      <c r="H21" s="358"/>
      <c r="I21" s="393"/>
      <c r="J21" s="359"/>
      <c r="K21" s="210"/>
      <c r="L21" s="358"/>
      <c r="M21" s="393"/>
      <c r="N21" s="359"/>
      <c r="O21" s="208"/>
      <c r="P21" s="30"/>
      <c r="Q21" s="382"/>
      <c r="R21" s="201"/>
      <c r="S21" s="516" t="str">
        <f>IF(Roster!$O$2=0&amp;BF2,"",Roster!$O$2)</f>
        <v/>
      </c>
      <c r="T21" s="495"/>
      <c r="U21" s="495"/>
      <c r="V21" s="495"/>
      <c r="W21" s="495"/>
      <c r="X21" s="495"/>
      <c r="Y21" s="495"/>
      <c r="Z21" s="495"/>
      <c r="AA21" s="495"/>
      <c r="AB21" s="495"/>
      <c r="AC21" s="517"/>
      <c r="AD21" s="208"/>
      <c r="AE21" s="30"/>
      <c r="AF21" s="382"/>
      <c r="AG21" s="201"/>
      <c r="AH21" s="516" t="str">
        <f>IF(Roster!$O$3=0&amp;BU3,"",Roster!$O$3)</f>
        <v>Animosity (Big Un Blockers)</v>
      </c>
      <c r="AI21" s="495"/>
      <c r="AJ21" s="495"/>
      <c r="AK21" s="495"/>
      <c r="AL21" s="495"/>
      <c r="AM21" s="495"/>
      <c r="AN21" s="495"/>
      <c r="AO21" s="495"/>
      <c r="AP21" s="495"/>
      <c r="AQ21" s="495"/>
      <c r="AR21" s="517"/>
      <c r="AS21" s="208"/>
      <c r="AT21" s="30"/>
      <c r="AU21" s="382"/>
      <c r="AV21" s="201"/>
      <c r="AW21" s="516" t="str">
        <f>IF(Roster!$O$4=0&amp;CJ4,"",Roster!$O$4)</f>
        <v>Animosity (Big Un Blockers)</v>
      </c>
      <c r="AX21" s="495"/>
      <c r="AY21" s="495"/>
      <c r="AZ21" s="495"/>
      <c r="BA21" s="495"/>
      <c r="BB21" s="495"/>
      <c r="BC21" s="495"/>
      <c r="BD21" s="495"/>
      <c r="BE21" s="495"/>
      <c r="BF21" s="495"/>
      <c r="BG21" s="517"/>
      <c r="BH21" s="208"/>
    </row>
    <row r="22" spans="1:60" s="31" customFormat="1" ht="11.25" customHeight="1">
      <c r="A22" s="30"/>
      <c r="B22" s="530"/>
      <c r="C22" s="197"/>
      <c r="D22" s="560" t="str">
        <f>IF(Roster!$AD$28=0,"",Roster!$AD$28)</f>
        <v>BIASED REFEREE</v>
      </c>
      <c r="E22" s="439"/>
      <c r="F22" s="440"/>
      <c r="G22" s="210"/>
      <c r="H22" s="560" t="str">
        <f>IF(Roster!$AD$29=0,"",Roster!$AD$29)</f>
        <v>OTHER INDUCEMENTS</v>
      </c>
      <c r="I22" s="439"/>
      <c r="J22" s="440"/>
      <c r="K22" s="210"/>
      <c r="L22" s="532" t="str">
        <f>IF(Roster!$AD$31=0,"",Roster!$AD$31)</f>
        <v>MEDICI VAGABONDI</v>
      </c>
      <c r="M22" s="439"/>
      <c r="N22" s="440"/>
      <c r="O22" s="211"/>
      <c r="P22" s="30"/>
      <c r="Q22" s="199" t="str">
        <f>IF(Roster!$AN$1=0,"",Roster!$AN$1)</f>
        <v>COSTO</v>
      </c>
      <c r="R22" s="200"/>
      <c r="S22" s="518"/>
      <c r="T22" s="519"/>
      <c r="U22" s="519"/>
      <c r="V22" s="519"/>
      <c r="W22" s="519"/>
      <c r="X22" s="519"/>
      <c r="Y22" s="519"/>
      <c r="Z22" s="519"/>
      <c r="AA22" s="519"/>
      <c r="AB22" s="519"/>
      <c r="AC22" s="517"/>
      <c r="AD22" s="211"/>
      <c r="AE22" s="30"/>
      <c r="AF22" s="199" t="str">
        <f>IF(Roster!$AN$1=0,"",Roster!$AN$1)</f>
        <v>COSTO</v>
      </c>
      <c r="AG22" s="200"/>
      <c r="AH22" s="518"/>
      <c r="AI22" s="519"/>
      <c r="AJ22" s="519"/>
      <c r="AK22" s="519"/>
      <c r="AL22" s="519"/>
      <c r="AM22" s="519"/>
      <c r="AN22" s="519"/>
      <c r="AO22" s="519"/>
      <c r="AP22" s="519"/>
      <c r="AQ22" s="519"/>
      <c r="AR22" s="517"/>
      <c r="AS22" s="211"/>
      <c r="AT22" s="30"/>
      <c r="AU22" s="199" t="str">
        <f>IF(Roster!$AN$1=0,"",Roster!$AN$1)</f>
        <v>COSTO</v>
      </c>
      <c r="AV22" s="200"/>
      <c r="AW22" s="518"/>
      <c r="AX22" s="519"/>
      <c r="AY22" s="519"/>
      <c r="AZ22" s="519"/>
      <c r="BA22" s="519"/>
      <c r="BB22" s="519"/>
      <c r="BC22" s="519"/>
      <c r="BD22" s="519"/>
      <c r="BE22" s="519"/>
      <c r="BF22" s="519"/>
      <c r="BG22" s="517"/>
      <c r="BH22" s="211"/>
    </row>
    <row r="23" spans="1:60" s="31" customFormat="1" ht="34.5" customHeight="1">
      <c r="A23" s="30"/>
      <c r="B23" s="531"/>
      <c r="C23" s="212"/>
      <c r="D23" s="561">
        <f>Roster!$AI$28</f>
        <v>0</v>
      </c>
      <c r="E23" s="340"/>
      <c r="F23" s="341"/>
      <c r="G23" s="210"/>
      <c r="H23" s="561">
        <f>Roster!$AI$29</f>
        <v>0</v>
      </c>
      <c r="I23" s="340"/>
      <c r="J23" s="341"/>
      <c r="K23" s="210"/>
      <c r="L23" s="561">
        <f>Roster!$AI$31</f>
        <v>0</v>
      </c>
      <c r="M23" s="340"/>
      <c r="N23" s="341"/>
      <c r="O23" s="211"/>
      <c r="P23" s="30"/>
      <c r="Q23" s="213" t="str">
        <f>IF(Roster!$AN$2=0,"",Roster!$AN$2)</f>
        <v/>
      </c>
      <c r="R23" s="214"/>
      <c r="S23" s="520"/>
      <c r="T23" s="521"/>
      <c r="U23" s="521"/>
      <c r="V23" s="521"/>
      <c r="W23" s="521"/>
      <c r="X23" s="521"/>
      <c r="Y23" s="521"/>
      <c r="Z23" s="521"/>
      <c r="AA23" s="521"/>
      <c r="AB23" s="521"/>
      <c r="AC23" s="522"/>
      <c r="AD23" s="211"/>
      <c r="AE23" s="30"/>
      <c r="AF23" s="213">
        <f>IF(Roster!$AN$3=0,"",Roster!$AN$3)</f>
        <v>90000</v>
      </c>
      <c r="AG23" s="214"/>
      <c r="AH23" s="520"/>
      <c r="AI23" s="521"/>
      <c r="AJ23" s="521"/>
      <c r="AK23" s="521"/>
      <c r="AL23" s="521"/>
      <c r="AM23" s="521"/>
      <c r="AN23" s="521"/>
      <c r="AO23" s="521"/>
      <c r="AP23" s="521"/>
      <c r="AQ23" s="521"/>
      <c r="AR23" s="522"/>
      <c r="AS23" s="211"/>
      <c r="AT23" s="30"/>
      <c r="AU23" s="213">
        <f>IF(Roster!$AN$4=0,"",Roster!$AN$4)</f>
        <v>90000</v>
      </c>
      <c r="AV23" s="214"/>
      <c r="AW23" s="520"/>
      <c r="AX23" s="521"/>
      <c r="AY23" s="521"/>
      <c r="AZ23" s="521"/>
      <c r="BA23" s="521"/>
      <c r="BB23" s="521"/>
      <c r="BC23" s="521"/>
      <c r="BD23" s="521"/>
      <c r="BE23" s="521"/>
      <c r="BF23" s="521"/>
      <c r="BG23" s="522"/>
      <c r="BH23" s="211"/>
    </row>
    <row r="24" spans="1:60" s="31" customFormat="1" ht="4.5" customHeight="1">
      <c r="A24" s="30"/>
      <c r="B24" s="528"/>
      <c r="C24" s="352"/>
      <c r="D24" s="352"/>
      <c r="E24" s="352"/>
      <c r="F24" s="352"/>
      <c r="G24" s="352"/>
      <c r="H24" s="352"/>
      <c r="I24" s="352"/>
      <c r="J24" s="352"/>
      <c r="K24" s="352"/>
      <c r="L24" s="352"/>
      <c r="M24" s="352"/>
      <c r="N24" s="353"/>
      <c r="O24" s="215"/>
      <c r="P24" s="30"/>
      <c r="Q24" s="528"/>
      <c r="R24" s="352"/>
      <c r="S24" s="352"/>
      <c r="T24" s="352"/>
      <c r="U24" s="352"/>
      <c r="V24" s="352"/>
      <c r="W24" s="352"/>
      <c r="X24" s="352"/>
      <c r="Y24" s="352"/>
      <c r="Z24" s="352"/>
      <c r="AA24" s="352"/>
      <c r="AB24" s="352"/>
      <c r="AC24" s="353"/>
      <c r="AD24" s="215"/>
      <c r="AE24" s="30"/>
      <c r="AF24" s="528"/>
      <c r="AG24" s="352"/>
      <c r="AH24" s="352"/>
      <c r="AI24" s="352"/>
      <c r="AJ24" s="352"/>
      <c r="AK24" s="352"/>
      <c r="AL24" s="352"/>
      <c r="AM24" s="352"/>
      <c r="AN24" s="352"/>
      <c r="AO24" s="352"/>
      <c r="AP24" s="352"/>
      <c r="AQ24" s="352"/>
      <c r="AR24" s="353"/>
      <c r="AS24" s="215"/>
      <c r="AT24" s="30"/>
      <c r="AU24" s="528"/>
      <c r="AV24" s="352"/>
      <c r="AW24" s="352"/>
      <c r="AX24" s="352"/>
      <c r="AY24" s="352"/>
      <c r="AZ24" s="352"/>
      <c r="BA24" s="352"/>
      <c r="BB24" s="352"/>
      <c r="BC24" s="352"/>
      <c r="BD24" s="352"/>
      <c r="BE24" s="352"/>
      <c r="BF24" s="352"/>
      <c r="BG24" s="353"/>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29" t="str">
        <f>IF(Roster!$A$5=0,"","#"&amp;Roster!$A$5)</f>
        <v>#4</v>
      </c>
      <c r="C26" s="193"/>
      <c r="D26" s="193"/>
      <c r="E26" s="193"/>
      <c r="F26" s="193"/>
      <c r="G26" s="193"/>
      <c r="H26" s="193"/>
      <c r="I26" s="193"/>
      <c r="J26" s="193"/>
      <c r="K26" s="193"/>
      <c r="L26" s="193"/>
      <c r="M26" s="193"/>
      <c r="N26" s="193"/>
      <c r="O26" s="194"/>
      <c r="P26" s="30"/>
      <c r="Q26" s="529" t="str">
        <f>IF(Roster!$A$6=0,"","#"&amp;Roster!$A$6)</f>
        <v>#5</v>
      </c>
      <c r="R26" s="193"/>
      <c r="S26" s="193"/>
      <c r="T26" s="193"/>
      <c r="U26" s="193"/>
      <c r="V26" s="193"/>
      <c r="W26" s="193"/>
      <c r="X26" s="193"/>
      <c r="Y26" s="193"/>
      <c r="Z26" s="193"/>
      <c r="AA26" s="193"/>
      <c r="AB26" s="193"/>
      <c r="AC26" s="193"/>
      <c r="AD26" s="194"/>
      <c r="AE26" s="30"/>
      <c r="AF26" s="529" t="str">
        <f>IF(Roster!$A$7=0,"","#"&amp;Roster!$A$7)</f>
        <v>#6</v>
      </c>
      <c r="AG26" s="193"/>
      <c r="AH26" s="193"/>
      <c r="AI26" s="193"/>
      <c r="AJ26" s="193"/>
      <c r="AK26" s="193"/>
      <c r="AL26" s="193"/>
      <c r="AM26" s="193"/>
      <c r="AN26" s="193"/>
      <c r="AO26" s="193"/>
      <c r="AP26" s="193"/>
      <c r="AQ26" s="193"/>
      <c r="AR26" s="193"/>
      <c r="AS26" s="194"/>
      <c r="AT26" s="30"/>
      <c r="AU26" s="529"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30"/>
      <c r="C27" s="515" t="str">
        <f>IF(Roster!$B$5=0,"",Roster!$B$5)</f>
        <v>RONNIE</v>
      </c>
      <c r="D27" s="439"/>
      <c r="E27" s="439"/>
      <c r="F27" s="439"/>
      <c r="G27" s="439"/>
      <c r="H27" s="439"/>
      <c r="I27" s="439"/>
      <c r="J27" s="439"/>
      <c r="K27" s="439"/>
      <c r="L27" s="439"/>
      <c r="M27" s="439"/>
      <c r="N27" s="440"/>
      <c r="O27" s="195"/>
      <c r="P27" s="30"/>
      <c r="Q27" s="530"/>
      <c r="R27" s="515" t="str">
        <f>IF(Roster!$B$6=0,"",Roster!$B$6)</f>
        <v>DRAGONSRAGE</v>
      </c>
      <c r="S27" s="439"/>
      <c r="T27" s="439"/>
      <c r="U27" s="439"/>
      <c r="V27" s="439"/>
      <c r="W27" s="439"/>
      <c r="X27" s="439"/>
      <c r="Y27" s="439"/>
      <c r="Z27" s="439"/>
      <c r="AA27" s="439"/>
      <c r="AB27" s="439"/>
      <c r="AC27" s="440"/>
      <c r="AD27" s="195"/>
      <c r="AE27" s="30"/>
      <c r="AF27" s="530"/>
      <c r="AG27" s="515" t="str">
        <f>IF(Roster!$B$7=0,"",Roster!$B$7)</f>
        <v>KALTENLAND</v>
      </c>
      <c r="AH27" s="439"/>
      <c r="AI27" s="439"/>
      <c r="AJ27" s="439"/>
      <c r="AK27" s="439"/>
      <c r="AL27" s="439"/>
      <c r="AM27" s="439"/>
      <c r="AN27" s="439"/>
      <c r="AO27" s="439"/>
      <c r="AP27" s="439"/>
      <c r="AQ27" s="439"/>
      <c r="AR27" s="440"/>
      <c r="AS27" s="195"/>
      <c r="AT27" s="30"/>
      <c r="AU27" s="530"/>
      <c r="AV27" s="515" t="str">
        <f>IF(Roster!$B$8=0,"",Roster!$B$8)</f>
        <v/>
      </c>
      <c r="AW27" s="439"/>
      <c r="AX27" s="439"/>
      <c r="AY27" s="439"/>
      <c r="AZ27" s="439"/>
      <c r="BA27" s="439"/>
      <c r="BB27" s="439"/>
      <c r="BC27" s="439"/>
      <c r="BD27" s="439"/>
      <c r="BE27" s="439"/>
      <c r="BF27" s="439"/>
      <c r="BG27" s="440"/>
      <c r="BH27" s="195"/>
    </row>
    <row r="28" spans="1:60" s="31" customFormat="1" ht="11.25" customHeight="1">
      <c r="A28" s="30"/>
      <c r="B28" s="531"/>
      <c r="C28" s="532" t="str">
        <f>IF(Roster!$C$5=0,"",Roster!$C$5)</f>
        <v>Big Un</v>
      </c>
      <c r="D28" s="439"/>
      <c r="E28" s="439"/>
      <c r="F28" s="439"/>
      <c r="G28" s="439"/>
      <c r="H28" s="439"/>
      <c r="I28" s="439"/>
      <c r="J28" s="439"/>
      <c r="K28" s="439"/>
      <c r="L28" s="439"/>
      <c r="M28" s="439"/>
      <c r="N28" s="440"/>
      <c r="O28" s="196"/>
      <c r="P28" s="30"/>
      <c r="Q28" s="531"/>
      <c r="R28" s="532" t="str">
        <f>IF(Roster!$C$6=0,"",Roster!$C$6)</f>
        <v>Big Un</v>
      </c>
      <c r="S28" s="439"/>
      <c r="T28" s="439"/>
      <c r="U28" s="439"/>
      <c r="V28" s="439"/>
      <c r="W28" s="439"/>
      <c r="X28" s="439"/>
      <c r="Y28" s="439"/>
      <c r="Z28" s="439"/>
      <c r="AA28" s="439"/>
      <c r="AB28" s="439"/>
      <c r="AC28" s="440"/>
      <c r="AD28" s="196"/>
      <c r="AE28" s="30"/>
      <c r="AF28" s="531"/>
      <c r="AG28" s="532" t="str">
        <f>IF(Roster!$C$7=0,"",Roster!$C$7)</f>
        <v>Blitzer</v>
      </c>
      <c r="AH28" s="439"/>
      <c r="AI28" s="439"/>
      <c r="AJ28" s="439"/>
      <c r="AK28" s="439"/>
      <c r="AL28" s="439"/>
      <c r="AM28" s="439"/>
      <c r="AN28" s="439"/>
      <c r="AO28" s="439"/>
      <c r="AP28" s="439"/>
      <c r="AQ28" s="439"/>
      <c r="AR28" s="440"/>
      <c r="AS28" s="196"/>
      <c r="AT28" s="30"/>
      <c r="AU28" s="531"/>
      <c r="AV28" s="532" t="str">
        <f>IF(Roster!$C$8=0,"",Roster!$C$8)</f>
        <v/>
      </c>
      <c r="AW28" s="439"/>
      <c r="AX28" s="439"/>
      <c r="AY28" s="439"/>
      <c r="AZ28" s="439"/>
      <c r="BA28" s="439"/>
      <c r="BB28" s="439"/>
      <c r="BC28" s="439"/>
      <c r="BD28" s="439"/>
      <c r="BE28" s="439"/>
      <c r="BF28" s="439"/>
      <c r="BG28" s="440"/>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5</v>
      </c>
      <c r="C30" s="200"/>
      <c r="D30" s="533"/>
      <c r="E30" s="534"/>
      <c r="F30" s="534"/>
      <c r="G30" s="534"/>
      <c r="H30" s="534"/>
      <c r="I30" s="534"/>
      <c r="J30" s="534"/>
      <c r="K30" s="534"/>
      <c r="L30" s="534"/>
      <c r="M30" s="534"/>
      <c r="N30" s="374"/>
      <c r="O30" s="195"/>
      <c r="P30" s="30"/>
      <c r="Q30" s="202">
        <f>IF(Roster!$J$6=0,"",Roster!$J$6)</f>
        <v>5</v>
      </c>
      <c r="R30" s="200"/>
      <c r="S30" s="533"/>
      <c r="T30" s="534"/>
      <c r="U30" s="534"/>
      <c r="V30" s="534"/>
      <c r="W30" s="534"/>
      <c r="X30" s="534"/>
      <c r="Y30" s="534"/>
      <c r="Z30" s="534"/>
      <c r="AA30" s="534"/>
      <c r="AB30" s="534"/>
      <c r="AC30" s="374"/>
      <c r="AD30" s="195"/>
      <c r="AE30" s="30"/>
      <c r="AF30" s="202">
        <f>IF(Roster!$J$7=0,"",Roster!$J$7)</f>
        <v>6</v>
      </c>
      <c r="AG30" s="200"/>
      <c r="AH30" s="533"/>
      <c r="AI30" s="534"/>
      <c r="AJ30" s="534"/>
      <c r="AK30" s="534"/>
      <c r="AL30" s="534"/>
      <c r="AM30" s="534"/>
      <c r="AN30" s="534"/>
      <c r="AO30" s="534"/>
      <c r="AP30" s="534"/>
      <c r="AQ30" s="534"/>
      <c r="AR30" s="374"/>
      <c r="AS30" s="195"/>
      <c r="AT30" s="30"/>
      <c r="AU30" s="202" t="str">
        <f>IF(Roster!$J$8=0,"",Roster!$J$8)</f>
        <v/>
      </c>
      <c r="AV30" s="200"/>
      <c r="AW30" s="533"/>
      <c r="AX30" s="534"/>
      <c r="AY30" s="534"/>
      <c r="AZ30" s="534"/>
      <c r="BA30" s="534"/>
      <c r="BB30" s="534"/>
      <c r="BC30" s="534"/>
      <c r="BD30" s="534"/>
      <c r="BE30" s="534"/>
      <c r="BF30" s="534"/>
      <c r="BG30" s="374"/>
      <c r="BH30" s="195"/>
    </row>
    <row r="31" spans="1:60" s="31" customFormat="1" ht="11.25" customHeight="1">
      <c r="A31" s="30"/>
      <c r="B31" s="199" t="str">
        <f>IF(Roster!$K$1=0,"",Roster!$K$1)</f>
        <v>ST</v>
      </c>
      <c r="C31" s="200"/>
      <c r="D31" s="375"/>
      <c r="E31" s="535"/>
      <c r="F31" s="535"/>
      <c r="G31" s="535"/>
      <c r="H31" s="535"/>
      <c r="I31" s="535"/>
      <c r="J31" s="535"/>
      <c r="K31" s="535"/>
      <c r="L31" s="535"/>
      <c r="M31" s="535"/>
      <c r="N31" s="376"/>
      <c r="O31" s="195"/>
      <c r="P31" s="30"/>
      <c r="Q31" s="199" t="str">
        <f>IF(Roster!$K$1=0,"",Roster!$K$1)</f>
        <v>ST</v>
      </c>
      <c r="R31" s="200"/>
      <c r="S31" s="375"/>
      <c r="T31" s="535"/>
      <c r="U31" s="535"/>
      <c r="V31" s="535"/>
      <c r="W31" s="535"/>
      <c r="X31" s="535"/>
      <c r="Y31" s="535"/>
      <c r="Z31" s="535"/>
      <c r="AA31" s="535"/>
      <c r="AB31" s="535"/>
      <c r="AC31" s="376"/>
      <c r="AD31" s="195"/>
      <c r="AE31" s="30"/>
      <c r="AF31" s="199" t="str">
        <f>IF(Roster!$K$1=0,"",Roster!$K$1)</f>
        <v>ST</v>
      </c>
      <c r="AG31" s="200"/>
      <c r="AH31" s="375"/>
      <c r="AI31" s="535"/>
      <c r="AJ31" s="535"/>
      <c r="AK31" s="535"/>
      <c r="AL31" s="535"/>
      <c r="AM31" s="535"/>
      <c r="AN31" s="535"/>
      <c r="AO31" s="535"/>
      <c r="AP31" s="535"/>
      <c r="AQ31" s="535"/>
      <c r="AR31" s="376"/>
      <c r="AS31" s="195"/>
      <c r="AT31" s="30"/>
      <c r="AU31" s="199" t="str">
        <f>IF(Roster!$K$1=0,"",Roster!$K$1)</f>
        <v>ST</v>
      </c>
      <c r="AV31" s="200"/>
      <c r="AW31" s="375"/>
      <c r="AX31" s="535"/>
      <c r="AY31" s="535"/>
      <c r="AZ31" s="535"/>
      <c r="BA31" s="535"/>
      <c r="BB31" s="535"/>
      <c r="BC31" s="535"/>
      <c r="BD31" s="535"/>
      <c r="BE31" s="535"/>
      <c r="BF31" s="535"/>
      <c r="BG31" s="376"/>
      <c r="BH31" s="195"/>
    </row>
    <row r="32" spans="1:60" s="31" customFormat="1" ht="37.5" customHeight="1">
      <c r="A32" s="30"/>
      <c r="B32" s="202">
        <f>IF(Roster!$K$5=0,"",Roster!$K$5)</f>
        <v>4</v>
      </c>
      <c r="C32" s="200"/>
      <c r="D32" s="375"/>
      <c r="E32" s="535"/>
      <c r="F32" s="535"/>
      <c r="G32" s="535"/>
      <c r="H32" s="535"/>
      <c r="I32" s="535"/>
      <c r="J32" s="535"/>
      <c r="K32" s="535"/>
      <c r="L32" s="535"/>
      <c r="M32" s="535"/>
      <c r="N32" s="376"/>
      <c r="O32" s="195"/>
      <c r="P32" s="30"/>
      <c r="Q32" s="202">
        <f>IF(Roster!$K$6=0,"",Roster!$K$6)</f>
        <v>4</v>
      </c>
      <c r="R32" s="200"/>
      <c r="S32" s="375"/>
      <c r="T32" s="535"/>
      <c r="U32" s="535"/>
      <c r="V32" s="535"/>
      <c r="W32" s="535"/>
      <c r="X32" s="535"/>
      <c r="Y32" s="535"/>
      <c r="Z32" s="535"/>
      <c r="AA32" s="535"/>
      <c r="AB32" s="535"/>
      <c r="AC32" s="376"/>
      <c r="AD32" s="195"/>
      <c r="AE32" s="30"/>
      <c r="AF32" s="202">
        <f>IF(Roster!$K$7=0,"",Roster!$K$7)</f>
        <v>3</v>
      </c>
      <c r="AG32" s="200"/>
      <c r="AH32" s="375"/>
      <c r="AI32" s="535"/>
      <c r="AJ32" s="535"/>
      <c r="AK32" s="535"/>
      <c r="AL32" s="535"/>
      <c r="AM32" s="535"/>
      <c r="AN32" s="535"/>
      <c r="AO32" s="535"/>
      <c r="AP32" s="535"/>
      <c r="AQ32" s="535"/>
      <c r="AR32" s="376"/>
      <c r="AS32" s="195"/>
      <c r="AT32" s="30"/>
      <c r="AU32" s="202" t="str">
        <f>IF(Roster!$K$8=0,"",Roster!$K$8)</f>
        <v/>
      </c>
      <c r="AV32" s="200"/>
      <c r="AW32" s="375"/>
      <c r="AX32" s="535"/>
      <c r="AY32" s="535"/>
      <c r="AZ32" s="535"/>
      <c r="BA32" s="535"/>
      <c r="BB32" s="535"/>
      <c r="BC32" s="535"/>
      <c r="BD32" s="535"/>
      <c r="BE32" s="535"/>
      <c r="BF32" s="535"/>
      <c r="BG32" s="376"/>
      <c r="BH32" s="195"/>
    </row>
    <row r="33" spans="1:60" s="31" customFormat="1" ht="11.25" customHeight="1">
      <c r="A33" s="30"/>
      <c r="B33" s="199" t="str">
        <f>IF(Roster!$L$1=0,"",Roster!$L$1)</f>
        <v>AG</v>
      </c>
      <c r="C33" s="200"/>
      <c r="D33" s="375"/>
      <c r="E33" s="535"/>
      <c r="F33" s="535"/>
      <c r="G33" s="535"/>
      <c r="H33" s="535"/>
      <c r="I33" s="535"/>
      <c r="J33" s="535"/>
      <c r="K33" s="535"/>
      <c r="L33" s="535"/>
      <c r="M33" s="535"/>
      <c r="N33" s="376"/>
      <c r="O33" s="195"/>
      <c r="P33" s="30"/>
      <c r="Q33" s="199" t="str">
        <f>IF(Roster!$L$1=0,"",Roster!$L$1)</f>
        <v>AG</v>
      </c>
      <c r="R33" s="200"/>
      <c r="S33" s="375"/>
      <c r="T33" s="535"/>
      <c r="U33" s="535"/>
      <c r="V33" s="535"/>
      <c r="W33" s="535"/>
      <c r="X33" s="535"/>
      <c r="Y33" s="535"/>
      <c r="Z33" s="535"/>
      <c r="AA33" s="535"/>
      <c r="AB33" s="535"/>
      <c r="AC33" s="376"/>
      <c r="AD33" s="195"/>
      <c r="AE33" s="30"/>
      <c r="AF33" s="199" t="str">
        <f>IF(Roster!$L$1=0,"",Roster!$L$1)</f>
        <v>AG</v>
      </c>
      <c r="AG33" s="200"/>
      <c r="AH33" s="375"/>
      <c r="AI33" s="535"/>
      <c r="AJ33" s="535"/>
      <c r="AK33" s="535"/>
      <c r="AL33" s="535"/>
      <c r="AM33" s="535"/>
      <c r="AN33" s="535"/>
      <c r="AO33" s="535"/>
      <c r="AP33" s="535"/>
      <c r="AQ33" s="535"/>
      <c r="AR33" s="376"/>
      <c r="AS33" s="195"/>
      <c r="AT33" s="30"/>
      <c r="AU33" s="199" t="str">
        <f>IF(Roster!$L$1=0,"",Roster!$L$1)</f>
        <v>AG</v>
      </c>
      <c r="AV33" s="200"/>
      <c r="AW33" s="375"/>
      <c r="AX33" s="535"/>
      <c r="AY33" s="535"/>
      <c r="AZ33" s="535"/>
      <c r="BA33" s="535"/>
      <c r="BB33" s="535"/>
      <c r="BC33" s="535"/>
      <c r="BD33" s="535"/>
      <c r="BE33" s="535"/>
      <c r="BF33" s="535"/>
      <c r="BG33" s="376"/>
      <c r="BH33" s="195"/>
    </row>
    <row r="34" spans="1:60" s="31" customFormat="1" ht="37.5" customHeight="1">
      <c r="A34" s="30"/>
      <c r="B34" s="202" t="str">
        <f>IF(Roster!$L$5=0&amp;"+","",Roster!$L$5)</f>
        <v>4+</v>
      </c>
      <c r="C34" s="200"/>
      <c r="D34" s="375"/>
      <c r="E34" s="535"/>
      <c r="F34" s="535"/>
      <c r="G34" s="535"/>
      <c r="H34" s="535"/>
      <c r="I34" s="535"/>
      <c r="J34" s="535"/>
      <c r="K34" s="535"/>
      <c r="L34" s="535"/>
      <c r="M34" s="535"/>
      <c r="N34" s="376"/>
      <c r="O34" s="195"/>
      <c r="P34" s="30"/>
      <c r="Q34" s="202" t="str">
        <f>IF(Roster!$L$6=0&amp;"+","",Roster!$L$6)</f>
        <v>4+</v>
      </c>
      <c r="R34" s="200"/>
      <c r="S34" s="375"/>
      <c r="T34" s="535"/>
      <c r="U34" s="535"/>
      <c r="V34" s="535"/>
      <c r="W34" s="535"/>
      <c r="X34" s="535"/>
      <c r="Y34" s="535"/>
      <c r="Z34" s="535"/>
      <c r="AA34" s="535"/>
      <c r="AB34" s="535"/>
      <c r="AC34" s="376"/>
      <c r="AD34" s="195"/>
      <c r="AE34" s="30"/>
      <c r="AF34" s="202" t="str">
        <f>IF(Roster!$L$7=0&amp;"+","",Roster!$L$7)</f>
        <v>3+</v>
      </c>
      <c r="AG34" s="200"/>
      <c r="AH34" s="375"/>
      <c r="AI34" s="535"/>
      <c r="AJ34" s="535"/>
      <c r="AK34" s="535"/>
      <c r="AL34" s="535"/>
      <c r="AM34" s="535"/>
      <c r="AN34" s="535"/>
      <c r="AO34" s="535"/>
      <c r="AP34" s="535"/>
      <c r="AQ34" s="535"/>
      <c r="AR34" s="376"/>
      <c r="AS34" s="195"/>
      <c r="AT34" s="30"/>
      <c r="AU34" s="202" t="str">
        <f>IF(Roster!$L$8=0&amp;"+","",Roster!$L$8)</f>
        <v/>
      </c>
      <c r="AV34" s="200"/>
      <c r="AW34" s="375"/>
      <c r="AX34" s="535"/>
      <c r="AY34" s="535"/>
      <c r="AZ34" s="535"/>
      <c r="BA34" s="535"/>
      <c r="BB34" s="535"/>
      <c r="BC34" s="535"/>
      <c r="BD34" s="535"/>
      <c r="BE34" s="535"/>
      <c r="BF34" s="535"/>
      <c r="BG34" s="376"/>
      <c r="BH34" s="195"/>
    </row>
    <row r="35" spans="1:60" s="31" customFormat="1" ht="11.25" customHeight="1">
      <c r="A35" s="30"/>
      <c r="B35" s="199" t="str">
        <f>IF(Roster!$M$1=0,"",Roster!$M$1)</f>
        <v>PA</v>
      </c>
      <c r="C35" s="200"/>
      <c r="D35" s="375"/>
      <c r="E35" s="535"/>
      <c r="F35" s="535"/>
      <c r="G35" s="535"/>
      <c r="H35" s="535"/>
      <c r="I35" s="535"/>
      <c r="J35" s="535"/>
      <c r="K35" s="535"/>
      <c r="L35" s="535"/>
      <c r="M35" s="535"/>
      <c r="N35" s="376"/>
      <c r="O35" s="204"/>
      <c r="P35" s="30"/>
      <c r="Q35" s="199" t="str">
        <f>IF(Roster!$M$1=0,"",Roster!$M$1)</f>
        <v>PA</v>
      </c>
      <c r="R35" s="200"/>
      <c r="S35" s="375"/>
      <c r="T35" s="535"/>
      <c r="U35" s="535"/>
      <c r="V35" s="535"/>
      <c r="W35" s="535"/>
      <c r="X35" s="535"/>
      <c r="Y35" s="535"/>
      <c r="Z35" s="535"/>
      <c r="AA35" s="535"/>
      <c r="AB35" s="535"/>
      <c r="AC35" s="376"/>
      <c r="AD35" s="204"/>
      <c r="AE35" s="30"/>
      <c r="AF35" s="199" t="str">
        <f>IF(Roster!$M$1=0,"",Roster!$M$1)</f>
        <v>PA</v>
      </c>
      <c r="AG35" s="200"/>
      <c r="AH35" s="375"/>
      <c r="AI35" s="535"/>
      <c r="AJ35" s="535"/>
      <c r="AK35" s="535"/>
      <c r="AL35" s="535"/>
      <c r="AM35" s="535"/>
      <c r="AN35" s="535"/>
      <c r="AO35" s="535"/>
      <c r="AP35" s="535"/>
      <c r="AQ35" s="535"/>
      <c r="AR35" s="376"/>
      <c r="AS35" s="204"/>
      <c r="AT35" s="30"/>
      <c r="AU35" s="199" t="str">
        <f>IF(Roster!$M$1=0,"",Roster!$M$1)</f>
        <v>PA</v>
      </c>
      <c r="AV35" s="200"/>
      <c r="AW35" s="375"/>
      <c r="AX35" s="535"/>
      <c r="AY35" s="535"/>
      <c r="AZ35" s="535"/>
      <c r="BA35" s="535"/>
      <c r="BB35" s="535"/>
      <c r="BC35" s="535"/>
      <c r="BD35" s="535"/>
      <c r="BE35" s="535"/>
      <c r="BF35" s="535"/>
      <c r="BG35" s="376"/>
      <c r="BH35" s="204"/>
    </row>
    <row r="36" spans="1:60" s="31" customFormat="1" ht="6" customHeight="1">
      <c r="A36" s="30"/>
      <c r="B36" s="526" t="str">
        <f>IF(Roster!$M$5=0&amp;"+","",Roster!$M$5)</f>
        <v/>
      </c>
      <c r="C36" s="200"/>
      <c r="D36" s="377"/>
      <c r="E36" s="536"/>
      <c r="F36" s="536"/>
      <c r="G36" s="536"/>
      <c r="H36" s="536"/>
      <c r="I36" s="536"/>
      <c r="J36" s="536"/>
      <c r="K36" s="536"/>
      <c r="L36" s="536"/>
      <c r="M36" s="536"/>
      <c r="N36" s="378"/>
      <c r="O36" s="206"/>
      <c r="P36" s="30"/>
      <c r="Q36" s="526" t="str">
        <f>IF(Roster!$M$6=0&amp;"+","",Roster!$M$6)</f>
        <v/>
      </c>
      <c r="R36" s="200"/>
      <c r="S36" s="377"/>
      <c r="T36" s="536"/>
      <c r="U36" s="536"/>
      <c r="V36" s="536"/>
      <c r="W36" s="536"/>
      <c r="X36" s="536"/>
      <c r="Y36" s="536"/>
      <c r="Z36" s="536"/>
      <c r="AA36" s="536"/>
      <c r="AB36" s="536"/>
      <c r="AC36" s="378"/>
      <c r="AD36" s="206"/>
      <c r="AE36" s="30"/>
      <c r="AF36" s="526" t="str">
        <f>IF(Roster!$M$7=0&amp;"+","",Roster!$M$7)</f>
        <v>4+</v>
      </c>
      <c r="AG36" s="200"/>
      <c r="AH36" s="377"/>
      <c r="AI36" s="536"/>
      <c r="AJ36" s="536"/>
      <c r="AK36" s="536"/>
      <c r="AL36" s="536"/>
      <c r="AM36" s="536"/>
      <c r="AN36" s="536"/>
      <c r="AO36" s="536"/>
      <c r="AP36" s="536"/>
      <c r="AQ36" s="536"/>
      <c r="AR36" s="378"/>
      <c r="AS36" s="206"/>
      <c r="AT36" s="30"/>
      <c r="AU36" s="526" t="str">
        <f>IF(Roster!$M$8=0&amp;"+","",Roster!$M$8)</f>
        <v/>
      </c>
      <c r="AV36" s="200"/>
      <c r="AW36" s="377"/>
      <c r="AX36" s="536"/>
      <c r="AY36" s="536"/>
      <c r="AZ36" s="536"/>
      <c r="BA36" s="536"/>
      <c r="BB36" s="536"/>
      <c r="BC36" s="536"/>
      <c r="BD36" s="536"/>
      <c r="BE36" s="536"/>
      <c r="BF36" s="536"/>
      <c r="BG36" s="378"/>
      <c r="BH36" s="206"/>
    </row>
    <row r="37" spans="1:60" s="31" customFormat="1" ht="4.5" customHeight="1">
      <c r="A37" s="30"/>
      <c r="B37" s="527"/>
      <c r="C37" s="198"/>
      <c r="D37" s="207"/>
      <c r="E37" s="205"/>
      <c r="F37" s="207"/>
      <c r="G37" s="205"/>
      <c r="H37" s="207"/>
      <c r="I37" s="205"/>
      <c r="J37" s="207"/>
      <c r="K37" s="205"/>
      <c r="L37" s="207"/>
      <c r="M37" s="205"/>
      <c r="N37" s="207"/>
      <c r="O37" s="206"/>
      <c r="P37" s="30"/>
      <c r="Q37" s="527"/>
      <c r="R37" s="198"/>
      <c r="S37" s="207"/>
      <c r="T37" s="205"/>
      <c r="U37" s="207"/>
      <c r="V37" s="205"/>
      <c r="W37" s="207"/>
      <c r="X37" s="205"/>
      <c r="Y37" s="207"/>
      <c r="Z37" s="205"/>
      <c r="AA37" s="207"/>
      <c r="AB37" s="205"/>
      <c r="AC37" s="207"/>
      <c r="AD37" s="206"/>
      <c r="AE37" s="30"/>
      <c r="AF37" s="527"/>
      <c r="AG37" s="198"/>
      <c r="AH37" s="207"/>
      <c r="AI37" s="205"/>
      <c r="AJ37" s="207"/>
      <c r="AK37" s="205"/>
      <c r="AL37" s="207"/>
      <c r="AM37" s="205"/>
      <c r="AN37" s="207"/>
      <c r="AO37" s="205"/>
      <c r="AP37" s="207"/>
      <c r="AQ37" s="205"/>
      <c r="AR37" s="207"/>
      <c r="AS37" s="206"/>
      <c r="AT37" s="30"/>
      <c r="AU37" s="527"/>
      <c r="AV37" s="198"/>
      <c r="AW37" s="207"/>
      <c r="AX37" s="205"/>
      <c r="AY37" s="207"/>
      <c r="AZ37" s="205"/>
      <c r="BA37" s="207"/>
      <c r="BB37" s="205"/>
      <c r="BC37" s="207"/>
      <c r="BD37" s="205"/>
      <c r="BE37" s="207"/>
      <c r="BF37" s="205"/>
      <c r="BG37" s="207"/>
      <c r="BH37" s="206"/>
    </row>
    <row r="38" spans="1:60" s="31" customFormat="1" ht="11.25" customHeight="1">
      <c r="A38" s="30"/>
      <c r="B38" s="527"/>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27"/>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27"/>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27"/>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27"/>
      <c r="C39" s="201"/>
      <c r="D39" s="241" t="str">
        <f>IF(Roster!$AC$5=0,"",Roster!$AC$5)</f>
        <v/>
      </c>
      <c r="E39" s="236"/>
      <c r="F39" s="241" t="str">
        <f>IF((SUM(H39,J39,L39))=0,"",(SUM(H39,J39,L39)))</f>
        <v/>
      </c>
      <c r="G39" s="236"/>
      <c r="H39" s="241" t="str">
        <f>IF(Roster!$AF$5=0,"",Roster!$AF$5)</f>
        <v/>
      </c>
      <c r="I39" s="236"/>
      <c r="J39" s="241" t="str">
        <f>IF(Roster!$AG$5=0,"",Roster!$AG$5)</f>
        <v/>
      </c>
      <c r="K39" s="236"/>
      <c r="L39" s="241" t="str">
        <f>IF(Roster!$AH$5=0,"",Roster!$AH$5)</f>
        <v/>
      </c>
      <c r="M39" s="236"/>
      <c r="N39" s="241" t="str">
        <f>IF(Roster!$AB$5=0,"",Roster!$AB$5)</f>
        <v/>
      </c>
      <c r="O39" s="206"/>
      <c r="P39" s="30"/>
      <c r="Q39" s="527"/>
      <c r="R39" s="201"/>
      <c r="S39" s="241" t="str">
        <f>IF(Roster!$AC$6=0,"",Roster!$AC$6)</f>
        <v/>
      </c>
      <c r="T39" s="236"/>
      <c r="U39" s="241">
        <f>IF((SUM(W39,Y39,AA39))=0,"",(SUM(W39,Y39,AA39)))</f>
        <v>3</v>
      </c>
      <c r="V39" s="236"/>
      <c r="W39" s="241">
        <f>IF(Roster!$AF$6=0,"",Roster!$AF$6)</f>
        <v>1</v>
      </c>
      <c r="X39" s="236"/>
      <c r="Y39" s="241">
        <f>IF(Roster!$AG$6=0,"",Roster!$AG$6)</f>
        <v>2</v>
      </c>
      <c r="Z39" s="236"/>
      <c r="AA39" s="241" t="str">
        <f>IF(Roster!$AH$6=0,"",Roster!$AH$6)</f>
        <v/>
      </c>
      <c r="AB39" s="236"/>
      <c r="AC39" s="241" t="str">
        <f>IF(Roster!$AB$6=0,"",Roster!$AB$6)</f>
        <v/>
      </c>
      <c r="AD39" s="206"/>
      <c r="AE39" s="30"/>
      <c r="AF39" s="527"/>
      <c r="AG39" s="201"/>
      <c r="AH39" s="241">
        <f>IF(Roster!$AC$7=0,"",Roster!$AC$7)</f>
        <v>1</v>
      </c>
      <c r="AI39" s="236"/>
      <c r="AJ39" s="241">
        <f>IF((SUM(AL39,AN39,AP39))=0,"",(SUM(AL39,AN39,AP39)))</f>
        <v>1</v>
      </c>
      <c r="AK39" s="236"/>
      <c r="AL39" s="241">
        <f>IF(Roster!$AF$7=0,"",Roster!$AF$7)</f>
        <v>1</v>
      </c>
      <c r="AM39" s="236"/>
      <c r="AN39" s="241" t="str">
        <f>IF(Roster!$AG$7=0,"",Roster!$AG$7)</f>
        <v/>
      </c>
      <c r="AO39" s="236"/>
      <c r="AP39" s="241" t="str">
        <f>IF(Roster!$AH$7=0,"",Roster!$AH$7)</f>
        <v/>
      </c>
      <c r="AQ39" s="236"/>
      <c r="AR39" s="241" t="str">
        <f>IF(Roster!$AB$7=0,"",Roster!$AB$7)</f>
        <v/>
      </c>
      <c r="AS39" s="206"/>
      <c r="AT39" s="30"/>
      <c r="AU39" s="527"/>
      <c r="AV39" s="201"/>
      <c r="AW39" s="241" t="str">
        <f>IF(Roster!$AC$8=0,"",Roster!$AC$8)</f>
        <v/>
      </c>
      <c r="AX39" s="236"/>
      <c r="AY39" s="241" t="str">
        <f>IF((SUM(BA39,BC39,BE39))=0,"",(SUM(BA39,BC39,BE39)))</f>
        <v/>
      </c>
      <c r="AZ39" s="236"/>
      <c r="BA39" s="241" t="str">
        <f>IF(Roster!$AF$8=0,"",Roster!$AF$8)</f>
        <v/>
      </c>
      <c r="BB39" s="236"/>
      <c r="BC39" s="241" t="str">
        <f>IF(Roster!$AG$8=0,"",Roster!$AG$8)</f>
        <v/>
      </c>
      <c r="BD39" s="236"/>
      <c r="BE39" s="241" t="str">
        <f>IF(Roster!$AH$8=0,"",Roster!$AH$8)</f>
        <v/>
      </c>
      <c r="BF39" s="236"/>
      <c r="BG39" s="241" t="str">
        <f>IF(Roster!$AB$8=0,"",Roster!$AB$8)</f>
        <v/>
      </c>
      <c r="BH39" s="206"/>
    </row>
    <row r="40" spans="1:60" s="31" customFormat="1" ht="4.5" customHeight="1">
      <c r="A40" s="30"/>
      <c r="B40" s="382"/>
      <c r="C40" s="201"/>
      <c r="D40" s="237"/>
      <c r="E40" s="236"/>
      <c r="F40" s="237"/>
      <c r="G40" s="236"/>
      <c r="H40" s="237"/>
      <c r="I40" s="236"/>
      <c r="J40" s="237"/>
      <c r="K40" s="236"/>
      <c r="L40" s="237"/>
      <c r="M40" s="236"/>
      <c r="N40" s="237"/>
      <c r="O40" s="206"/>
      <c r="P40" s="30"/>
      <c r="Q40" s="382"/>
      <c r="R40" s="201"/>
      <c r="S40" s="237"/>
      <c r="T40" s="236"/>
      <c r="U40" s="237"/>
      <c r="V40" s="236"/>
      <c r="W40" s="237"/>
      <c r="X40" s="236"/>
      <c r="Y40" s="237"/>
      <c r="Z40" s="236"/>
      <c r="AA40" s="237"/>
      <c r="AB40" s="236"/>
      <c r="AC40" s="237"/>
      <c r="AD40" s="206"/>
      <c r="AE40" s="30"/>
      <c r="AF40" s="382"/>
      <c r="AG40" s="201"/>
      <c r="AH40" s="237"/>
      <c r="AI40" s="236"/>
      <c r="AJ40" s="237"/>
      <c r="AK40" s="236"/>
      <c r="AL40" s="237"/>
      <c r="AM40" s="236"/>
      <c r="AN40" s="237"/>
      <c r="AO40" s="236"/>
      <c r="AP40" s="237"/>
      <c r="AQ40" s="236"/>
      <c r="AR40" s="237"/>
      <c r="AS40" s="206"/>
      <c r="AT40" s="30"/>
      <c r="AU40" s="382"/>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26" t="str">
        <f>IF(Roster!$N$5=0&amp;"+","",Roster!$N$5)</f>
        <v>10+</v>
      </c>
      <c r="C42" s="201"/>
      <c r="D42" s="241" t="str">
        <f>IF(Roster!$AD$5=0,"",Roster!$AD$5)</f>
        <v/>
      </c>
      <c r="E42" s="236"/>
      <c r="F42" s="241" t="str">
        <f>IF(Roster!$AE$5=0,"",Roster!$AE$5)</f>
        <v/>
      </c>
      <c r="G42" s="236"/>
      <c r="H42" s="241" t="str">
        <f>IF(Roster!$AA$5=0,"",Roster!$AA$5)</f>
        <v/>
      </c>
      <c r="I42" s="236"/>
      <c r="J42" s="241">
        <f>IF(Roster!$AI$5=0,"",Roster!$AI$5)</f>
        <v>1</v>
      </c>
      <c r="K42" s="236"/>
      <c r="L42" s="241">
        <f>IF(Roster!$AJ$5=0,"",Roster!$AJ$5)</f>
        <v>4</v>
      </c>
      <c r="M42" s="236"/>
      <c r="N42" s="241" t="str">
        <f>IF(Roster!$Z$5=0,"",Roster!$Z$5)</f>
        <v/>
      </c>
      <c r="O42" s="208"/>
      <c r="P42" s="30"/>
      <c r="Q42" s="526" t="str">
        <f>IF(Roster!$N$6=0&amp;"+","",Roster!$N$6)</f>
        <v>10+</v>
      </c>
      <c r="R42" s="201"/>
      <c r="S42" s="241" t="str">
        <f>IF(Roster!$AD$6=0,"",Roster!$AD$6)</f>
        <v/>
      </c>
      <c r="T42" s="236"/>
      <c r="U42" s="241" t="str">
        <f>IF(Roster!$AE$6=0,"",Roster!$AE$6)</f>
        <v/>
      </c>
      <c r="V42" s="236"/>
      <c r="W42" s="241" t="str">
        <f>IF(Roster!$AA$6=0,"",Roster!$AA$6)</f>
        <v/>
      </c>
      <c r="X42" s="236"/>
      <c r="Y42" s="241">
        <f>IF(Roster!$AI$6=0,"",Roster!$AI$6)</f>
        <v>2</v>
      </c>
      <c r="Z42" s="236"/>
      <c r="AA42" s="241">
        <f>IF(Roster!$AJ$6=0,"",Roster!$AJ$6)</f>
        <v>14</v>
      </c>
      <c r="AB42" s="236"/>
      <c r="AC42" s="241" t="str">
        <f>IF(Roster!$Z$6=0,"",Roster!$Z$6)</f>
        <v/>
      </c>
      <c r="AD42" s="208"/>
      <c r="AE42" s="30"/>
      <c r="AF42" s="526" t="str">
        <f>IF(Roster!$N$7=0&amp;"+","",Roster!$N$7)</f>
        <v>10+</v>
      </c>
      <c r="AG42" s="201"/>
      <c r="AH42" s="241" t="str">
        <f>IF(Roster!$AD$7=0,"",Roster!$AD$7)</f>
        <v/>
      </c>
      <c r="AI42" s="236"/>
      <c r="AJ42" s="241" t="str">
        <f>IF(Roster!$AE$7=0,"",Roster!$AE$7)</f>
        <v/>
      </c>
      <c r="AK42" s="236"/>
      <c r="AL42" s="241" t="str">
        <f>IF(Roster!$AA$7=0,"",Roster!$AA$7)</f>
        <v/>
      </c>
      <c r="AM42" s="236"/>
      <c r="AN42" s="241">
        <f>IF(Roster!$AI$7=0,"",Roster!$AI$7)</f>
        <v>2</v>
      </c>
      <c r="AO42" s="236"/>
      <c r="AP42" s="241">
        <f>IF(Roster!$AJ$7=0,"",Roster!$AJ$7)</f>
        <v>13</v>
      </c>
      <c r="AQ42" s="236"/>
      <c r="AR42" s="241" t="str">
        <f>IF(Roster!$Z$7=0,"",Roster!$Z$7)</f>
        <v/>
      </c>
      <c r="AS42" s="208"/>
      <c r="AT42" s="30"/>
      <c r="AU42" s="526" t="str">
        <f>IF(Roster!$N$8=0&amp;"+","",Roster!$N$8)</f>
        <v/>
      </c>
      <c r="AV42" s="201"/>
      <c r="AW42" s="241" t="str">
        <f>IF(Roster!$AD$8=0,"",Roster!$AD$8)</f>
        <v/>
      </c>
      <c r="AX42" s="236"/>
      <c r="AY42" s="241" t="str">
        <f>IF(Roster!$AE$8=0,"",Roster!$AE$8)</f>
        <v/>
      </c>
      <c r="AZ42" s="236"/>
      <c r="BA42" s="241" t="str">
        <f>IF(Roster!$AA$8=0,"",Roster!$AA$8)</f>
        <v/>
      </c>
      <c r="BB42" s="236"/>
      <c r="BC42" s="241" t="str">
        <f>IF(Roster!$AI$8=0,"",Roster!$AI$8)</f>
        <v/>
      </c>
      <c r="BD42" s="236"/>
      <c r="BE42" s="241" t="str">
        <f>IF(Roster!$AJ$8=0,"",Roster!$AJ$8)</f>
        <v/>
      </c>
      <c r="BF42" s="236"/>
      <c r="BG42" s="241" t="str">
        <f>IF(Roster!$Z$8=0,"",Roster!$Z$8)</f>
        <v/>
      </c>
      <c r="BH42" s="208"/>
    </row>
    <row r="43" spans="1:60" s="31" customFormat="1" ht="4.5" customHeight="1">
      <c r="A43" s="30"/>
      <c r="B43" s="527"/>
      <c r="C43" s="201"/>
      <c r="D43" s="236"/>
      <c r="E43" s="236"/>
      <c r="F43" s="236"/>
      <c r="G43" s="236"/>
      <c r="H43" s="236"/>
      <c r="I43" s="236"/>
      <c r="J43" s="236"/>
      <c r="K43" s="236"/>
      <c r="L43" s="236"/>
      <c r="M43" s="236"/>
      <c r="N43" s="239"/>
      <c r="O43" s="208"/>
      <c r="P43" s="30"/>
      <c r="Q43" s="527"/>
      <c r="R43" s="201"/>
      <c r="S43" s="236"/>
      <c r="T43" s="236"/>
      <c r="U43" s="236"/>
      <c r="V43" s="236"/>
      <c r="W43" s="236"/>
      <c r="X43" s="236"/>
      <c r="Y43" s="236"/>
      <c r="Z43" s="236"/>
      <c r="AA43" s="236"/>
      <c r="AB43" s="236"/>
      <c r="AC43" s="239"/>
      <c r="AD43" s="208"/>
      <c r="AE43" s="30"/>
      <c r="AF43" s="527"/>
      <c r="AG43" s="201"/>
      <c r="AH43" s="236"/>
      <c r="AI43" s="236"/>
      <c r="AJ43" s="236"/>
      <c r="AK43" s="236"/>
      <c r="AL43" s="236"/>
      <c r="AM43" s="236"/>
      <c r="AN43" s="236"/>
      <c r="AO43" s="236"/>
      <c r="AP43" s="236"/>
      <c r="AQ43" s="236"/>
      <c r="AR43" s="239"/>
      <c r="AS43" s="208"/>
      <c r="AT43" s="30"/>
      <c r="AU43" s="527"/>
      <c r="AV43" s="201"/>
      <c r="AW43" s="236"/>
      <c r="AX43" s="236"/>
      <c r="AY43" s="236"/>
      <c r="AZ43" s="236"/>
      <c r="BA43" s="236"/>
      <c r="BB43" s="236"/>
      <c r="BC43" s="236"/>
      <c r="BD43" s="236"/>
      <c r="BE43" s="236"/>
      <c r="BF43" s="236"/>
      <c r="BG43" s="239"/>
      <c r="BH43" s="208"/>
    </row>
    <row r="44" spans="1:60" s="31" customFormat="1" ht="11.25" customHeight="1">
      <c r="A44" s="30"/>
      <c r="B44" s="527"/>
      <c r="C44" s="201"/>
      <c r="D44" s="523" t="str">
        <f>IF(Roster!$J$25="Italiano","ABILITÀ &amp; TRATTI",(IF(Roster!$J$25="Español","HABILIDADES Y RASGOS","SKILLS &amp; TRAITS")))</f>
        <v>ABILITÀ &amp; TRATTI</v>
      </c>
      <c r="E44" s="524"/>
      <c r="F44" s="524"/>
      <c r="G44" s="524"/>
      <c r="H44" s="524"/>
      <c r="I44" s="524"/>
      <c r="J44" s="524"/>
      <c r="K44" s="524"/>
      <c r="L44" s="524"/>
      <c r="M44" s="524"/>
      <c r="N44" s="525"/>
      <c r="O44" s="208"/>
      <c r="P44" s="30"/>
      <c r="Q44" s="527"/>
      <c r="R44" s="201"/>
      <c r="S44" s="523" t="str">
        <f>IF(Roster!$J$25="Italiano","ABILITÀ &amp; TRATTI",(IF(Roster!$J$25="Español","HABILIDADES Y RASGOS","SKILLS &amp; TRAITS")))</f>
        <v>ABILITÀ &amp; TRATTI</v>
      </c>
      <c r="T44" s="524"/>
      <c r="U44" s="524"/>
      <c r="V44" s="524"/>
      <c r="W44" s="524"/>
      <c r="X44" s="524"/>
      <c r="Y44" s="524"/>
      <c r="Z44" s="524"/>
      <c r="AA44" s="524"/>
      <c r="AB44" s="524"/>
      <c r="AC44" s="525"/>
      <c r="AD44" s="208"/>
      <c r="AE44" s="30"/>
      <c r="AF44" s="527"/>
      <c r="AG44" s="201"/>
      <c r="AH44" s="523" t="str">
        <f>IF(Roster!$J$25="Italiano","ABILITÀ &amp; TRATTI",(IF(Roster!$J$25="Español","HABILIDADES Y RASGOS","SKILLS &amp; TRAITS")))</f>
        <v>ABILITÀ &amp; TRATTI</v>
      </c>
      <c r="AI44" s="524"/>
      <c r="AJ44" s="524"/>
      <c r="AK44" s="524"/>
      <c r="AL44" s="524"/>
      <c r="AM44" s="524"/>
      <c r="AN44" s="524"/>
      <c r="AO44" s="524"/>
      <c r="AP44" s="524"/>
      <c r="AQ44" s="524"/>
      <c r="AR44" s="525"/>
      <c r="AS44" s="208"/>
      <c r="AT44" s="30"/>
      <c r="AU44" s="527"/>
      <c r="AV44" s="201"/>
      <c r="AW44" s="523" t="str">
        <f>IF(Roster!$J$25="Italiano","ABILITÀ &amp; TRATTI",(IF(Roster!$J$25="Español","HABILIDADES Y RASGOS","SKILLS &amp; TRAITS")))</f>
        <v>ABILITÀ &amp; TRATTI</v>
      </c>
      <c r="AX44" s="524"/>
      <c r="AY44" s="524"/>
      <c r="AZ44" s="524"/>
      <c r="BA44" s="524"/>
      <c r="BB44" s="524"/>
      <c r="BC44" s="524"/>
      <c r="BD44" s="524"/>
      <c r="BE44" s="524"/>
      <c r="BF44" s="524"/>
      <c r="BG44" s="525"/>
      <c r="BH44" s="208"/>
    </row>
    <row r="45" spans="1:60" s="31" customFormat="1" ht="6.75" customHeight="1">
      <c r="A45" s="30"/>
      <c r="B45" s="382"/>
      <c r="C45" s="201"/>
      <c r="D45" s="516" t="str">
        <f>IF(Roster!$O$5=0&amp;AQ56,"",Roster!$O$5)</f>
        <v>Animosity (Big Un Blockers) - 1 NI</v>
      </c>
      <c r="E45" s="495"/>
      <c r="F45" s="495"/>
      <c r="G45" s="495"/>
      <c r="H45" s="495"/>
      <c r="I45" s="495"/>
      <c r="J45" s="495"/>
      <c r="K45" s="495"/>
      <c r="L45" s="495"/>
      <c r="M45" s="495"/>
      <c r="N45" s="517"/>
      <c r="O45" s="208"/>
      <c r="P45" s="30"/>
      <c r="Q45" s="382"/>
      <c r="R45" s="201"/>
      <c r="S45" s="516" t="str">
        <f>IF(Roster!$O$6=0&amp;BF66,"",Roster!$O$6)</f>
        <v>Animosity (Big Un Blockers), Block, Guard</v>
      </c>
      <c r="T45" s="495"/>
      <c r="U45" s="495"/>
      <c r="V45" s="495"/>
      <c r="W45" s="495"/>
      <c r="X45" s="495"/>
      <c r="Y45" s="495"/>
      <c r="Z45" s="495"/>
      <c r="AA45" s="495"/>
      <c r="AB45" s="495"/>
      <c r="AC45" s="517"/>
      <c r="AD45" s="208"/>
      <c r="AE45" s="30"/>
      <c r="AF45" s="382"/>
      <c r="AG45" s="201"/>
      <c r="AH45" s="516" t="str">
        <f>IF(Roster!$O$7=0&amp;BU76,"",Roster!$O$7)</f>
        <v>Animosity (alle Mitspieler), Block, Mighty Blow (+1)</v>
      </c>
      <c r="AI45" s="495"/>
      <c r="AJ45" s="495"/>
      <c r="AK45" s="495"/>
      <c r="AL45" s="495"/>
      <c r="AM45" s="495"/>
      <c r="AN45" s="495"/>
      <c r="AO45" s="495"/>
      <c r="AP45" s="495"/>
      <c r="AQ45" s="495"/>
      <c r="AR45" s="517"/>
      <c r="AS45" s="208"/>
      <c r="AT45" s="30"/>
      <c r="AU45" s="382"/>
      <c r="AV45" s="201"/>
      <c r="AW45" s="516" t="str">
        <f>IF(Roster!$O$8=0&amp;CJ86,"",Roster!$O$8)</f>
        <v/>
      </c>
      <c r="AX45" s="495"/>
      <c r="AY45" s="495"/>
      <c r="AZ45" s="495"/>
      <c r="BA45" s="495"/>
      <c r="BB45" s="495"/>
      <c r="BC45" s="495"/>
      <c r="BD45" s="495"/>
      <c r="BE45" s="495"/>
      <c r="BF45" s="495"/>
      <c r="BG45" s="517"/>
      <c r="BH45" s="208"/>
    </row>
    <row r="46" spans="1:60" s="31" customFormat="1" ht="11.25" customHeight="1">
      <c r="A46" s="30"/>
      <c r="B46" s="199" t="str">
        <f>IF(Roster!$AN$1=0,"",Roster!$AN$1)</f>
        <v>COSTO</v>
      </c>
      <c r="C46" s="200"/>
      <c r="D46" s="518"/>
      <c r="E46" s="519"/>
      <c r="F46" s="519"/>
      <c r="G46" s="519"/>
      <c r="H46" s="519"/>
      <c r="I46" s="519"/>
      <c r="J46" s="519"/>
      <c r="K46" s="519"/>
      <c r="L46" s="519"/>
      <c r="M46" s="519"/>
      <c r="N46" s="517"/>
      <c r="O46" s="211"/>
      <c r="P46" s="30"/>
      <c r="Q46" s="199" t="str">
        <f>IF(Roster!$AN$1=0,"",Roster!$AN$1)</f>
        <v>COSTO</v>
      </c>
      <c r="R46" s="200"/>
      <c r="S46" s="518"/>
      <c r="T46" s="519"/>
      <c r="U46" s="519"/>
      <c r="V46" s="519"/>
      <c r="W46" s="519"/>
      <c r="X46" s="519"/>
      <c r="Y46" s="519"/>
      <c r="Z46" s="519"/>
      <c r="AA46" s="519"/>
      <c r="AB46" s="519"/>
      <c r="AC46" s="517"/>
      <c r="AD46" s="211"/>
      <c r="AE46" s="30"/>
      <c r="AF46" s="199" t="str">
        <f>IF(Roster!$AN$1=0,"",Roster!$AN$1)</f>
        <v>COSTO</v>
      </c>
      <c r="AG46" s="200"/>
      <c r="AH46" s="518"/>
      <c r="AI46" s="519"/>
      <c r="AJ46" s="519"/>
      <c r="AK46" s="519"/>
      <c r="AL46" s="519"/>
      <c r="AM46" s="519"/>
      <c r="AN46" s="519"/>
      <c r="AO46" s="519"/>
      <c r="AP46" s="519"/>
      <c r="AQ46" s="519"/>
      <c r="AR46" s="517"/>
      <c r="AS46" s="211"/>
      <c r="AT46" s="30"/>
      <c r="AU46" s="199" t="str">
        <f>IF(Roster!$AN$1=0,"",Roster!$AN$1)</f>
        <v>COSTO</v>
      </c>
      <c r="AV46" s="200"/>
      <c r="AW46" s="518"/>
      <c r="AX46" s="519"/>
      <c r="AY46" s="519"/>
      <c r="AZ46" s="519"/>
      <c r="BA46" s="519"/>
      <c r="BB46" s="519"/>
      <c r="BC46" s="519"/>
      <c r="BD46" s="519"/>
      <c r="BE46" s="519"/>
      <c r="BF46" s="519"/>
      <c r="BG46" s="517"/>
      <c r="BH46" s="211"/>
    </row>
    <row r="47" spans="1:60" s="31" customFormat="1" ht="34.5" customHeight="1">
      <c r="A47" s="30"/>
      <c r="B47" s="213">
        <f>IF(Roster!$AN$5=0,"",Roster!$AN$5)</f>
        <v>90000</v>
      </c>
      <c r="C47" s="214"/>
      <c r="D47" s="520"/>
      <c r="E47" s="521"/>
      <c r="F47" s="521"/>
      <c r="G47" s="521"/>
      <c r="H47" s="521"/>
      <c r="I47" s="521"/>
      <c r="J47" s="521"/>
      <c r="K47" s="521"/>
      <c r="L47" s="521"/>
      <c r="M47" s="521"/>
      <c r="N47" s="522"/>
      <c r="O47" s="211"/>
      <c r="P47" s="30"/>
      <c r="Q47" s="213">
        <f>IF(Roster!$AN$6=0,"",Roster!$AN$6)</f>
        <v>130000</v>
      </c>
      <c r="R47" s="214"/>
      <c r="S47" s="520"/>
      <c r="T47" s="521"/>
      <c r="U47" s="521"/>
      <c r="V47" s="521"/>
      <c r="W47" s="521"/>
      <c r="X47" s="521"/>
      <c r="Y47" s="521"/>
      <c r="Z47" s="521"/>
      <c r="AA47" s="521"/>
      <c r="AB47" s="521"/>
      <c r="AC47" s="522"/>
      <c r="AD47" s="211"/>
      <c r="AE47" s="30"/>
      <c r="AF47" s="213">
        <f>IF(Roster!$AN$7=0,"",Roster!$AN$7)</f>
        <v>100000</v>
      </c>
      <c r="AG47" s="214"/>
      <c r="AH47" s="520"/>
      <c r="AI47" s="521"/>
      <c r="AJ47" s="521"/>
      <c r="AK47" s="521"/>
      <c r="AL47" s="521"/>
      <c r="AM47" s="521"/>
      <c r="AN47" s="521"/>
      <c r="AO47" s="521"/>
      <c r="AP47" s="521"/>
      <c r="AQ47" s="521"/>
      <c r="AR47" s="522"/>
      <c r="AS47" s="211"/>
      <c r="AT47" s="30"/>
      <c r="AU47" s="213" t="str">
        <f>IF(Roster!$AN$8=0,"",Roster!$AN$8)</f>
        <v/>
      </c>
      <c r="AV47" s="214"/>
      <c r="AW47" s="520"/>
      <c r="AX47" s="521"/>
      <c r="AY47" s="521"/>
      <c r="AZ47" s="521"/>
      <c r="BA47" s="521"/>
      <c r="BB47" s="521"/>
      <c r="BC47" s="521"/>
      <c r="BD47" s="521"/>
      <c r="BE47" s="521"/>
      <c r="BF47" s="521"/>
      <c r="BG47" s="522"/>
      <c r="BH47" s="211"/>
    </row>
    <row r="48" spans="1:60" s="31" customFormat="1" ht="4.5" customHeight="1">
      <c r="A48" s="30"/>
      <c r="B48" s="528"/>
      <c r="C48" s="352"/>
      <c r="D48" s="352"/>
      <c r="E48" s="352"/>
      <c r="F48" s="352"/>
      <c r="G48" s="352"/>
      <c r="H48" s="352"/>
      <c r="I48" s="352"/>
      <c r="J48" s="352"/>
      <c r="K48" s="352"/>
      <c r="L48" s="352"/>
      <c r="M48" s="352"/>
      <c r="N48" s="353"/>
      <c r="O48" s="215"/>
      <c r="P48" s="30"/>
      <c r="Q48" s="528"/>
      <c r="R48" s="352"/>
      <c r="S48" s="352"/>
      <c r="T48" s="352"/>
      <c r="U48" s="352"/>
      <c r="V48" s="352"/>
      <c r="W48" s="352"/>
      <c r="X48" s="352"/>
      <c r="Y48" s="352"/>
      <c r="Z48" s="352"/>
      <c r="AA48" s="352"/>
      <c r="AB48" s="352"/>
      <c r="AC48" s="353"/>
      <c r="AD48" s="215"/>
      <c r="AE48" s="30"/>
      <c r="AF48" s="528"/>
      <c r="AG48" s="352"/>
      <c r="AH48" s="352"/>
      <c r="AI48" s="352"/>
      <c r="AJ48" s="352"/>
      <c r="AK48" s="352"/>
      <c r="AL48" s="352"/>
      <c r="AM48" s="352"/>
      <c r="AN48" s="352"/>
      <c r="AO48" s="352"/>
      <c r="AP48" s="352"/>
      <c r="AQ48" s="352"/>
      <c r="AR48" s="353"/>
      <c r="AS48" s="215"/>
      <c r="AT48" s="30"/>
      <c r="AU48" s="528"/>
      <c r="AV48" s="352"/>
      <c r="AW48" s="352"/>
      <c r="AX48" s="352"/>
      <c r="AY48" s="352"/>
      <c r="AZ48" s="352"/>
      <c r="BA48" s="352"/>
      <c r="BB48" s="352"/>
      <c r="BC48" s="352"/>
      <c r="BD48" s="352"/>
      <c r="BE48" s="352"/>
      <c r="BF48" s="352"/>
      <c r="BG48" s="353"/>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29" t="str">
        <f>IF(Roster!$A$9=0,"","#"&amp;Roster!$A$9)</f>
        <v>#8</v>
      </c>
      <c r="C50" s="193"/>
      <c r="D50" s="193"/>
      <c r="E50" s="193"/>
      <c r="F50" s="193"/>
      <c r="G50" s="193"/>
      <c r="H50" s="193"/>
      <c r="I50" s="193"/>
      <c r="J50" s="193"/>
      <c r="K50" s="193"/>
      <c r="L50" s="193"/>
      <c r="M50" s="193"/>
      <c r="N50" s="193"/>
      <c r="O50" s="194"/>
      <c r="P50" s="30"/>
      <c r="Q50" s="529" t="str">
        <f>IF(Roster!$A$10=0,"","#"&amp;Roster!$A$10)</f>
        <v>#9</v>
      </c>
      <c r="R50" s="193"/>
      <c r="S50" s="193"/>
      <c r="T50" s="193"/>
      <c r="U50" s="193"/>
      <c r="V50" s="193"/>
      <c r="W50" s="193"/>
      <c r="X50" s="193"/>
      <c r="Y50" s="193"/>
      <c r="Z50" s="193"/>
      <c r="AA50" s="193"/>
      <c r="AB50" s="193"/>
      <c r="AC50" s="193"/>
      <c r="AD50" s="194"/>
      <c r="AE50" s="30"/>
      <c r="AF50" s="529" t="str">
        <f>IF(Roster!$A$11=0,"","#"&amp;Roster!$A$11)</f>
        <v>#10</v>
      </c>
      <c r="AG50" s="193"/>
      <c r="AH50" s="193"/>
      <c r="AI50" s="193"/>
      <c r="AJ50" s="193"/>
      <c r="AK50" s="193"/>
      <c r="AL50" s="193"/>
      <c r="AM50" s="193"/>
      <c r="AN50" s="193"/>
      <c r="AO50" s="193"/>
      <c r="AP50" s="193"/>
      <c r="AQ50" s="193"/>
      <c r="AR50" s="193"/>
      <c r="AS50" s="194"/>
      <c r="AT50" s="30"/>
      <c r="AU50" s="529"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30"/>
      <c r="C51" s="515" t="str">
        <f>IF(Roster!$B$9=0,"",Roster!$B$9)</f>
        <v>HIPPIE</v>
      </c>
      <c r="D51" s="439"/>
      <c r="E51" s="439"/>
      <c r="F51" s="439"/>
      <c r="G51" s="439"/>
      <c r="H51" s="439"/>
      <c r="I51" s="439"/>
      <c r="J51" s="439"/>
      <c r="K51" s="439"/>
      <c r="L51" s="439"/>
      <c r="M51" s="439"/>
      <c r="N51" s="440"/>
      <c r="O51" s="195"/>
      <c r="P51" s="30"/>
      <c r="Q51" s="530"/>
      <c r="R51" s="515" t="str">
        <f>IF(Roster!$B$10=0,"",Roster!$B$10)</f>
        <v>SULIDAMOR III</v>
      </c>
      <c r="S51" s="439"/>
      <c r="T51" s="439"/>
      <c r="U51" s="439"/>
      <c r="V51" s="439"/>
      <c r="W51" s="439"/>
      <c r="X51" s="439"/>
      <c r="Y51" s="439"/>
      <c r="Z51" s="439"/>
      <c r="AA51" s="439"/>
      <c r="AB51" s="439"/>
      <c r="AC51" s="440"/>
      <c r="AD51" s="195"/>
      <c r="AE51" s="30"/>
      <c r="AF51" s="530"/>
      <c r="AG51" s="515" t="str">
        <f>IF(Roster!$B$11=0,"",Roster!$B$11)</f>
        <v>SPARTAKO</v>
      </c>
      <c r="AH51" s="439"/>
      <c r="AI51" s="439"/>
      <c r="AJ51" s="439"/>
      <c r="AK51" s="439"/>
      <c r="AL51" s="439"/>
      <c r="AM51" s="439"/>
      <c r="AN51" s="439"/>
      <c r="AO51" s="439"/>
      <c r="AP51" s="439"/>
      <c r="AQ51" s="439"/>
      <c r="AR51" s="440"/>
      <c r="AS51" s="195"/>
      <c r="AT51" s="30"/>
      <c r="AU51" s="530"/>
      <c r="AV51" s="515" t="str">
        <f>IF(Roster!$B$12=0,"",Roster!$B$12)</f>
        <v/>
      </c>
      <c r="AW51" s="439"/>
      <c r="AX51" s="439"/>
      <c r="AY51" s="439"/>
      <c r="AZ51" s="439"/>
      <c r="BA51" s="439"/>
      <c r="BB51" s="439"/>
      <c r="BC51" s="439"/>
      <c r="BD51" s="439"/>
      <c r="BE51" s="439"/>
      <c r="BF51" s="439"/>
      <c r="BG51" s="440"/>
      <c r="BH51" s="195"/>
    </row>
    <row r="52" spans="1:60" s="31" customFormat="1" ht="11.25" customHeight="1">
      <c r="A52" s="30"/>
      <c r="B52" s="531"/>
      <c r="C52" s="532" t="str">
        <f>IF(Roster!$C$9=0,"",Roster!$C$9)</f>
        <v>Blitzer</v>
      </c>
      <c r="D52" s="439"/>
      <c r="E52" s="439"/>
      <c r="F52" s="439"/>
      <c r="G52" s="439"/>
      <c r="H52" s="439"/>
      <c r="I52" s="439"/>
      <c r="J52" s="439"/>
      <c r="K52" s="439"/>
      <c r="L52" s="439"/>
      <c r="M52" s="439"/>
      <c r="N52" s="440"/>
      <c r="O52" s="196"/>
      <c r="P52" s="30"/>
      <c r="Q52" s="531"/>
      <c r="R52" s="532" t="str">
        <f>IF(Roster!$C$10=0,"",Roster!$C$10)</f>
        <v>Blitzer</v>
      </c>
      <c r="S52" s="439"/>
      <c r="T52" s="439"/>
      <c r="U52" s="439"/>
      <c r="V52" s="439"/>
      <c r="W52" s="439"/>
      <c r="X52" s="439"/>
      <c r="Y52" s="439"/>
      <c r="Z52" s="439"/>
      <c r="AA52" s="439"/>
      <c r="AB52" s="439"/>
      <c r="AC52" s="440"/>
      <c r="AD52" s="196"/>
      <c r="AE52" s="30"/>
      <c r="AF52" s="531"/>
      <c r="AG52" s="532" t="str">
        <f>IF(Roster!$C$11=0,"",Roster!$C$11)</f>
        <v>Thrower</v>
      </c>
      <c r="AH52" s="439"/>
      <c r="AI52" s="439"/>
      <c r="AJ52" s="439"/>
      <c r="AK52" s="439"/>
      <c r="AL52" s="439"/>
      <c r="AM52" s="439"/>
      <c r="AN52" s="439"/>
      <c r="AO52" s="439"/>
      <c r="AP52" s="439"/>
      <c r="AQ52" s="439"/>
      <c r="AR52" s="440"/>
      <c r="AS52" s="196"/>
      <c r="AT52" s="30"/>
      <c r="AU52" s="531"/>
      <c r="AV52" s="532" t="str">
        <f>IF(Roster!$C$12=0,"",Roster!$C$12)</f>
        <v/>
      </c>
      <c r="AW52" s="439"/>
      <c r="AX52" s="439"/>
      <c r="AY52" s="439"/>
      <c r="AZ52" s="439"/>
      <c r="BA52" s="439"/>
      <c r="BB52" s="439"/>
      <c r="BC52" s="439"/>
      <c r="BD52" s="439"/>
      <c r="BE52" s="439"/>
      <c r="BF52" s="439"/>
      <c r="BG52" s="440"/>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f>IF(Roster!$J$9=0,"",Roster!$J$9)</f>
        <v>6</v>
      </c>
      <c r="C54" s="200"/>
      <c r="D54" s="533"/>
      <c r="E54" s="534"/>
      <c r="F54" s="534"/>
      <c r="G54" s="534"/>
      <c r="H54" s="534"/>
      <c r="I54" s="534"/>
      <c r="J54" s="534"/>
      <c r="K54" s="534"/>
      <c r="L54" s="534"/>
      <c r="M54" s="534"/>
      <c r="N54" s="374"/>
      <c r="O54" s="195"/>
      <c r="P54" s="30"/>
      <c r="Q54" s="202">
        <f>IF(Roster!$J$10=0,"",Roster!$J$10)</f>
        <v>6</v>
      </c>
      <c r="R54" s="200"/>
      <c r="S54" s="533"/>
      <c r="T54" s="534"/>
      <c r="U54" s="534"/>
      <c r="V54" s="534"/>
      <c r="W54" s="534"/>
      <c r="X54" s="534"/>
      <c r="Y54" s="534"/>
      <c r="Z54" s="534"/>
      <c r="AA54" s="534"/>
      <c r="AB54" s="534"/>
      <c r="AC54" s="374"/>
      <c r="AD54" s="195"/>
      <c r="AE54" s="30"/>
      <c r="AF54" s="202">
        <f>IF(Roster!$J$11=0,"",Roster!$J$11)</f>
        <v>5</v>
      </c>
      <c r="AG54" s="200"/>
      <c r="AH54" s="533"/>
      <c r="AI54" s="534"/>
      <c r="AJ54" s="534"/>
      <c r="AK54" s="534"/>
      <c r="AL54" s="534"/>
      <c r="AM54" s="534"/>
      <c r="AN54" s="534"/>
      <c r="AO54" s="534"/>
      <c r="AP54" s="534"/>
      <c r="AQ54" s="534"/>
      <c r="AR54" s="374"/>
      <c r="AS54" s="195"/>
      <c r="AT54" s="30"/>
      <c r="AU54" s="202" t="str">
        <f>IF(Roster!$J$12=0,"",Roster!$J$12)</f>
        <v/>
      </c>
      <c r="AV54" s="200"/>
      <c r="AW54" s="533"/>
      <c r="AX54" s="534"/>
      <c r="AY54" s="534"/>
      <c r="AZ54" s="534"/>
      <c r="BA54" s="534"/>
      <c r="BB54" s="534"/>
      <c r="BC54" s="534"/>
      <c r="BD54" s="534"/>
      <c r="BE54" s="534"/>
      <c r="BF54" s="534"/>
      <c r="BG54" s="374"/>
      <c r="BH54" s="195"/>
    </row>
    <row r="55" spans="1:60" s="31" customFormat="1" ht="11.25" customHeight="1">
      <c r="A55" s="30"/>
      <c r="B55" s="199" t="str">
        <f>IF(Roster!$K$1=0,"",Roster!$K$1)</f>
        <v>ST</v>
      </c>
      <c r="C55" s="200"/>
      <c r="D55" s="375"/>
      <c r="E55" s="535"/>
      <c r="F55" s="535"/>
      <c r="G55" s="535"/>
      <c r="H55" s="535"/>
      <c r="I55" s="535"/>
      <c r="J55" s="535"/>
      <c r="K55" s="535"/>
      <c r="L55" s="535"/>
      <c r="M55" s="535"/>
      <c r="N55" s="376"/>
      <c r="O55" s="195"/>
      <c r="P55" s="30"/>
      <c r="Q55" s="199" t="str">
        <f>IF(Roster!$K$1=0,"",Roster!$K$1)</f>
        <v>ST</v>
      </c>
      <c r="R55" s="200"/>
      <c r="S55" s="375"/>
      <c r="T55" s="535"/>
      <c r="U55" s="535"/>
      <c r="V55" s="535"/>
      <c r="W55" s="535"/>
      <c r="X55" s="535"/>
      <c r="Y55" s="535"/>
      <c r="Z55" s="535"/>
      <c r="AA55" s="535"/>
      <c r="AB55" s="535"/>
      <c r="AC55" s="376"/>
      <c r="AD55" s="195"/>
      <c r="AE55" s="30"/>
      <c r="AF55" s="199" t="str">
        <f>IF(Roster!$K$1=0,"",Roster!$K$1)</f>
        <v>ST</v>
      </c>
      <c r="AG55" s="200"/>
      <c r="AH55" s="375"/>
      <c r="AI55" s="535"/>
      <c r="AJ55" s="535"/>
      <c r="AK55" s="535"/>
      <c r="AL55" s="535"/>
      <c r="AM55" s="535"/>
      <c r="AN55" s="535"/>
      <c r="AO55" s="535"/>
      <c r="AP55" s="535"/>
      <c r="AQ55" s="535"/>
      <c r="AR55" s="376"/>
      <c r="AS55" s="195"/>
      <c r="AT55" s="30"/>
      <c r="AU55" s="199" t="str">
        <f>IF(Roster!$K$1=0,"",Roster!$K$1)</f>
        <v>ST</v>
      </c>
      <c r="AV55" s="200"/>
      <c r="AW55" s="375"/>
      <c r="AX55" s="535"/>
      <c r="AY55" s="535"/>
      <c r="AZ55" s="535"/>
      <c r="BA55" s="535"/>
      <c r="BB55" s="535"/>
      <c r="BC55" s="535"/>
      <c r="BD55" s="535"/>
      <c r="BE55" s="535"/>
      <c r="BF55" s="535"/>
      <c r="BG55" s="376"/>
      <c r="BH55" s="195"/>
    </row>
    <row r="56" spans="1:60" s="31" customFormat="1" ht="37.5" customHeight="1">
      <c r="A56" s="30"/>
      <c r="B56" s="202">
        <f>IF(Roster!$K$9=0,"",Roster!$K$9)</f>
        <v>3</v>
      </c>
      <c r="C56" s="200"/>
      <c r="D56" s="375"/>
      <c r="E56" s="535"/>
      <c r="F56" s="535"/>
      <c r="G56" s="535"/>
      <c r="H56" s="535"/>
      <c r="I56" s="535"/>
      <c r="J56" s="535"/>
      <c r="K56" s="535"/>
      <c r="L56" s="535"/>
      <c r="M56" s="535"/>
      <c r="N56" s="376"/>
      <c r="O56" s="195"/>
      <c r="P56" s="30"/>
      <c r="Q56" s="202">
        <f>IF(Roster!$K$10=0,"",Roster!$K$10)</f>
        <v>3</v>
      </c>
      <c r="R56" s="200"/>
      <c r="S56" s="375"/>
      <c r="T56" s="535"/>
      <c r="U56" s="535"/>
      <c r="V56" s="535"/>
      <c r="W56" s="535"/>
      <c r="X56" s="535"/>
      <c r="Y56" s="535"/>
      <c r="Z56" s="535"/>
      <c r="AA56" s="535"/>
      <c r="AB56" s="535"/>
      <c r="AC56" s="376"/>
      <c r="AD56" s="195"/>
      <c r="AE56" s="30"/>
      <c r="AF56" s="202">
        <f>IF(Roster!$K$11=0,"",Roster!$K$11)</f>
        <v>3</v>
      </c>
      <c r="AG56" s="200"/>
      <c r="AH56" s="375"/>
      <c r="AI56" s="535"/>
      <c r="AJ56" s="535"/>
      <c r="AK56" s="535"/>
      <c r="AL56" s="535"/>
      <c r="AM56" s="535"/>
      <c r="AN56" s="535"/>
      <c r="AO56" s="535"/>
      <c r="AP56" s="535"/>
      <c r="AQ56" s="535"/>
      <c r="AR56" s="376"/>
      <c r="AS56" s="195"/>
      <c r="AT56" s="30"/>
      <c r="AU56" s="202" t="str">
        <f>IF(Roster!$K$12=0,"",Roster!$K$12)</f>
        <v/>
      </c>
      <c r="AV56" s="200"/>
      <c r="AW56" s="375"/>
      <c r="AX56" s="535"/>
      <c r="AY56" s="535"/>
      <c r="AZ56" s="535"/>
      <c r="BA56" s="535"/>
      <c r="BB56" s="535"/>
      <c r="BC56" s="535"/>
      <c r="BD56" s="535"/>
      <c r="BE56" s="535"/>
      <c r="BF56" s="535"/>
      <c r="BG56" s="376"/>
      <c r="BH56" s="195"/>
    </row>
    <row r="57" spans="1:60" s="31" customFormat="1" ht="11.25" customHeight="1">
      <c r="A57" s="30"/>
      <c r="B57" s="199" t="str">
        <f>IF(Roster!$L$1=0,"",Roster!$L$1)</f>
        <v>AG</v>
      </c>
      <c r="C57" s="200"/>
      <c r="D57" s="375"/>
      <c r="E57" s="535"/>
      <c r="F57" s="535"/>
      <c r="G57" s="535"/>
      <c r="H57" s="535"/>
      <c r="I57" s="535"/>
      <c r="J57" s="535"/>
      <c r="K57" s="535"/>
      <c r="L57" s="535"/>
      <c r="M57" s="535"/>
      <c r="N57" s="376"/>
      <c r="O57" s="195"/>
      <c r="P57" s="30"/>
      <c r="Q57" s="199" t="str">
        <f>IF(Roster!$L$1=0,"",Roster!$L$1)</f>
        <v>AG</v>
      </c>
      <c r="R57" s="200"/>
      <c r="S57" s="375"/>
      <c r="T57" s="535"/>
      <c r="U57" s="535"/>
      <c r="V57" s="535"/>
      <c r="W57" s="535"/>
      <c r="X57" s="535"/>
      <c r="Y57" s="535"/>
      <c r="Z57" s="535"/>
      <c r="AA57" s="535"/>
      <c r="AB57" s="535"/>
      <c r="AC57" s="376"/>
      <c r="AD57" s="195"/>
      <c r="AE57" s="30"/>
      <c r="AF57" s="199" t="str">
        <f>IF(Roster!$L$1=0,"",Roster!$L$1)</f>
        <v>AG</v>
      </c>
      <c r="AG57" s="200"/>
      <c r="AH57" s="375"/>
      <c r="AI57" s="535"/>
      <c r="AJ57" s="535"/>
      <c r="AK57" s="535"/>
      <c r="AL57" s="535"/>
      <c r="AM57" s="535"/>
      <c r="AN57" s="535"/>
      <c r="AO57" s="535"/>
      <c r="AP57" s="535"/>
      <c r="AQ57" s="535"/>
      <c r="AR57" s="376"/>
      <c r="AS57" s="195"/>
      <c r="AT57" s="30"/>
      <c r="AU57" s="199" t="str">
        <f>IF(Roster!$L$1=0,"",Roster!$L$1)</f>
        <v>AG</v>
      </c>
      <c r="AV57" s="200"/>
      <c r="AW57" s="375"/>
      <c r="AX57" s="535"/>
      <c r="AY57" s="535"/>
      <c r="AZ57" s="535"/>
      <c r="BA57" s="535"/>
      <c r="BB57" s="535"/>
      <c r="BC57" s="535"/>
      <c r="BD57" s="535"/>
      <c r="BE57" s="535"/>
      <c r="BF57" s="535"/>
      <c r="BG57" s="376"/>
      <c r="BH57" s="195"/>
    </row>
    <row r="58" spans="1:60" s="31" customFormat="1" ht="37.5" customHeight="1">
      <c r="A58" s="30"/>
      <c r="B58" s="202" t="str">
        <f>IF(Roster!$L$9=0&amp;"+","",Roster!$L$9)</f>
        <v>3+</v>
      </c>
      <c r="C58" s="200"/>
      <c r="D58" s="375"/>
      <c r="E58" s="535"/>
      <c r="F58" s="535"/>
      <c r="G58" s="535"/>
      <c r="H58" s="535"/>
      <c r="I58" s="535"/>
      <c r="J58" s="535"/>
      <c r="K58" s="535"/>
      <c r="L58" s="535"/>
      <c r="M58" s="535"/>
      <c r="N58" s="376"/>
      <c r="O58" s="195"/>
      <c r="P58" s="30"/>
      <c r="Q58" s="202" t="str">
        <f>IF(Roster!$L$10=0&amp;"+","",Roster!$L$10)</f>
        <v>3+</v>
      </c>
      <c r="R58" s="200"/>
      <c r="S58" s="375"/>
      <c r="T58" s="535"/>
      <c r="U58" s="535"/>
      <c r="V58" s="535"/>
      <c r="W58" s="535"/>
      <c r="X58" s="535"/>
      <c r="Y58" s="535"/>
      <c r="Z58" s="535"/>
      <c r="AA58" s="535"/>
      <c r="AB58" s="535"/>
      <c r="AC58" s="376"/>
      <c r="AD58" s="195"/>
      <c r="AE58" s="30"/>
      <c r="AF58" s="202" t="str">
        <f>IF(Roster!$L$11=0&amp;"+","",Roster!$L$11)</f>
        <v>3+</v>
      </c>
      <c r="AG58" s="200"/>
      <c r="AH58" s="375"/>
      <c r="AI58" s="535"/>
      <c r="AJ58" s="535"/>
      <c r="AK58" s="535"/>
      <c r="AL58" s="535"/>
      <c r="AM58" s="535"/>
      <c r="AN58" s="535"/>
      <c r="AO58" s="535"/>
      <c r="AP58" s="535"/>
      <c r="AQ58" s="535"/>
      <c r="AR58" s="376"/>
      <c r="AS58" s="195"/>
      <c r="AT58" s="30"/>
      <c r="AU58" s="202" t="str">
        <f>IF(Roster!$L$12=0&amp;"+","",Roster!$L$12)</f>
        <v/>
      </c>
      <c r="AV58" s="200"/>
      <c r="AW58" s="375"/>
      <c r="AX58" s="535"/>
      <c r="AY58" s="535"/>
      <c r="AZ58" s="535"/>
      <c r="BA58" s="535"/>
      <c r="BB58" s="535"/>
      <c r="BC58" s="535"/>
      <c r="BD58" s="535"/>
      <c r="BE58" s="535"/>
      <c r="BF58" s="535"/>
      <c r="BG58" s="376"/>
      <c r="BH58" s="195"/>
    </row>
    <row r="59" spans="1:60" s="31" customFormat="1" ht="11.25" customHeight="1">
      <c r="A59" s="30"/>
      <c r="B59" s="199" t="str">
        <f>IF(Roster!$M$1=0,"",Roster!$M$1)</f>
        <v>PA</v>
      </c>
      <c r="C59" s="200"/>
      <c r="D59" s="375"/>
      <c r="E59" s="535"/>
      <c r="F59" s="535"/>
      <c r="G59" s="535"/>
      <c r="H59" s="535"/>
      <c r="I59" s="535"/>
      <c r="J59" s="535"/>
      <c r="K59" s="535"/>
      <c r="L59" s="535"/>
      <c r="M59" s="535"/>
      <c r="N59" s="376"/>
      <c r="O59" s="204"/>
      <c r="P59" s="30"/>
      <c r="Q59" s="199" t="str">
        <f>IF(Roster!$M$1=0,"",Roster!$M$1)</f>
        <v>PA</v>
      </c>
      <c r="R59" s="200"/>
      <c r="S59" s="375"/>
      <c r="T59" s="535"/>
      <c r="U59" s="535"/>
      <c r="V59" s="535"/>
      <c r="W59" s="535"/>
      <c r="X59" s="535"/>
      <c r="Y59" s="535"/>
      <c r="Z59" s="535"/>
      <c r="AA59" s="535"/>
      <c r="AB59" s="535"/>
      <c r="AC59" s="376"/>
      <c r="AD59" s="204"/>
      <c r="AE59" s="30"/>
      <c r="AF59" s="199" t="str">
        <f>IF(Roster!$M$1=0,"",Roster!$M$1)</f>
        <v>PA</v>
      </c>
      <c r="AG59" s="200"/>
      <c r="AH59" s="375"/>
      <c r="AI59" s="535"/>
      <c r="AJ59" s="535"/>
      <c r="AK59" s="535"/>
      <c r="AL59" s="535"/>
      <c r="AM59" s="535"/>
      <c r="AN59" s="535"/>
      <c r="AO59" s="535"/>
      <c r="AP59" s="535"/>
      <c r="AQ59" s="535"/>
      <c r="AR59" s="376"/>
      <c r="AS59" s="204"/>
      <c r="AT59" s="30"/>
      <c r="AU59" s="199" t="str">
        <f>IF(Roster!$M$1=0,"",Roster!$M$1)</f>
        <v>PA</v>
      </c>
      <c r="AV59" s="200"/>
      <c r="AW59" s="375"/>
      <c r="AX59" s="535"/>
      <c r="AY59" s="535"/>
      <c r="AZ59" s="535"/>
      <c r="BA59" s="535"/>
      <c r="BB59" s="535"/>
      <c r="BC59" s="535"/>
      <c r="BD59" s="535"/>
      <c r="BE59" s="535"/>
      <c r="BF59" s="535"/>
      <c r="BG59" s="376"/>
      <c r="BH59" s="204"/>
    </row>
    <row r="60" spans="1:60" s="31" customFormat="1" ht="6" customHeight="1">
      <c r="A60" s="30"/>
      <c r="B60" s="526" t="str">
        <f>IF(Roster!$M$9=0&amp;"+","",Roster!$M$9)</f>
        <v>4+</v>
      </c>
      <c r="C60" s="200"/>
      <c r="D60" s="377"/>
      <c r="E60" s="536"/>
      <c r="F60" s="536"/>
      <c r="G60" s="536"/>
      <c r="H60" s="536"/>
      <c r="I60" s="536"/>
      <c r="J60" s="536"/>
      <c r="K60" s="536"/>
      <c r="L60" s="536"/>
      <c r="M60" s="536"/>
      <c r="N60" s="378"/>
      <c r="O60" s="206"/>
      <c r="P60" s="30"/>
      <c r="Q60" s="526" t="str">
        <f>IF(Roster!$M$10=0&amp;"+","",Roster!$M$10)</f>
        <v>4+</v>
      </c>
      <c r="R60" s="200"/>
      <c r="S60" s="377"/>
      <c r="T60" s="536"/>
      <c r="U60" s="536"/>
      <c r="V60" s="536"/>
      <c r="W60" s="536"/>
      <c r="X60" s="536"/>
      <c r="Y60" s="536"/>
      <c r="Z60" s="536"/>
      <c r="AA60" s="536"/>
      <c r="AB60" s="536"/>
      <c r="AC60" s="378"/>
      <c r="AD60" s="206"/>
      <c r="AE60" s="30"/>
      <c r="AF60" s="526" t="str">
        <f>IF(Roster!$M$11=0&amp;"+","",Roster!$M$11)</f>
        <v>3+</v>
      </c>
      <c r="AG60" s="200"/>
      <c r="AH60" s="377"/>
      <c r="AI60" s="536"/>
      <c r="AJ60" s="536"/>
      <c r="AK60" s="536"/>
      <c r="AL60" s="536"/>
      <c r="AM60" s="536"/>
      <c r="AN60" s="536"/>
      <c r="AO60" s="536"/>
      <c r="AP60" s="536"/>
      <c r="AQ60" s="536"/>
      <c r="AR60" s="378"/>
      <c r="AS60" s="206"/>
      <c r="AT60" s="30"/>
      <c r="AU60" s="526" t="str">
        <f>IF(Roster!$M$12=0&amp;"+","",Roster!$M$12)</f>
        <v/>
      </c>
      <c r="AV60" s="200"/>
      <c r="AW60" s="377"/>
      <c r="AX60" s="536"/>
      <c r="AY60" s="536"/>
      <c r="AZ60" s="536"/>
      <c r="BA60" s="536"/>
      <c r="BB60" s="536"/>
      <c r="BC60" s="536"/>
      <c r="BD60" s="536"/>
      <c r="BE60" s="536"/>
      <c r="BF60" s="536"/>
      <c r="BG60" s="378"/>
      <c r="BH60" s="206"/>
    </row>
    <row r="61" spans="1:60" s="31" customFormat="1" ht="4.5" customHeight="1">
      <c r="A61" s="30"/>
      <c r="B61" s="527"/>
      <c r="C61" s="198"/>
      <c r="D61" s="207"/>
      <c r="E61" s="205"/>
      <c r="F61" s="207"/>
      <c r="G61" s="205"/>
      <c r="H61" s="207"/>
      <c r="I61" s="205"/>
      <c r="J61" s="207"/>
      <c r="K61" s="205"/>
      <c r="L61" s="207"/>
      <c r="M61" s="205"/>
      <c r="N61" s="207"/>
      <c r="O61" s="206"/>
      <c r="P61" s="30"/>
      <c r="Q61" s="527"/>
      <c r="R61" s="198"/>
      <c r="S61" s="207"/>
      <c r="T61" s="205"/>
      <c r="U61" s="207"/>
      <c r="V61" s="205"/>
      <c r="W61" s="207"/>
      <c r="X61" s="205"/>
      <c r="Y61" s="207"/>
      <c r="Z61" s="205"/>
      <c r="AA61" s="207"/>
      <c r="AB61" s="205"/>
      <c r="AC61" s="207"/>
      <c r="AD61" s="206"/>
      <c r="AE61" s="30"/>
      <c r="AF61" s="527"/>
      <c r="AG61" s="198"/>
      <c r="AH61" s="207"/>
      <c r="AI61" s="205"/>
      <c r="AJ61" s="207"/>
      <c r="AK61" s="205"/>
      <c r="AL61" s="207"/>
      <c r="AM61" s="205"/>
      <c r="AN61" s="207"/>
      <c r="AO61" s="205"/>
      <c r="AP61" s="207"/>
      <c r="AQ61" s="205"/>
      <c r="AR61" s="207"/>
      <c r="AS61" s="206"/>
      <c r="AT61" s="30"/>
      <c r="AU61" s="527"/>
      <c r="AV61" s="198"/>
      <c r="AW61" s="207"/>
      <c r="AX61" s="205"/>
      <c r="AY61" s="207"/>
      <c r="AZ61" s="205"/>
      <c r="BA61" s="207"/>
      <c r="BB61" s="205"/>
      <c r="BC61" s="207"/>
      <c r="BD61" s="205"/>
      <c r="BE61" s="207"/>
      <c r="BF61" s="205"/>
      <c r="BG61" s="207"/>
      <c r="BH61" s="206"/>
    </row>
    <row r="62" spans="1:60" s="31" customFormat="1" ht="11.25" customHeight="1">
      <c r="A62" s="30"/>
      <c r="B62" s="527"/>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27"/>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27"/>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27"/>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27"/>
      <c r="C63" s="201"/>
      <c r="D63" s="241">
        <f>IF(Roster!$AC$9=0,"",Roster!$AC$9)</f>
        <v>2</v>
      </c>
      <c r="E63" s="236"/>
      <c r="F63" s="241">
        <f>IF((SUM(H63,J63,L63))=0,"",(SUM(H63,J63,L63)))</f>
        <v>4</v>
      </c>
      <c r="G63" s="236"/>
      <c r="H63" s="241">
        <f>IF(Roster!$AF$9=0,"",Roster!$AF$9)</f>
        <v>3</v>
      </c>
      <c r="I63" s="236"/>
      <c r="J63" s="241">
        <f>IF(Roster!$AG$9=0,"",Roster!$AG$9)</f>
        <v>1</v>
      </c>
      <c r="K63" s="236"/>
      <c r="L63" s="241" t="str">
        <f>IF(Roster!$AH$9=0,"",Roster!$AH$9)</f>
        <v/>
      </c>
      <c r="M63" s="236"/>
      <c r="N63" s="241" t="str">
        <f>IF(Roster!$AB$9=0,"",Roster!$AB$9)</f>
        <v/>
      </c>
      <c r="O63" s="206"/>
      <c r="P63" s="30"/>
      <c r="Q63" s="527"/>
      <c r="R63" s="201"/>
      <c r="S63" s="241">
        <f>IF(Roster!$AC$10=0,"",Roster!$AC$10)</f>
        <v>1</v>
      </c>
      <c r="T63" s="236"/>
      <c r="U63" s="241">
        <f>IF((SUM(W63,Y63,AA63))=0,"",(SUM(W63,Y63,AA63)))</f>
        <v>1</v>
      </c>
      <c r="V63" s="236"/>
      <c r="W63" s="241" t="str">
        <f>IF(Roster!$AF$10=0,"",Roster!$AF$10)</f>
        <v/>
      </c>
      <c r="X63" s="236"/>
      <c r="Y63" s="241">
        <f>IF(Roster!$AG$10=0,"",Roster!$AG$10)</f>
        <v>1</v>
      </c>
      <c r="Z63" s="236"/>
      <c r="AA63" s="241" t="str">
        <f>IF(Roster!$AH$10=0,"",Roster!$AH$10)</f>
        <v/>
      </c>
      <c r="AB63" s="236"/>
      <c r="AC63" s="241" t="str">
        <f>IF(Roster!$AB$10=0,"",Roster!$AB$10)</f>
        <v/>
      </c>
      <c r="AD63" s="206"/>
      <c r="AE63" s="30"/>
      <c r="AF63" s="527"/>
      <c r="AG63" s="201"/>
      <c r="AH63" s="241">
        <f>IF(Roster!$AC$11=0,"",Roster!$AC$11)</f>
        <v>6</v>
      </c>
      <c r="AI63" s="236"/>
      <c r="AJ63" s="241">
        <f>IF((SUM(AL63,AN63,AP63))=0,"",(SUM(AL63,AN63,AP63)))</f>
        <v>1</v>
      </c>
      <c r="AK63" s="236"/>
      <c r="AL63" s="241">
        <f>IF(Roster!$AF$11=0,"",Roster!$AF$11)</f>
        <v>1</v>
      </c>
      <c r="AM63" s="236"/>
      <c r="AN63" s="241" t="str">
        <f>IF(Roster!$AG$11=0,"",Roster!$AG$11)</f>
        <v/>
      </c>
      <c r="AO63" s="236"/>
      <c r="AP63" s="241" t="str">
        <f>IF(Roster!$AH$11=0,"",Roster!$AH$11)</f>
        <v/>
      </c>
      <c r="AQ63" s="236"/>
      <c r="AR63" s="241">
        <f>IF(Roster!$AB$11=0,"",Roster!$AB$11)</f>
        <v>3</v>
      </c>
      <c r="AS63" s="206"/>
      <c r="AT63" s="30"/>
      <c r="AU63" s="527"/>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382"/>
      <c r="C64" s="201"/>
      <c r="D64" s="237"/>
      <c r="E64" s="236"/>
      <c r="F64" s="237"/>
      <c r="G64" s="236"/>
      <c r="H64" s="237"/>
      <c r="I64" s="236"/>
      <c r="J64" s="237"/>
      <c r="K64" s="236"/>
      <c r="L64" s="237"/>
      <c r="M64" s="236"/>
      <c r="N64" s="237"/>
      <c r="O64" s="206"/>
      <c r="P64" s="30"/>
      <c r="Q64" s="382"/>
      <c r="R64" s="201"/>
      <c r="S64" s="237"/>
      <c r="T64" s="236"/>
      <c r="U64" s="237"/>
      <c r="V64" s="236"/>
      <c r="W64" s="237"/>
      <c r="X64" s="236"/>
      <c r="Y64" s="237"/>
      <c r="Z64" s="236"/>
      <c r="AA64" s="237"/>
      <c r="AB64" s="236"/>
      <c r="AC64" s="237"/>
      <c r="AD64" s="206"/>
      <c r="AE64" s="30"/>
      <c r="AF64" s="382"/>
      <c r="AG64" s="201"/>
      <c r="AH64" s="237"/>
      <c r="AI64" s="236"/>
      <c r="AJ64" s="237"/>
      <c r="AK64" s="236"/>
      <c r="AL64" s="237"/>
      <c r="AM64" s="236"/>
      <c r="AN64" s="237"/>
      <c r="AO64" s="236"/>
      <c r="AP64" s="237"/>
      <c r="AQ64" s="236"/>
      <c r="AR64" s="237"/>
      <c r="AS64" s="206"/>
      <c r="AT64" s="30"/>
      <c r="AU64" s="382"/>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26" t="str">
        <f>IF(Roster!$N$9=0&amp;"+","",Roster!$N$9)</f>
        <v>10+</v>
      </c>
      <c r="C66" s="201"/>
      <c r="D66" s="241" t="str">
        <f>IF(Roster!$AD$9=0,"",Roster!$AD$9)</f>
        <v/>
      </c>
      <c r="E66" s="236"/>
      <c r="F66" s="241" t="str">
        <f>IF(Roster!$AE$9=0,"",Roster!$AE$9)</f>
        <v/>
      </c>
      <c r="G66" s="236"/>
      <c r="H66" s="241" t="str">
        <f>IF(Roster!$AA$9=0,"",Roster!$AA$9)</f>
        <v/>
      </c>
      <c r="I66" s="236"/>
      <c r="J66" s="241">
        <f>IF(Roster!$AI$9=0,"",Roster!$AI$9)</f>
        <v>2</v>
      </c>
      <c r="K66" s="236"/>
      <c r="L66" s="241">
        <f>IF(Roster!$AJ$9=0,"",Roster!$AJ$9)</f>
        <v>22</v>
      </c>
      <c r="M66" s="236"/>
      <c r="N66" s="241" t="str">
        <f>IF(Roster!$Z$9=0,"",Roster!$Z$9)</f>
        <v/>
      </c>
      <c r="O66" s="208"/>
      <c r="P66" s="30"/>
      <c r="Q66" s="526" t="str">
        <f>IF(Roster!$N$10=0&amp;"+","",Roster!$N$10)</f>
        <v>10+</v>
      </c>
      <c r="R66" s="201"/>
      <c r="S66" s="241" t="str">
        <f>IF(Roster!$AD$10=0,"",Roster!$AD$10)</f>
        <v/>
      </c>
      <c r="T66" s="236"/>
      <c r="U66" s="241" t="str">
        <f>IF(Roster!$AE$10=0,"",Roster!$AE$10)</f>
        <v/>
      </c>
      <c r="V66" s="236"/>
      <c r="W66" s="241" t="str">
        <f>IF(Roster!$AA$10=0,"",Roster!$AA$10)</f>
        <v/>
      </c>
      <c r="X66" s="236"/>
      <c r="Y66" s="241" t="str">
        <f>IF(Roster!$AI$10=0,"",Roster!$AI$10)</f>
        <v/>
      </c>
      <c r="Z66" s="236"/>
      <c r="AA66" s="241">
        <f>IF(Roster!$AJ$10=0,"",Roster!$AJ$10)</f>
        <v>5</v>
      </c>
      <c r="AB66" s="236"/>
      <c r="AC66" s="241" t="str">
        <f>IF(Roster!$Z$10=0,"",Roster!$Z$10)</f>
        <v/>
      </c>
      <c r="AD66" s="208"/>
      <c r="AE66" s="30"/>
      <c r="AF66" s="526" t="str">
        <f>IF(Roster!$N$11=0&amp;"+","",Roster!$N$11)</f>
        <v>9+</v>
      </c>
      <c r="AG66" s="201"/>
      <c r="AH66" s="241" t="str">
        <f>IF(Roster!$AD$11=0,"",Roster!$AD$11)</f>
        <v/>
      </c>
      <c r="AI66" s="236"/>
      <c r="AJ66" s="241" t="str">
        <f>IF(Roster!$AE$11=0,"",Roster!$AE$11)</f>
        <v/>
      </c>
      <c r="AK66" s="236"/>
      <c r="AL66" s="241" t="str">
        <f>IF(Roster!$AA$11=0,"",Roster!$AA$11)</f>
        <v/>
      </c>
      <c r="AM66" s="236"/>
      <c r="AN66" s="241" t="str">
        <f>IF(Roster!$AI$11=0,"",Roster!$AI$11)</f>
        <v/>
      </c>
      <c r="AO66" s="236"/>
      <c r="AP66" s="241">
        <f>IF(Roster!$AJ$11=0,"",Roster!$AJ$11)</f>
        <v>23</v>
      </c>
      <c r="AQ66" s="236"/>
      <c r="AR66" s="241" t="str">
        <f>IF(Roster!$Z$11=0,"",Roster!$Z$11)</f>
        <v/>
      </c>
      <c r="AS66" s="208"/>
      <c r="AT66" s="30"/>
      <c r="AU66" s="526" t="str">
        <f>IF(Roster!$N$12=0&amp;"+","",Roster!$N$12)</f>
        <v/>
      </c>
      <c r="AV66" s="201"/>
      <c r="AW66" s="241" t="str">
        <f>IF(Roster!$AD$12=0,"",Roster!$AD$12)</f>
        <v/>
      </c>
      <c r="AX66" s="236"/>
      <c r="AY66" s="241" t="str">
        <f>IF(Roster!$AE$12=0,"",Roster!$AE$12)</f>
        <v/>
      </c>
      <c r="AZ66" s="236"/>
      <c r="BA66" s="241" t="str">
        <f>IF(Roster!$AA$12=0,"",Roster!$AA$12)</f>
        <v/>
      </c>
      <c r="BB66" s="236"/>
      <c r="BC66" s="241" t="str">
        <f>IF(Roster!$AI$12=0,"",Roster!$AI$12)</f>
        <v/>
      </c>
      <c r="BD66" s="236"/>
      <c r="BE66" s="241" t="str">
        <f>IF(Roster!$AJ$12=0,"",Roster!$AJ$12)</f>
        <v/>
      </c>
      <c r="BF66" s="236"/>
      <c r="BG66" s="241" t="str">
        <f>IF(Roster!$Z$12=0,"",Roster!$Z$12)</f>
        <v/>
      </c>
      <c r="BH66" s="208"/>
    </row>
    <row r="67" spans="1:60" s="31" customFormat="1" ht="4.5" customHeight="1">
      <c r="A67" s="30"/>
      <c r="B67" s="527"/>
      <c r="C67" s="201"/>
      <c r="D67" s="236"/>
      <c r="E67" s="236"/>
      <c r="F67" s="236"/>
      <c r="G67" s="236"/>
      <c r="H67" s="236"/>
      <c r="I67" s="236"/>
      <c r="J67" s="236"/>
      <c r="K67" s="236"/>
      <c r="L67" s="236"/>
      <c r="M67" s="236"/>
      <c r="N67" s="239"/>
      <c r="O67" s="208"/>
      <c r="P67" s="30"/>
      <c r="Q67" s="527"/>
      <c r="R67" s="201"/>
      <c r="S67" s="236"/>
      <c r="T67" s="236"/>
      <c r="U67" s="236"/>
      <c r="V67" s="236"/>
      <c r="W67" s="236"/>
      <c r="X67" s="236"/>
      <c r="Y67" s="236"/>
      <c r="Z67" s="236"/>
      <c r="AA67" s="236"/>
      <c r="AB67" s="236"/>
      <c r="AC67" s="239"/>
      <c r="AD67" s="208"/>
      <c r="AE67" s="30"/>
      <c r="AF67" s="527"/>
      <c r="AG67" s="201"/>
      <c r="AH67" s="236"/>
      <c r="AI67" s="236"/>
      <c r="AJ67" s="236"/>
      <c r="AK67" s="236"/>
      <c r="AL67" s="236"/>
      <c r="AM67" s="236"/>
      <c r="AN67" s="236"/>
      <c r="AO67" s="236"/>
      <c r="AP67" s="236"/>
      <c r="AQ67" s="236"/>
      <c r="AR67" s="239"/>
      <c r="AS67" s="208"/>
      <c r="AT67" s="30"/>
      <c r="AU67" s="527"/>
      <c r="AV67" s="201"/>
      <c r="AW67" s="236"/>
      <c r="AX67" s="236"/>
      <c r="AY67" s="236"/>
      <c r="AZ67" s="236"/>
      <c r="BA67" s="236"/>
      <c r="BB67" s="236"/>
      <c r="BC67" s="236"/>
      <c r="BD67" s="236"/>
      <c r="BE67" s="236"/>
      <c r="BF67" s="236"/>
      <c r="BG67" s="239"/>
      <c r="BH67" s="208"/>
    </row>
    <row r="68" spans="1:60" s="31" customFormat="1" ht="11.25" customHeight="1">
      <c r="A68" s="30"/>
      <c r="B68" s="527"/>
      <c r="C68" s="201"/>
      <c r="D68" s="523" t="str">
        <f>IF(Roster!$J$25="Italiano","ABILITÀ &amp; TRATTI",(IF(Roster!$J$25="Español","HABILIDADES Y RASGOS","SKILLS &amp; TRAITS")))</f>
        <v>ABILITÀ &amp; TRATTI</v>
      </c>
      <c r="E68" s="524"/>
      <c r="F68" s="524"/>
      <c r="G68" s="524"/>
      <c r="H68" s="524"/>
      <c r="I68" s="524"/>
      <c r="J68" s="524"/>
      <c r="K68" s="524"/>
      <c r="L68" s="524"/>
      <c r="M68" s="524"/>
      <c r="N68" s="525"/>
      <c r="O68" s="208"/>
      <c r="P68" s="30"/>
      <c r="Q68" s="527"/>
      <c r="R68" s="201"/>
      <c r="S68" s="523" t="str">
        <f>IF(Roster!$J$25="Italiano","ABILITÀ &amp; TRATTI",(IF(Roster!$J$25="Español","HABILIDADES Y RASGOS","SKILLS &amp; TRAITS")))</f>
        <v>ABILITÀ &amp; TRATTI</v>
      </c>
      <c r="T68" s="524"/>
      <c r="U68" s="524"/>
      <c r="V68" s="524"/>
      <c r="W68" s="524"/>
      <c r="X68" s="524"/>
      <c r="Y68" s="524"/>
      <c r="Z68" s="524"/>
      <c r="AA68" s="524"/>
      <c r="AB68" s="524"/>
      <c r="AC68" s="525"/>
      <c r="AD68" s="208"/>
      <c r="AE68" s="30"/>
      <c r="AF68" s="527"/>
      <c r="AG68" s="201"/>
      <c r="AH68" s="523" t="str">
        <f>IF(Roster!$J$25="Italiano","ABILITÀ &amp; TRATTI",(IF(Roster!$J$25="Español","HABILIDADES Y RASGOS","SKILLS &amp; TRAITS")))</f>
        <v>ABILITÀ &amp; TRATTI</v>
      </c>
      <c r="AI68" s="524"/>
      <c r="AJ68" s="524"/>
      <c r="AK68" s="524"/>
      <c r="AL68" s="524"/>
      <c r="AM68" s="524"/>
      <c r="AN68" s="524"/>
      <c r="AO68" s="524"/>
      <c r="AP68" s="524"/>
      <c r="AQ68" s="524"/>
      <c r="AR68" s="525"/>
      <c r="AS68" s="208"/>
      <c r="AT68" s="30"/>
      <c r="AU68" s="527"/>
      <c r="AV68" s="201"/>
      <c r="AW68" s="523" t="str">
        <f>IF(Roster!$J$25="Italiano","ABILITÀ &amp; TRATTI",(IF(Roster!$J$25="Español","HABILIDADES Y RASGOS","SKILLS &amp; TRAITS")))</f>
        <v>ABILITÀ &amp; TRATTI</v>
      </c>
      <c r="AX68" s="524"/>
      <c r="AY68" s="524"/>
      <c r="AZ68" s="524"/>
      <c r="BA68" s="524"/>
      <c r="BB68" s="524"/>
      <c r="BC68" s="524"/>
      <c r="BD68" s="524"/>
      <c r="BE68" s="524"/>
      <c r="BF68" s="524"/>
      <c r="BG68" s="525"/>
      <c r="BH68" s="208"/>
    </row>
    <row r="69" spans="1:60" s="31" customFormat="1" ht="6.75" customHeight="1">
      <c r="A69" s="30"/>
      <c r="B69" s="382"/>
      <c r="C69" s="201"/>
      <c r="D69" s="516" t="str">
        <f>IF(Roster!$O$9=0&amp;AQ50,"",Roster!$O$9)</f>
        <v>Animosity (alle Mitspieler), Block, Mighty Blow (+1), Tackle</v>
      </c>
      <c r="E69" s="495"/>
      <c r="F69" s="495"/>
      <c r="G69" s="495"/>
      <c r="H69" s="495"/>
      <c r="I69" s="495"/>
      <c r="J69" s="495"/>
      <c r="K69" s="495"/>
      <c r="L69" s="495"/>
      <c r="M69" s="495"/>
      <c r="N69" s="517"/>
      <c r="O69" s="208"/>
      <c r="P69" s="30"/>
      <c r="Q69" s="382"/>
      <c r="R69" s="201"/>
      <c r="S69" s="516" t="str">
        <f>IF(Roster!$O$10=0&amp;BF50,"",Roster!$O$10)</f>
        <v>Animosity (alle Mitspieler), Block</v>
      </c>
      <c r="T69" s="495"/>
      <c r="U69" s="495"/>
      <c r="V69" s="495"/>
      <c r="W69" s="495"/>
      <c r="X69" s="495"/>
      <c r="Y69" s="495"/>
      <c r="Z69" s="495"/>
      <c r="AA69" s="495"/>
      <c r="AB69" s="495"/>
      <c r="AC69" s="517"/>
      <c r="AD69" s="208"/>
      <c r="AE69" s="30"/>
      <c r="AF69" s="382"/>
      <c r="AG69" s="201"/>
      <c r="AH69" s="516" t="str">
        <f>IF(Roster!$O$11=0&amp;BU50,"",Roster!$O$11)</f>
        <v>Animosity (alle Mitspieler), Pass, Sure Hands, Leader, Block - 1 NI</v>
      </c>
      <c r="AI69" s="495"/>
      <c r="AJ69" s="495"/>
      <c r="AK69" s="495"/>
      <c r="AL69" s="495"/>
      <c r="AM69" s="495"/>
      <c r="AN69" s="495"/>
      <c r="AO69" s="495"/>
      <c r="AP69" s="495"/>
      <c r="AQ69" s="495"/>
      <c r="AR69" s="517"/>
      <c r="AS69" s="208"/>
      <c r="AT69" s="30"/>
      <c r="AU69" s="382"/>
      <c r="AV69" s="201"/>
      <c r="AW69" s="516" t="str">
        <f>IF(Roster!$O$12=0&amp;CJ50,"",Roster!$O$12)</f>
        <v>0 - 1 NI</v>
      </c>
      <c r="AX69" s="495"/>
      <c r="AY69" s="495"/>
      <c r="AZ69" s="495"/>
      <c r="BA69" s="495"/>
      <c r="BB69" s="495"/>
      <c r="BC69" s="495"/>
      <c r="BD69" s="495"/>
      <c r="BE69" s="495"/>
      <c r="BF69" s="495"/>
      <c r="BG69" s="517"/>
      <c r="BH69" s="208"/>
    </row>
    <row r="70" spans="1:60" s="31" customFormat="1" ht="11.25" customHeight="1">
      <c r="A70" s="30"/>
      <c r="B70" s="199" t="str">
        <f>IF(Roster!$AN$1=0,"",Roster!$AN$1)</f>
        <v>COSTO</v>
      </c>
      <c r="C70" s="200"/>
      <c r="D70" s="518"/>
      <c r="E70" s="519"/>
      <c r="F70" s="519"/>
      <c r="G70" s="519"/>
      <c r="H70" s="519"/>
      <c r="I70" s="519"/>
      <c r="J70" s="519"/>
      <c r="K70" s="519"/>
      <c r="L70" s="519"/>
      <c r="M70" s="519"/>
      <c r="N70" s="517"/>
      <c r="O70" s="211"/>
      <c r="P70" s="30"/>
      <c r="Q70" s="199" t="str">
        <f>IF(Roster!$AN$1=0,"",Roster!$AN$1)</f>
        <v>COSTO</v>
      </c>
      <c r="R70" s="200"/>
      <c r="S70" s="518"/>
      <c r="T70" s="519"/>
      <c r="U70" s="519"/>
      <c r="V70" s="519"/>
      <c r="W70" s="519"/>
      <c r="X70" s="519"/>
      <c r="Y70" s="519"/>
      <c r="Z70" s="519"/>
      <c r="AA70" s="519"/>
      <c r="AB70" s="519"/>
      <c r="AC70" s="517"/>
      <c r="AD70" s="211"/>
      <c r="AE70" s="30"/>
      <c r="AF70" s="199" t="str">
        <f>IF(Roster!$AN$1=0,"",Roster!$AN$1)</f>
        <v>COSTO</v>
      </c>
      <c r="AG70" s="200"/>
      <c r="AH70" s="518"/>
      <c r="AI70" s="519"/>
      <c r="AJ70" s="519"/>
      <c r="AK70" s="519"/>
      <c r="AL70" s="519"/>
      <c r="AM70" s="519"/>
      <c r="AN70" s="519"/>
      <c r="AO70" s="519"/>
      <c r="AP70" s="519"/>
      <c r="AQ70" s="519"/>
      <c r="AR70" s="517"/>
      <c r="AS70" s="211"/>
      <c r="AT70" s="30"/>
      <c r="AU70" s="199" t="str">
        <f>IF(Roster!$AN$1=0,"",Roster!$AN$1)</f>
        <v>COSTO</v>
      </c>
      <c r="AV70" s="200"/>
      <c r="AW70" s="518"/>
      <c r="AX70" s="519"/>
      <c r="AY70" s="519"/>
      <c r="AZ70" s="519"/>
      <c r="BA70" s="519"/>
      <c r="BB70" s="519"/>
      <c r="BC70" s="519"/>
      <c r="BD70" s="519"/>
      <c r="BE70" s="519"/>
      <c r="BF70" s="519"/>
      <c r="BG70" s="517"/>
      <c r="BH70" s="211"/>
    </row>
    <row r="71" spans="1:60" s="31" customFormat="1" ht="34.5" customHeight="1">
      <c r="A71" s="30"/>
      <c r="B71" s="213">
        <f>IF(Roster!$AN$9=0,"",Roster!$AN$9)</f>
        <v>120000</v>
      </c>
      <c r="C71" s="214"/>
      <c r="D71" s="520"/>
      <c r="E71" s="521"/>
      <c r="F71" s="521"/>
      <c r="G71" s="521"/>
      <c r="H71" s="521"/>
      <c r="I71" s="521"/>
      <c r="J71" s="521"/>
      <c r="K71" s="521"/>
      <c r="L71" s="521"/>
      <c r="M71" s="521"/>
      <c r="N71" s="522"/>
      <c r="O71" s="211"/>
      <c r="P71" s="30"/>
      <c r="Q71" s="213">
        <f>IF(Roster!$AN$10=0,"",Roster!$AN$10)</f>
        <v>80000</v>
      </c>
      <c r="R71" s="214"/>
      <c r="S71" s="520"/>
      <c r="T71" s="521"/>
      <c r="U71" s="521"/>
      <c r="V71" s="521"/>
      <c r="W71" s="521"/>
      <c r="X71" s="521"/>
      <c r="Y71" s="521"/>
      <c r="Z71" s="521"/>
      <c r="AA71" s="521"/>
      <c r="AB71" s="521"/>
      <c r="AC71" s="522"/>
      <c r="AD71" s="211"/>
      <c r="AE71" s="30"/>
      <c r="AF71" s="213">
        <f>IF(Roster!$AN$11=0,"",Roster!$AN$11)</f>
        <v>105000</v>
      </c>
      <c r="AG71" s="214"/>
      <c r="AH71" s="520"/>
      <c r="AI71" s="521"/>
      <c r="AJ71" s="521"/>
      <c r="AK71" s="521"/>
      <c r="AL71" s="521"/>
      <c r="AM71" s="521"/>
      <c r="AN71" s="521"/>
      <c r="AO71" s="521"/>
      <c r="AP71" s="521"/>
      <c r="AQ71" s="521"/>
      <c r="AR71" s="522"/>
      <c r="AS71" s="211"/>
      <c r="AT71" s="30"/>
      <c r="AU71" s="213" t="str">
        <f>IF(Roster!$AN$12=0,"",Roster!$AN$12)</f>
        <v/>
      </c>
      <c r="AV71" s="214"/>
      <c r="AW71" s="520"/>
      <c r="AX71" s="521"/>
      <c r="AY71" s="521"/>
      <c r="AZ71" s="521"/>
      <c r="BA71" s="521"/>
      <c r="BB71" s="521"/>
      <c r="BC71" s="521"/>
      <c r="BD71" s="521"/>
      <c r="BE71" s="521"/>
      <c r="BF71" s="521"/>
      <c r="BG71" s="522"/>
      <c r="BH71" s="211"/>
    </row>
    <row r="72" spans="1:60" s="31" customFormat="1" ht="4.5" customHeight="1">
      <c r="A72" s="30"/>
      <c r="B72" s="528"/>
      <c r="C72" s="352"/>
      <c r="D72" s="352"/>
      <c r="E72" s="352"/>
      <c r="F72" s="352"/>
      <c r="G72" s="352"/>
      <c r="H72" s="352"/>
      <c r="I72" s="352"/>
      <c r="J72" s="352"/>
      <c r="K72" s="352"/>
      <c r="L72" s="352"/>
      <c r="M72" s="352"/>
      <c r="N72" s="353"/>
      <c r="O72" s="215"/>
      <c r="P72" s="30"/>
      <c r="Q72" s="528"/>
      <c r="R72" s="352"/>
      <c r="S72" s="352"/>
      <c r="T72" s="352"/>
      <c r="U72" s="352"/>
      <c r="V72" s="352"/>
      <c r="W72" s="352"/>
      <c r="X72" s="352"/>
      <c r="Y72" s="352"/>
      <c r="Z72" s="352"/>
      <c r="AA72" s="352"/>
      <c r="AB72" s="352"/>
      <c r="AC72" s="353"/>
      <c r="AD72" s="215"/>
      <c r="AE72" s="30"/>
      <c r="AF72" s="528"/>
      <c r="AG72" s="352"/>
      <c r="AH72" s="352"/>
      <c r="AI72" s="352"/>
      <c r="AJ72" s="352"/>
      <c r="AK72" s="352"/>
      <c r="AL72" s="352"/>
      <c r="AM72" s="352"/>
      <c r="AN72" s="352"/>
      <c r="AO72" s="352"/>
      <c r="AP72" s="352"/>
      <c r="AQ72" s="352"/>
      <c r="AR72" s="353"/>
      <c r="AS72" s="215"/>
      <c r="AT72" s="30"/>
      <c r="AU72" s="528"/>
      <c r="AV72" s="352"/>
      <c r="AW72" s="352"/>
      <c r="AX72" s="352"/>
      <c r="AY72" s="352"/>
      <c r="AZ72" s="352"/>
      <c r="BA72" s="352"/>
      <c r="BB72" s="352"/>
      <c r="BC72" s="352"/>
      <c r="BD72" s="352"/>
      <c r="BE72" s="352"/>
      <c r="BF72" s="352"/>
      <c r="BG72" s="353"/>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29" t="str">
        <f>IF(Roster!$A$13=0,"","#"&amp;Roster!$A$13)</f>
        <v>#12</v>
      </c>
      <c r="C74" s="193"/>
      <c r="D74" s="193"/>
      <c r="E74" s="193"/>
      <c r="F74" s="193"/>
      <c r="G74" s="193"/>
      <c r="H74" s="193"/>
      <c r="I74" s="193"/>
      <c r="J74" s="193"/>
      <c r="K74" s="193"/>
      <c r="L74" s="193"/>
      <c r="M74" s="193"/>
      <c r="N74" s="193"/>
      <c r="O74" s="194"/>
      <c r="P74" s="30"/>
      <c r="Q74" s="529" t="str">
        <f>IF(Roster!$A$14=0,"","#"&amp;Roster!$A$14)</f>
        <v>#13</v>
      </c>
      <c r="R74" s="193"/>
      <c r="S74" s="193"/>
      <c r="T74" s="193"/>
      <c r="U74" s="193"/>
      <c r="V74" s="193"/>
      <c r="W74" s="193"/>
      <c r="X74" s="193"/>
      <c r="Y74" s="193"/>
      <c r="Z74" s="193"/>
      <c r="AA74" s="193"/>
      <c r="AB74" s="193"/>
      <c r="AC74" s="193"/>
      <c r="AD74" s="194"/>
      <c r="AE74" s="30"/>
      <c r="AF74" s="529" t="str">
        <f>IF(Roster!$A$15=0,"","#"&amp;Roster!$A$15)</f>
        <v>#14</v>
      </c>
      <c r="AG74" s="193"/>
      <c r="AH74" s="193"/>
      <c r="AI74" s="193"/>
      <c r="AJ74" s="193"/>
      <c r="AK74" s="193"/>
      <c r="AL74" s="193"/>
      <c r="AM74" s="193"/>
      <c r="AN74" s="193"/>
      <c r="AO74" s="193"/>
      <c r="AP74" s="193"/>
      <c r="AQ74" s="193"/>
      <c r="AR74" s="193"/>
      <c r="AS74" s="194"/>
      <c r="AT74" s="30"/>
      <c r="AU74" s="529"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30"/>
      <c r="C75" s="515" t="str">
        <f>IF(Roster!$B$13=0,"",Roster!$B$13)</f>
        <v>FREUD</v>
      </c>
      <c r="D75" s="439"/>
      <c r="E75" s="439"/>
      <c r="F75" s="439"/>
      <c r="G75" s="439"/>
      <c r="H75" s="439"/>
      <c r="I75" s="439"/>
      <c r="J75" s="439"/>
      <c r="K75" s="439"/>
      <c r="L75" s="439"/>
      <c r="M75" s="439"/>
      <c r="N75" s="440"/>
      <c r="O75" s="195"/>
      <c r="P75" s="30"/>
      <c r="Q75" s="530"/>
      <c r="R75" s="515" t="str">
        <f>IF(Roster!$B$14=0,"",Roster!$B$14)</f>
        <v>GAUTE</v>
      </c>
      <c r="S75" s="439"/>
      <c r="T75" s="439"/>
      <c r="U75" s="439"/>
      <c r="V75" s="439"/>
      <c r="W75" s="439"/>
      <c r="X75" s="439"/>
      <c r="Y75" s="439"/>
      <c r="Z75" s="439"/>
      <c r="AA75" s="439"/>
      <c r="AB75" s="439"/>
      <c r="AC75" s="440"/>
      <c r="AD75" s="195"/>
      <c r="AE75" s="30"/>
      <c r="AF75" s="530"/>
      <c r="AG75" s="515" t="str">
        <f>IF(Roster!$B$15=0,"",Roster!$B$15)</f>
        <v>MASTRO</v>
      </c>
      <c r="AH75" s="439"/>
      <c r="AI75" s="439"/>
      <c r="AJ75" s="439"/>
      <c r="AK75" s="439"/>
      <c r="AL75" s="439"/>
      <c r="AM75" s="439"/>
      <c r="AN75" s="439"/>
      <c r="AO75" s="439"/>
      <c r="AP75" s="439"/>
      <c r="AQ75" s="439"/>
      <c r="AR75" s="440"/>
      <c r="AS75" s="195"/>
      <c r="AT75" s="30"/>
      <c r="AU75" s="530"/>
      <c r="AV75" s="515" t="str">
        <f>IF(Roster!$B$16=0,"",Roster!$B$16)</f>
        <v>SGAUA</v>
      </c>
      <c r="AW75" s="439"/>
      <c r="AX75" s="439"/>
      <c r="AY75" s="439"/>
      <c r="AZ75" s="439"/>
      <c r="BA75" s="439"/>
      <c r="BB75" s="439"/>
      <c r="BC75" s="439"/>
      <c r="BD75" s="439"/>
      <c r="BE75" s="439"/>
      <c r="BF75" s="439"/>
      <c r="BG75" s="440"/>
      <c r="BH75" s="195"/>
    </row>
    <row r="76" spans="1:60" s="31" customFormat="1" ht="11.25" customHeight="1">
      <c r="A76" s="30"/>
      <c r="B76" s="531"/>
      <c r="C76" s="532" t="str">
        <f>IF(Roster!$C$13=0,"",Roster!$C$13)</f>
        <v>Untrained Troll</v>
      </c>
      <c r="D76" s="439"/>
      <c r="E76" s="439"/>
      <c r="F76" s="439"/>
      <c r="G76" s="439"/>
      <c r="H76" s="439"/>
      <c r="I76" s="439"/>
      <c r="J76" s="439"/>
      <c r="K76" s="439"/>
      <c r="L76" s="439"/>
      <c r="M76" s="439"/>
      <c r="N76" s="440"/>
      <c r="O76" s="196"/>
      <c r="P76" s="30"/>
      <c r="Q76" s="531"/>
      <c r="R76" s="532" t="str">
        <f>IF(Roster!$C$14=0,"",Roster!$C$14)</f>
        <v xml:space="preserve">Goblin </v>
      </c>
      <c r="S76" s="439"/>
      <c r="T76" s="439"/>
      <c r="U76" s="439"/>
      <c r="V76" s="439"/>
      <c r="W76" s="439"/>
      <c r="X76" s="439"/>
      <c r="Y76" s="439"/>
      <c r="Z76" s="439"/>
      <c r="AA76" s="439"/>
      <c r="AB76" s="439"/>
      <c r="AC76" s="440"/>
      <c r="AD76" s="196"/>
      <c r="AE76" s="30"/>
      <c r="AF76" s="531"/>
      <c r="AG76" s="532" t="str">
        <f>IF(Roster!$C$15=0,"",Roster!$C$15)</f>
        <v>Lineman</v>
      </c>
      <c r="AH76" s="439"/>
      <c r="AI76" s="439"/>
      <c r="AJ76" s="439"/>
      <c r="AK76" s="439"/>
      <c r="AL76" s="439"/>
      <c r="AM76" s="439"/>
      <c r="AN76" s="439"/>
      <c r="AO76" s="439"/>
      <c r="AP76" s="439"/>
      <c r="AQ76" s="439"/>
      <c r="AR76" s="440"/>
      <c r="AS76" s="196"/>
      <c r="AT76" s="30"/>
      <c r="AU76" s="531"/>
      <c r="AV76" s="532" t="str">
        <f>IF(Roster!$C$16=0,"",Roster!$C$16)</f>
        <v>Lineman</v>
      </c>
      <c r="AW76" s="439"/>
      <c r="AX76" s="439"/>
      <c r="AY76" s="439"/>
      <c r="AZ76" s="439"/>
      <c r="BA76" s="439"/>
      <c r="BB76" s="439"/>
      <c r="BC76" s="439"/>
      <c r="BD76" s="439"/>
      <c r="BE76" s="439"/>
      <c r="BF76" s="439"/>
      <c r="BG76" s="440"/>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f>IF(Roster!$J$13=0,"",Roster!$J$13)</f>
        <v>4</v>
      </c>
      <c r="C78" s="200"/>
      <c r="D78" s="533"/>
      <c r="E78" s="534"/>
      <c r="F78" s="534"/>
      <c r="G78" s="534"/>
      <c r="H78" s="534"/>
      <c r="I78" s="534"/>
      <c r="J78" s="534"/>
      <c r="K78" s="534"/>
      <c r="L78" s="534"/>
      <c r="M78" s="534"/>
      <c r="N78" s="374"/>
      <c r="O78" s="195"/>
      <c r="P78" s="30"/>
      <c r="Q78" s="202">
        <f>IF(Roster!$J$14=0,"",Roster!$J$14)</f>
        <v>6</v>
      </c>
      <c r="R78" s="200"/>
      <c r="S78" s="533"/>
      <c r="T78" s="534"/>
      <c r="U78" s="534"/>
      <c r="V78" s="534"/>
      <c r="W78" s="534"/>
      <c r="X78" s="534"/>
      <c r="Y78" s="534"/>
      <c r="Z78" s="534"/>
      <c r="AA78" s="534"/>
      <c r="AB78" s="534"/>
      <c r="AC78" s="374"/>
      <c r="AD78" s="195"/>
      <c r="AE78" s="30"/>
      <c r="AF78" s="202">
        <f>IF(Roster!$J$15=0,"",Roster!$J$15)</f>
        <v>5</v>
      </c>
      <c r="AG78" s="200"/>
      <c r="AH78" s="533"/>
      <c r="AI78" s="534"/>
      <c r="AJ78" s="534"/>
      <c r="AK78" s="534"/>
      <c r="AL78" s="534"/>
      <c r="AM78" s="534"/>
      <c r="AN78" s="534"/>
      <c r="AO78" s="534"/>
      <c r="AP78" s="534"/>
      <c r="AQ78" s="534"/>
      <c r="AR78" s="374"/>
      <c r="AS78" s="195"/>
      <c r="AT78" s="30"/>
      <c r="AU78" s="202">
        <f>IF(Roster!$J$16=0,"",Roster!$J$16)</f>
        <v>5</v>
      </c>
      <c r="AV78" s="200"/>
      <c r="AW78" s="533"/>
      <c r="AX78" s="534"/>
      <c r="AY78" s="534"/>
      <c r="AZ78" s="534"/>
      <c r="BA78" s="534"/>
      <c r="BB78" s="534"/>
      <c r="BC78" s="534"/>
      <c r="BD78" s="534"/>
      <c r="BE78" s="534"/>
      <c r="BF78" s="534"/>
      <c r="BG78" s="374"/>
      <c r="BH78" s="195"/>
    </row>
    <row r="79" spans="1:60" s="31" customFormat="1" ht="11.25" customHeight="1">
      <c r="A79" s="30"/>
      <c r="B79" s="199" t="str">
        <f>IF(Roster!$K$1=0,"",Roster!$K$1)</f>
        <v>ST</v>
      </c>
      <c r="C79" s="200"/>
      <c r="D79" s="375"/>
      <c r="E79" s="535"/>
      <c r="F79" s="535"/>
      <c r="G79" s="535"/>
      <c r="H79" s="535"/>
      <c r="I79" s="535"/>
      <c r="J79" s="535"/>
      <c r="K79" s="535"/>
      <c r="L79" s="535"/>
      <c r="M79" s="535"/>
      <c r="N79" s="376"/>
      <c r="O79" s="195"/>
      <c r="P79" s="30"/>
      <c r="Q79" s="199" t="str">
        <f>IF(Roster!$K$1=0,"",Roster!$K$1)</f>
        <v>ST</v>
      </c>
      <c r="R79" s="200"/>
      <c r="S79" s="375"/>
      <c r="T79" s="535"/>
      <c r="U79" s="535"/>
      <c r="V79" s="535"/>
      <c r="W79" s="535"/>
      <c r="X79" s="535"/>
      <c r="Y79" s="535"/>
      <c r="Z79" s="535"/>
      <c r="AA79" s="535"/>
      <c r="AB79" s="535"/>
      <c r="AC79" s="376"/>
      <c r="AD79" s="195"/>
      <c r="AE79" s="30"/>
      <c r="AF79" s="199" t="str">
        <f>IF(Roster!$K$1=0,"",Roster!$K$1)</f>
        <v>ST</v>
      </c>
      <c r="AG79" s="200"/>
      <c r="AH79" s="375"/>
      <c r="AI79" s="535"/>
      <c r="AJ79" s="535"/>
      <c r="AK79" s="535"/>
      <c r="AL79" s="535"/>
      <c r="AM79" s="535"/>
      <c r="AN79" s="535"/>
      <c r="AO79" s="535"/>
      <c r="AP79" s="535"/>
      <c r="AQ79" s="535"/>
      <c r="AR79" s="376"/>
      <c r="AS79" s="195"/>
      <c r="AT79" s="30"/>
      <c r="AU79" s="199" t="str">
        <f>IF(Roster!$K$1=0,"",Roster!$K$1)</f>
        <v>ST</v>
      </c>
      <c r="AV79" s="200"/>
      <c r="AW79" s="375"/>
      <c r="AX79" s="535"/>
      <c r="AY79" s="535"/>
      <c r="AZ79" s="535"/>
      <c r="BA79" s="535"/>
      <c r="BB79" s="535"/>
      <c r="BC79" s="535"/>
      <c r="BD79" s="535"/>
      <c r="BE79" s="535"/>
      <c r="BF79" s="535"/>
      <c r="BG79" s="376"/>
      <c r="BH79" s="195"/>
    </row>
    <row r="80" spans="1:60" s="31" customFormat="1" ht="37.5" customHeight="1">
      <c r="A80" s="30"/>
      <c r="B80" s="202">
        <f>IF(Roster!$K$13=0,"",Roster!$K$13)</f>
        <v>5</v>
      </c>
      <c r="C80" s="200"/>
      <c r="D80" s="375"/>
      <c r="E80" s="535"/>
      <c r="F80" s="535"/>
      <c r="G80" s="535"/>
      <c r="H80" s="535"/>
      <c r="I80" s="535"/>
      <c r="J80" s="535"/>
      <c r="K80" s="535"/>
      <c r="L80" s="535"/>
      <c r="M80" s="535"/>
      <c r="N80" s="376"/>
      <c r="O80" s="195"/>
      <c r="P80" s="30"/>
      <c r="Q80" s="202">
        <f>IF(Roster!$K$14=0,"",Roster!$K$14)</f>
        <v>2</v>
      </c>
      <c r="R80" s="200"/>
      <c r="S80" s="375"/>
      <c r="T80" s="535"/>
      <c r="U80" s="535"/>
      <c r="V80" s="535"/>
      <c r="W80" s="535"/>
      <c r="X80" s="535"/>
      <c r="Y80" s="535"/>
      <c r="Z80" s="535"/>
      <c r="AA80" s="535"/>
      <c r="AB80" s="535"/>
      <c r="AC80" s="376"/>
      <c r="AD80" s="195"/>
      <c r="AE80" s="30"/>
      <c r="AF80" s="202">
        <f>IF(Roster!$K$15=0,"",Roster!$K$15)</f>
        <v>3</v>
      </c>
      <c r="AG80" s="200"/>
      <c r="AH80" s="375"/>
      <c r="AI80" s="535"/>
      <c r="AJ80" s="535"/>
      <c r="AK80" s="535"/>
      <c r="AL80" s="535"/>
      <c r="AM80" s="535"/>
      <c r="AN80" s="535"/>
      <c r="AO80" s="535"/>
      <c r="AP80" s="535"/>
      <c r="AQ80" s="535"/>
      <c r="AR80" s="376"/>
      <c r="AS80" s="195"/>
      <c r="AT80" s="30"/>
      <c r="AU80" s="202">
        <f>IF(Roster!$K$16=0,"",Roster!$K$16)</f>
        <v>3</v>
      </c>
      <c r="AV80" s="200"/>
      <c r="AW80" s="375"/>
      <c r="AX80" s="535"/>
      <c r="AY80" s="535"/>
      <c r="AZ80" s="535"/>
      <c r="BA80" s="535"/>
      <c r="BB80" s="535"/>
      <c r="BC80" s="535"/>
      <c r="BD80" s="535"/>
      <c r="BE80" s="535"/>
      <c r="BF80" s="535"/>
      <c r="BG80" s="376"/>
      <c r="BH80" s="195"/>
    </row>
    <row r="81" spans="1:60" s="31" customFormat="1" ht="11.25" customHeight="1">
      <c r="A81" s="30"/>
      <c r="B81" s="199" t="str">
        <f>IF(Roster!$L$1=0,"",Roster!$L$1)</f>
        <v>AG</v>
      </c>
      <c r="C81" s="200"/>
      <c r="D81" s="375"/>
      <c r="E81" s="535"/>
      <c r="F81" s="535"/>
      <c r="G81" s="535"/>
      <c r="H81" s="535"/>
      <c r="I81" s="535"/>
      <c r="J81" s="535"/>
      <c r="K81" s="535"/>
      <c r="L81" s="535"/>
      <c r="M81" s="535"/>
      <c r="N81" s="376"/>
      <c r="O81" s="195"/>
      <c r="P81" s="30"/>
      <c r="Q81" s="199" t="str">
        <f>IF(Roster!$L$1=0,"",Roster!$L$1)</f>
        <v>AG</v>
      </c>
      <c r="R81" s="200"/>
      <c r="S81" s="375"/>
      <c r="T81" s="535"/>
      <c r="U81" s="535"/>
      <c r="V81" s="535"/>
      <c r="W81" s="535"/>
      <c r="X81" s="535"/>
      <c r="Y81" s="535"/>
      <c r="Z81" s="535"/>
      <c r="AA81" s="535"/>
      <c r="AB81" s="535"/>
      <c r="AC81" s="376"/>
      <c r="AD81" s="195"/>
      <c r="AE81" s="30"/>
      <c r="AF81" s="199" t="str">
        <f>IF(Roster!$L$1=0,"",Roster!$L$1)</f>
        <v>AG</v>
      </c>
      <c r="AG81" s="200"/>
      <c r="AH81" s="375"/>
      <c r="AI81" s="535"/>
      <c r="AJ81" s="535"/>
      <c r="AK81" s="535"/>
      <c r="AL81" s="535"/>
      <c r="AM81" s="535"/>
      <c r="AN81" s="535"/>
      <c r="AO81" s="535"/>
      <c r="AP81" s="535"/>
      <c r="AQ81" s="535"/>
      <c r="AR81" s="376"/>
      <c r="AS81" s="195"/>
      <c r="AT81" s="30"/>
      <c r="AU81" s="199" t="str">
        <f>IF(Roster!$L$1=0,"",Roster!$L$1)</f>
        <v>AG</v>
      </c>
      <c r="AV81" s="200"/>
      <c r="AW81" s="375"/>
      <c r="AX81" s="535"/>
      <c r="AY81" s="535"/>
      <c r="AZ81" s="535"/>
      <c r="BA81" s="535"/>
      <c r="BB81" s="535"/>
      <c r="BC81" s="535"/>
      <c r="BD81" s="535"/>
      <c r="BE81" s="535"/>
      <c r="BF81" s="535"/>
      <c r="BG81" s="376"/>
      <c r="BH81" s="195"/>
    </row>
    <row r="82" spans="1:60" s="31" customFormat="1" ht="37.5" customHeight="1">
      <c r="A82" s="30"/>
      <c r="B82" s="202" t="str">
        <f>IF(Roster!$L$13=0&amp;"+","",Roster!$L$13)</f>
        <v>5+</v>
      </c>
      <c r="C82" s="200"/>
      <c r="D82" s="375"/>
      <c r="E82" s="535"/>
      <c r="F82" s="535"/>
      <c r="G82" s="535"/>
      <c r="H82" s="535"/>
      <c r="I82" s="535"/>
      <c r="J82" s="535"/>
      <c r="K82" s="535"/>
      <c r="L82" s="535"/>
      <c r="M82" s="535"/>
      <c r="N82" s="376"/>
      <c r="O82" s="195"/>
      <c r="P82" s="30"/>
      <c r="Q82" s="202" t="str">
        <f>IF(Roster!$L$14=0&amp;"+","",Roster!$L$14)</f>
        <v>3+</v>
      </c>
      <c r="R82" s="200"/>
      <c r="S82" s="375"/>
      <c r="T82" s="535"/>
      <c r="U82" s="535"/>
      <c r="V82" s="535"/>
      <c r="W82" s="535"/>
      <c r="X82" s="535"/>
      <c r="Y82" s="535"/>
      <c r="Z82" s="535"/>
      <c r="AA82" s="535"/>
      <c r="AB82" s="535"/>
      <c r="AC82" s="376"/>
      <c r="AD82" s="195"/>
      <c r="AE82" s="30"/>
      <c r="AF82" s="202" t="str">
        <f>IF(Roster!$L$15=0&amp;"+","",Roster!$L$15)</f>
        <v>3+</v>
      </c>
      <c r="AG82" s="200"/>
      <c r="AH82" s="375"/>
      <c r="AI82" s="535"/>
      <c r="AJ82" s="535"/>
      <c r="AK82" s="535"/>
      <c r="AL82" s="535"/>
      <c r="AM82" s="535"/>
      <c r="AN82" s="535"/>
      <c r="AO82" s="535"/>
      <c r="AP82" s="535"/>
      <c r="AQ82" s="535"/>
      <c r="AR82" s="376"/>
      <c r="AS82" s="195"/>
      <c r="AT82" s="30"/>
      <c r="AU82" s="202" t="str">
        <f>IF(Roster!$L$16=0&amp;"+","",Roster!$L$16)</f>
        <v>3+</v>
      </c>
      <c r="AV82" s="200"/>
      <c r="AW82" s="375"/>
      <c r="AX82" s="535"/>
      <c r="AY82" s="535"/>
      <c r="AZ82" s="535"/>
      <c r="BA82" s="535"/>
      <c r="BB82" s="535"/>
      <c r="BC82" s="535"/>
      <c r="BD82" s="535"/>
      <c r="BE82" s="535"/>
      <c r="BF82" s="535"/>
      <c r="BG82" s="376"/>
      <c r="BH82" s="195"/>
    </row>
    <row r="83" spans="1:60" s="31" customFormat="1" ht="11.25" customHeight="1">
      <c r="A83" s="30"/>
      <c r="B83" s="199" t="str">
        <f>IF(Roster!$M$1=0,"",Roster!$M$1)</f>
        <v>PA</v>
      </c>
      <c r="C83" s="200"/>
      <c r="D83" s="375"/>
      <c r="E83" s="535"/>
      <c r="F83" s="535"/>
      <c r="G83" s="535"/>
      <c r="H83" s="535"/>
      <c r="I83" s="535"/>
      <c r="J83" s="535"/>
      <c r="K83" s="535"/>
      <c r="L83" s="535"/>
      <c r="M83" s="535"/>
      <c r="N83" s="376"/>
      <c r="O83" s="204"/>
      <c r="P83" s="30"/>
      <c r="Q83" s="199" t="str">
        <f>IF(Roster!$M$1=0,"",Roster!$M$1)</f>
        <v>PA</v>
      </c>
      <c r="R83" s="200"/>
      <c r="S83" s="375"/>
      <c r="T83" s="535"/>
      <c r="U83" s="535"/>
      <c r="V83" s="535"/>
      <c r="W83" s="535"/>
      <c r="X83" s="535"/>
      <c r="Y83" s="535"/>
      <c r="Z83" s="535"/>
      <c r="AA83" s="535"/>
      <c r="AB83" s="535"/>
      <c r="AC83" s="376"/>
      <c r="AD83" s="204"/>
      <c r="AE83" s="30"/>
      <c r="AF83" s="199" t="str">
        <f>IF(Roster!$M$1=0,"",Roster!$M$1)</f>
        <v>PA</v>
      </c>
      <c r="AG83" s="200"/>
      <c r="AH83" s="375"/>
      <c r="AI83" s="535"/>
      <c r="AJ83" s="535"/>
      <c r="AK83" s="535"/>
      <c r="AL83" s="535"/>
      <c r="AM83" s="535"/>
      <c r="AN83" s="535"/>
      <c r="AO83" s="535"/>
      <c r="AP83" s="535"/>
      <c r="AQ83" s="535"/>
      <c r="AR83" s="376"/>
      <c r="AS83" s="204"/>
      <c r="AT83" s="30"/>
      <c r="AU83" s="199" t="str">
        <f>IF(Roster!$M$1=0,"",Roster!$M$1)</f>
        <v>PA</v>
      </c>
      <c r="AV83" s="200"/>
      <c r="AW83" s="375"/>
      <c r="AX83" s="535"/>
      <c r="AY83" s="535"/>
      <c r="AZ83" s="535"/>
      <c r="BA83" s="535"/>
      <c r="BB83" s="535"/>
      <c r="BC83" s="535"/>
      <c r="BD83" s="535"/>
      <c r="BE83" s="535"/>
      <c r="BF83" s="535"/>
      <c r="BG83" s="376"/>
      <c r="BH83" s="204"/>
    </row>
    <row r="84" spans="1:60" s="31" customFormat="1" ht="6" customHeight="1">
      <c r="A84" s="30"/>
      <c r="B84" s="526" t="str">
        <f>IF(Roster!$M$13=0&amp;"+","",Roster!$M$13)</f>
        <v>5+</v>
      </c>
      <c r="C84" s="200"/>
      <c r="D84" s="377"/>
      <c r="E84" s="536"/>
      <c r="F84" s="536"/>
      <c r="G84" s="536"/>
      <c r="H84" s="536"/>
      <c r="I84" s="536"/>
      <c r="J84" s="536"/>
      <c r="K84" s="536"/>
      <c r="L84" s="536"/>
      <c r="M84" s="536"/>
      <c r="N84" s="378"/>
      <c r="O84" s="206"/>
      <c r="P84" s="30"/>
      <c r="Q84" s="526" t="str">
        <f>IF(Roster!$M$14=0&amp;"+","",Roster!$M$14)</f>
        <v>4+</v>
      </c>
      <c r="R84" s="200"/>
      <c r="S84" s="377"/>
      <c r="T84" s="536"/>
      <c r="U84" s="536"/>
      <c r="V84" s="536"/>
      <c r="W84" s="536"/>
      <c r="X84" s="536"/>
      <c r="Y84" s="536"/>
      <c r="Z84" s="536"/>
      <c r="AA84" s="536"/>
      <c r="AB84" s="536"/>
      <c r="AC84" s="378"/>
      <c r="AD84" s="206"/>
      <c r="AE84" s="30"/>
      <c r="AF84" s="526" t="str">
        <f>IF(Roster!$M$15=0&amp;"+","",Roster!$M$15)</f>
        <v>4+</v>
      </c>
      <c r="AG84" s="200"/>
      <c r="AH84" s="377"/>
      <c r="AI84" s="536"/>
      <c r="AJ84" s="536"/>
      <c r="AK84" s="536"/>
      <c r="AL84" s="536"/>
      <c r="AM84" s="536"/>
      <c r="AN84" s="536"/>
      <c r="AO84" s="536"/>
      <c r="AP84" s="536"/>
      <c r="AQ84" s="536"/>
      <c r="AR84" s="378"/>
      <c r="AS84" s="206"/>
      <c r="AT84" s="30"/>
      <c r="AU84" s="526" t="str">
        <f>IF(Roster!$M$16=0&amp;"+","",Roster!$M$16)</f>
        <v>4+</v>
      </c>
      <c r="AV84" s="200"/>
      <c r="AW84" s="377"/>
      <c r="AX84" s="536"/>
      <c r="AY84" s="536"/>
      <c r="AZ84" s="536"/>
      <c r="BA84" s="536"/>
      <c r="BB84" s="536"/>
      <c r="BC84" s="536"/>
      <c r="BD84" s="536"/>
      <c r="BE84" s="536"/>
      <c r="BF84" s="536"/>
      <c r="BG84" s="378"/>
      <c r="BH84" s="206"/>
    </row>
    <row r="85" spans="1:60" s="31" customFormat="1" ht="4.5" customHeight="1">
      <c r="A85" s="30"/>
      <c r="B85" s="527"/>
      <c r="C85" s="198"/>
      <c r="D85" s="207"/>
      <c r="E85" s="205"/>
      <c r="F85" s="207"/>
      <c r="G85" s="205"/>
      <c r="H85" s="207"/>
      <c r="I85" s="205"/>
      <c r="J85" s="207"/>
      <c r="K85" s="205"/>
      <c r="L85" s="207"/>
      <c r="M85" s="205"/>
      <c r="N85" s="207"/>
      <c r="O85" s="206"/>
      <c r="P85" s="30"/>
      <c r="Q85" s="527"/>
      <c r="R85" s="198"/>
      <c r="S85" s="207"/>
      <c r="T85" s="205"/>
      <c r="U85" s="207"/>
      <c r="V85" s="205"/>
      <c r="W85" s="207"/>
      <c r="X85" s="205"/>
      <c r="Y85" s="207"/>
      <c r="Z85" s="205"/>
      <c r="AA85" s="207"/>
      <c r="AB85" s="205"/>
      <c r="AC85" s="207"/>
      <c r="AD85" s="206"/>
      <c r="AE85" s="30"/>
      <c r="AF85" s="527"/>
      <c r="AG85" s="198"/>
      <c r="AH85" s="207"/>
      <c r="AI85" s="205"/>
      <c r="AJ85" s="207"/>
      <c r="AK85" s="205"/>
      <c r="AL85" s="207"/>
      <c r="AM85" s="205"/>
      <c r="AN85" s="207"/>
      <c r="AO85" s="205"/>
      <c r="AP85" s="207"/>
      <c r="AQ85" s="205"/>
      <c r="AR85" s="207"/>
      <c r="AS85" s="206"/>
      <c r="AT85" s="30"/>
      <c r="AU85" s="527"/>
      <c r="AV85" s="198"/>
      <c r="AW85" s="207"/>
      <c r="AX85" s="205"/>
      <c r="AY85" s="207"/>
      <c r="AZ85" s="205"/>
      <c r="BA85" s="207"/>
      <c r="BB85" s="205"/>
      <c r="BC85" s="207"/>
      <c r="BD85" s="205"/>
      <c r="BE85" s="207"/>
      <c r="BF85" s="205"/>
      <c r="BG85" s="207"/>
      <c r="BH85" s="206"/>
    </row>
    <row r="86" spans="1:60" s="31" customFormat="1" ht="11.25" customHeight="1">
      <c r="A86" s="30"/>
      <c r="B86" s="527"/>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27"/>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27"/>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27"/>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27"/>
      <c r="C87" s="201"/>
      <c r="D87" s="241" t="str">
        <f>IF(Roster!$AC$13=0,"",Roster!$AC$13)</f>
        <v/>
      </c>
      <c r="E87" s="236"/>
      <c r="F87" s="241">
        <f>IF((SUM(H87,J87,L87))=0,"",(SUM(H87,J87,L87)))</f>
        <v>5</v>
      </c>
      <c r="G87" s="236"/>
      <c r="H87" s="241">
        <f>IF(Roster!$AF$13=0,"",Roster!$AF$13)</f>
        <v>2</v>
      </c>
      <c r="I87" s="236"/>
      <c r="J87" s="241">
        <f>IF(Roster!$AG$13=0,"",Roster!$AG$13)</f>
        <v>2</v>
      </c>
      <c r="K87" s="236"/>
      <c r="L87" s="241">
        <f>IF(Roster!$AH$13=0,"",Roster!$AH$13)</f>
        <v>1</v>
      </c>
      <c r="M87" s="236"/>
      <c r="N87" s="241" t="str">
        <f>IF(Roster!$AB$13=0,"",Roster!$AB$13)</f>
        <v/>
      </c>
      <c r="O87" s="206"/>
      <c r="P87" s="30"/>
      <c r="Q87" s="527"/>
      <c r="R87" s="201"/>
      <c r="S87" s="241">
        <f>IF(Roster!$AC$14=0,"",Roster!$AC$14)</f>
        <v>2</v>
      </c>
      <c r="T87" s="236"/>
      <c r="U87" s="241" t="str">
        <f>IF((SUM(W87,Y87,AA87))=0,"",(SUM(W87,Y87,AA87)))</f>
        <v/>
      </c>
      <c r="V87" s="236"/>
      <c r="W87" s="241" t="str">
        <f>IF(Roster!$AF$14=0,"",Roster!$AF$14)</f>
        <v/>
      </c>
      <c r="X87" s="236"/>
      <c r="Y87" s="241" t="str">
        <f>IF(Roster!$AG$14=0,"",Roster!$AG$14)</f>
        <v/>
      </c>
      <c r="Z87" s="236"/>
      <c r="AA87" s="241" t="str">
        <f>IF(Roster!$AH$14=0,"",Roster!$AH$14)</f>
        <v/>
      </c>
      <c r="AB87" s="236"/>
      <c r="AC87" s="241" t="str">
        <f>IF(Roster!$AB$14=0,"",Roster!$AB$14)</f>
        <v/>
      </c>
      <c r="AD87" s="206"/>
      <c r="AE87" s="30"/>
      <c r="AF87" s="527"/>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27"/>
      <c r="AV87" s="201"/>
      <c r="AW87" s="241" t="str">
        <f>IF(Roster!$AC$16=0,"",Roster!$AC$16)</f>
        <v/>
      </c>
      <c r="AX87" s="236"/>
      <c r="AY87" s="241">
        <f>IF((SUM(BA87,BC87,BE87))=0,"",(SUM(BA87,BC87,BE87)))</f>
        <v>1</v>
      </c>
      <c r="AZ87" s="236"/>
      <c r="BA87" s="241" t="str">
        <f>IF(Roster!$AF$16=0,"",Roster!$AF$16)</f>
        <v/>
      </c>
      <c r="BB87" s="236"/>
      <c r="BC87" s="241">
        <f>IF(Roster!$AG$16=0,"",Roster!$AG$16)</f>
        <v>1</v>
      </c>
      <c r="BD87" s="236"/>
      <c r="BE87" s="241" t="str">
        <f>IF(Roster!$AH$16=0,"",Roster!$AH$16)</f>
        <v/>
      </c>
      <c r="BF87" s="236"/>
      <c r="BG87" s="241" t="str">
        <f>IF(Roster!$AB$16=0,"",Roster!$AB$16)</f>
        <v/>
      </c>
      <c r="BH87" s="206"/>
    </row>
    <row r="88" spans="1:60" s="31" customFormat="1" ht="4.5" customHeight="1">
      <c r="A88" s="30"/>
      <c r="B88" s="382"/>
      <c r="C88" s="201"/>
      <c r="D88" s="237"/>
      <c r="E88" s="236"/>
      <c r="F88" s="237"/>
      <c r="G88" s="236"/>
      <c r="H88" s="237"/>
      <c r="I88" s="236"/>
      <c r="J88" s="237"/>
      <c r="K88" s="236"/>
      <c r="L88" s="237"/>
      <c r="M88" s="236"/>
      <c r="N88" s="237"/>
      <c r="O88" s="206"/>
      <c r="P88" s="30"/>
      <c r="Q88" s="382"/>
      <c r="R88" s="201"/>
      <c r="S88" s="237"/>
      <c r="T88" s="236"/>
      <c r="U88" s="237"/>
      <c r="V88" s="236"/>
      <c r="W88" s="237"/>
      <c r="X88" s="236"/>
      <c r="Y88" s="237"/>
      <c r="Z88" s="236"/>
      <c r="AA88" s="237"/>
      <c r="AB88" s="236"/>
      <c r="AC88" s="237"/>
      <c r="AD88" s="206"/>
      <c r="AE88" s="30"/>
      <c r="AF88" s="382"/>
      <c r="AG88" s="201"/>
      <c r="AH88" s="237"/>
      <c r="AI88" s="236"/>
      <c r="AJ88" s="237"/>
      <c r="AK88" s="236"/>
      <c r="AL88" s="237"/>
      <c r="AM88" s="236"/>
      <c r="AN88" s="237"/>
      <c r="AO88" s="236"/>
      <c r="AP88" s="237"/>
      <c r="AQ88" s="236"/>
      <c r="AR88" s="237"/>
      <c r="AS88" s="206"/>
      <c r="AT88" s="30"/>
      <c r="AU88" s="382"/>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26" t="str">
        <f>IF(Roster!$N$13=0&amp;"+","",Roster!$N$13)</f>
        <v>10+</v>
      </c>
      <c r="C90" s="201"/>
      <c r="D90" s="241" t="str">
        <f>IF(Roster!$AD$13=0,"",Roster!$AD$13)</f>
        <v/>
      </c>
      <c r="E90" s="236"/>
      <c r="F90" s="241" t="str">
        <f>IF(Roster!$AE$13=0,"",Roster!$AE$13)</f>
        <v/>
      </c>
      <c r="G90" s="236"/>
      <c r="H90" s="241">
        <f>IF(Roster!$AA$13=0,"",Roster!$AA$13)</f>
        <v>1</v>
      </c>
      <c r="I90" s="236"/>
      <c r="J90" s="241" t="str">
        <f>IF(Roster!$AI$13=0,"",Roster!$AI$13)</f>
        <v/>
      </c>
      <c r="K90" s="236"/>
      <c r="L90" s="241">
        <f>IF(Roster!$AJ$13=0,"",Roster!$AJ$13)</f>
        <v>11</v>
      </c>
      <c r="M90" s="236"/>
      <c r="N90" s="241" t="str">
        <f>IF(Roster!$Z$13=0,"",Roster!$Z$13)</f>
        <v/>
      </c>
      <c r="O90" s="208"/>
      <c r="P90" s="30"/>
      <c r="Q90" s="526" t="str">
        <f>IF(Roster!$N$14=0&amp;"+","",Roster!$N$14)</f>
        <v>8+</v>
      </c>
      <c r="R90" s="201"/>
      <c r="S90" s="241" t="str">
        <f>IF(Roster!$AD$14=0,"",Roster!$AD$14)</f>
        <v/>
      </c>
      <c r="T90" s="236"/>
      <c r="U90" s="241" t="str">
        <f>IF(Roster!$AE$14=0,"",Roster!$AE$14)</f>
        <v/>
      </c>
      <c r="V90" s="236"/>
      <c r="W90" s="241" t="str">
        <f>IF(Roster!$AA$14=0,"",Roster!$AA$14)</f>
        <v/>
      </c>
      <c r="X90" s="236"/>
      <c r="Y90" s="241">
        <f>IF(Roster!$AI$14=0,"",Roster!$AI$14)</f>
        <v>1</v>
      </c>
      <c r="Z90" s="236"/>
      <c r="AA90" s="241">
        <f>IF(Roster!$AJ$14=0,"",Roster!$AJ$14)</f>
        <v>10</v>
      </c>
      <c r="AB90" s="236"/>
      <c r="AC90" s="241" t="str">
        <f>IF(Roster!$Z$14=0,"",Roster!$Z$14)</f>
        <v/>
      </c>
      <c r="AD90" s="208"/>
      <c r="AE90" s="30"/>
      <c r="AF90" s="526" t="str">
        <f>IF(Roster!$N$15=0&amp;"+","",Roster!$N$15)</f>
        <v>10+</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26" t="str">
        <f>IF(Roster!$N$16=0&amp;"+","",Roster!$N$16)</f>
        <v>10+</v>
      </c>
      <c r="AV90" s="201"/>
      <c r="AW90" s="241" t="str">
        <f>IF(Roster!$AD$16=0,"",Roster!$AD$16)</f>
        <v/>
      </c>
      <c r="AX90" s="236"/>
      <c r="AY90" s="241" t="str">
        <f>IF(Roster!$AE$16=0,"",Roster!$AE$16)</f>
        <v/>
      </c>
      <c r="AZ90" s="236"/>
      <c r="BA90" s="241" t="str">
        <f>IF(Roster!$AA$16=0,"",Roster!$AA$16)</f>
        <v/>
      </c>
      <c r="BB90" s="236"/>
      <c r="BC90" s="241" t="str">
        <f>IF(Roster!$AI$16=0,"",Roster!$AI$16)</f>
        <v/>
      </c>
      <c r="BD90" s="236"/>
      <c r="BE90" s="241">
        <f>IF(Roster!$AJ$16=0,"",Roster!$AJ$16)</f>
        <v>2</v>
      </c>
      <c r="BF90" s="236"/>
      <c r="BG90" s="241" t="str">
        <f>IF(Roster!$Z$16=0,"",Roster!$Z$16)</f>
        <v/>
      </c>
      <c r="BH90" s="208"/>
    </row>
    <row r="91" spans="1:60" s="31" customFormat="1" ht="4.5" customHeight="1">
      <c r="A91" s="30"/>
      <c r="B91" s="527"/>
      <c r="C91" s="201"/>
      <c r="D91" s="236"/>
      <c r="E91" s="236"/>
      <c r="F91" s="236"/>
      <c r="G91" s="236"/>
      <c r="H91" s="236"/>
      <c r="I91" s="236"/>
      <c r="J91" s="236"/>
      <c r="K91" s="236"/>
      <c r="L91" s="236"/>
      <c r="M91" s="236"/>
      <c r="N91" s="239"/>
      <c r="O91" s="208"/>
      <c r="P91" s="30"/>
      <c r="Q91" s="527"/>
      <c r="R91" s="201"/>
      <c r="S91" s="236"/>
      <c r="T91" s="236"/>
      <c r="U91" s="236"/>
      <c r="V91" s="236"/>
      <c r="W91" s="236"/>
      <c r="X91" s="236"/>
      <c r="Y91" s="236"/>
      <c r="Z91" s="236"/>
      <c r="AA91" s="236"/>
      <c r="AB91" s="236"/>
      <c r="AC91" s="239"/>
      <c r="AD91" s="208"/>
      <c r="AE91" s="30"/>
      <c r="AF91" s="527"/>
      <c r="AG91" s="201"/>
      <c r="AH91" s="236"/>
      <c r="AI91" s="236"/>
      <c r="AJ91" s="236"/>
      <c r="AK91" s="236"/>
      <c r="AL91" s="236"/>
      <c r="AM91" s="236"/>
      <c r="AN91" s="236"/>
      <c r="AO91" s="236"/>
      <c r="AP91" s="236"/>
      <c r="AQ91" s="236"/>
      <c r="AR91" s="239"/>
      <c r="AS91" s="208"/>
      <c r="AT91" s="30"/>
      <c r="AU91" s="527"/>
      <c r="AV91" s="201"/>
      <c r="AW91" s="236"/>
      <c r="AX91" s="236"/>
      <c r="AY91" s="236"/>
      <c r="AZ91" s="236"/>
      <c r="BA91" s="236"/>
      <c r="BB91" s="236"/>
      <c r="BC91" s="236"/>
      <c r="BD91" s="236"/>
      <c r="BE91" s="236"/>
      <c r="BF91" s="236"/>
      <c r="BG91" s="239"/>
      <c r="BH91" s="208"/>
    </row>
    <row r="92" spans="1:60" s="31" customFormat="1" ht="11.25" customHeight="1">
      <c r="A92" s="30"/>
      <c r="B92" s="527"/>
      <c r="C92" s="201"/>
      <c r="D92" s="523" t="str">
        <f>IF(Roster!$J$25="Italiano","ABILITÀ &amp; TRATTI",(IF(Roster!$J$25="Español","HABILIDADES Y RASGOS","SKILLS &amp; TRAITS")))</f>
        <v>ABILITÀ &amp; TRATTI</v>
      </c>
      <c r="E92" s="524"/>
      <c r="F92" s="524"/>
      <c r="G92" s="524"/>
      <c r="H92" s="524"/>
      <c r="I92" s="524"/>
      <c r="J92" s="524"/>
      <c r="K92" s="524"/>
      <c r="L92" s="524"/>
      <c r="M92" s="524"/>
      <c r="N92" s="525"/>
      <c r="O92" s="208"/>
      <c r="P92" s="30"/>
      <c r="Q92" s="527"/>
      <c r="R92" s="201"/>
      <c r="S92" s="523" t="str">
        <f>IF(Roster!$J$25="Italiano","ABILITÀ &amp; TRATTI",(IF(Roster!$J$25="Español","HABILIDADES Y RASGOS","SKILLS &amp; TRAITS")))</f>
        <v>ABILITÀ &amp; TRATTI</v>
      </c>
      <c r="T92" s="524"/>
      <c r="U92" s="524"/>
      <c r="V92" s="524"/>
      <c r="W92" s="524"/>
      <c r="X92" s="524"/>
      <c r="Y92" s="524"/>
      <c r="Z92" s="524"/>
      <c r="AA92" s="524"/>
      <c r="AB92" s="524"/>
      <c r="AC92" s="525"/>
      <c r="AD92" s="208"/>
      <c r="AE92" s="30"/>
      <c r="AF92" s="527"/>
      <c r="AG92" s="201"/>
      <c r="AH92" s="523" t="str">
        <f>IF(Roster!$J$25="Italiano","ABILITÀ &amp; TRATTI",(IF(Roster!$J$25="Español","HABILIDADES Y RASGOS","SKILLS &amp; TRAITS")))</f>
        <v>ABILITÀ &amp; TRATTI</v>
      </c>
      <c r="AI92" s="524"/>
      <c r="AJ92" s="524"/>
      <c r="AK92" s="524"/>
      <c r="AL92" s="524"/>
      <c r="AM92" s="524"/>
      <c r="AN92" s="524"/>
      <c r="AO92" s="524"/>
      <c r="AP92" s="524"/>
      <c r="AQ92" s="524"/>
      <c r="AR92" s="525"/>
      <c r="AS92" s="208"/>
      <c r="AT92" s="30"/>
      <c r="AU92" s="527"/>
      <c r="AV92" s="201"/>
      <c r="AW92" s="523" t="str">
        <f>IF(Roster!$J$25="Italiano","ABILITÀ &amp; TRATTI",(IF(Roster!$J$25="Español","HABILIDADES Y RASGOS","SKILLS &amp; TRAITS")))</f>
        <v>ABILITÀ &amp; TRATTI</v>
      </c>
      <c r="AX92" s="524"/>
      <c r="AY92" s="524"/>
      <c r="AZ92" s="524"/>
      <c r="BA92" s="524"/>
      <c r="BB92" s="524"/>
      <c r="BC92" s="524"/>
      <c r="BD92" s="524"/>
      <c r="BE92" s="524"/>
      <c r="BF92" s="524"/>
      <c r="BG92" s="525"/>
      <c r="BH92" s="208"/>
    </row>
    <row r="93" spans="1:60" s="31" customFormat="1" ht="6.75" customHeight="1">
      <c r="A93" s="30"/>
      <c r="B93" s="382"/>
      <c r="C93" s="201"/>
      <c r="D93" s="516" t="str">
        <f>IF(Roster!$O$13=0&amp;AQ74,"",Roster!$O$13)</f>
        <v>Always Hungry, Loner (4+), Mighty Blow (+1), Projectile Vomit, Really Stupid, Regeneration, Throw Team-mate, Guard</v>
      </c>
      <c r="E93" s="495"/>
      <c r="F93" s="495"/>
      <c r="G93" s="495"/>
      <c r="H93" s="495"/>
      <c r="I93" s="495"/>
      <c r="J93" s="495"/>
      <c r="K93" s="495"/>
      <c r="L93" s="495"/>
      <c r="M93" s="495"/>
      <c r="N93" s="517"/>
      <c r="O93" s="208"/>
      <c r="P93" s="30"/>
      <c r="Q93" s="382"/>
      <c r="R93" s="201"/>
      <c r="S93" s="516" t="str">
        <f>IF(Roster!$O$14=0&amp;BF74,"",Roster!$O$14)</f>
        <v>Dodge, Right Stuff, Stunty</v>
      </c>
      <c r="T93" s="495"/>
      <c r="U93" s="495"/>
      <c r="V93" s="495"/>
      <c r="W93" s="495"/>
      <c r="X93" s="495"/>
      <c r="Y93" s="495"/>
      <c r="Z93" s="495"/>
      <c r="AA93" s="495"/>
      <c r="AB93" s="495"/>
      <c r="AC93" s="517"/>
      <c r="AD93" s="208"/>
      <c r="AE93" s="30"/>
      <c r="AF93" s="382"/>
      <c r="AG93" s="201"/>
      <c r="AH93" s="516" t="str">
        <f>IF(Roster!$O$15=0&amp;BU74,"",Roster!$O$15)</f>
        <v>Animosity (Orc Linemen)</v>
      </c>
      <c r="AI93" s="495"/>
      <c r="AJ93" s="495"/>
      <c r="AK93" s="495"/>
      <c r="AL93" s="495"/>
      <c r="AM93" s="495"/>
      <c r="AN93" s="495"/>
      <c r="AO93" s="495"/>
      <c r="AP93" s="495"/>
      <c r="AQ93" s="495"/>
      <c r="AR93" s="517"/>
      <c r="AS93" s="208"/>
      <c r="AT93" s="30"/>
      <c r="AU93" s="382"/>
      <c r="AV93" s="201"/>
      <c r="AW93" s="516" t="str">
        <f>IF(Roster!$O$16=0&amp;CJ74,"",Roster!$O$16)</f>
        <v>Animosity (Orc Linemen)</v>
      </c>
      <c r="AX93" s="495"/>
      <c r="AY93" s="495"/>
      <c r="AZ93" s="495"/>
      <c r="BA93" s="495"/>
      <c r="BB93" s="495"/>
      <c r="BC93" s="495"/>
      <c r="BD93" s="495"/>
      <c r="BE93" s="495"/>
      <c r="BF93" s="495"/>
      <c r="BG93" s="517"/>
      <c r="BH93" s="208"/>
    </row>
    <row r="94" spans="1:60" s="31" customFormat="1" ht="11.25" customHeight="1">
      <c r="A94" s="30"/>
      <c r="B94" s="199" t="str">
        <f>IF(Roster!$AN$1=0,"",Roster!$AN$1)</f>
        <v>COSTO</v>
      </c>
      <c r="C94" s="200"/>
      <c r="D94" s="518"/>
      <c r="E94" s="519"/>
      <c r="F94" s="519"/>
      <c r="G94" s="519"/>
      <c r="H94" s="519"/>
      <c r="I94" s="519"/>
      <c r="J94" s="519"/>
      <c r="K94" s="519"/>
      <c r="L94" s="519"/>
      <c r="M94" s="519"/>
      <c r="N94" s="517"/>
      <c r="O94" s="211"/>
      <c r="P94" s="30"/>
      <c r="Q94" s="199" t="str">
        <f>IF(Roster!$AN$1=0,"",Roster!$AN$1)</f>
        <v>COSTO</v>
      </c>
      <c r="R94" s="200"/>
      <c r="S94" s="518"/>
      <c r="T94" s="519"/>
      <c r="U94" s="519"/>
      <c r="V94" s="519"/>
      <c r="W94" s="519"/>
      <c r="X94" s="519"/>
      <c r="Y94" s="519"/>
      <c r="Z94" s="519"/>
      <c r="AA94" s="519"/>
      <c r="AB94" s="519"/>
      <c r="AC94" s="517"/>
      <c r="AD94" s="211"/>
      <c r="AE94" s="30"/>
      <c r="AF94" s="199" t="str">
        <f>IF(Roster!$AN$1=0,"",Roster!$AN$1)</f>
        <v>COSTO</v>
      </c>
      <c r="AG94" s="200"/>
      <c r="AH94" s="518"/>
      <c r="AI94" s="519"/>
      <c r="AJ94" s="519"/>
      <c r="AK94" s="519"/>
      <c r="AL94" s="519"/>
      <c r="AM94" s="519"/>
      <c r="AN94" s="519"/>
      <c r="AO94" s="519"/>
      <c r="AP94" s="519"/>
      <c r="AQ94" s="519"/>
      <c r="AR94" s="517"/>
      <c r="AS94" s="211"/>
      <c r="AT94" s="30"/>
      <c r="AU94" s="199" t="str">
        <f>IF(Roster!$AN$1=0,"",Roster!$AN$1)</f>
        <v>COSTO</v>
      </c>
      <c r="AV94" s="200"/>
      <c r="AW94" s="518"/>
      <c r="AX94" s="519"/>
      <c r="AY94" s="519"/>
      <c r="AZ94" s="519"/>
      <c r="BA94" s="519"/>
      <c r="BB94" s="519"/>
      <c r="BC94" s="519"/>
      <c r="BD94" s="519"/>
      <c r="BE94" s="519"/>
      <c r="BF94" s="519"/>
      <c r="BG94" s="517"/>
      <c r="BH94" s="211"/>
    </row>
    <row r="95" spans="1:60" s="31" customFormat="1" ht="34.5" customHeight="1">
      <c r="A95" s="30"/>
      <c r="B95" s="213">
        <f>IF(Roster!$AN$13=0,"",Roster!$AN$13)</f>
        <v>135000</v>
      </c>
      <c r="C95" s="214"/>
      <c r="D95" s="520"/>
      <c r="E95" s="521"/>
      <c r="F95" s="521"/>
      <c r="G95" s="521"/>
      <c r="H95" s="521"/>
      <c r="I95" s="521"/>
      <c r="J95" s="521"/>
      <c r="K95" s="521"/>
      <c r="L95" s="521"/>
      <c r="M95" s="521"/>
      <c r="N95" s="522"/>
      <c r="O95" s="211"/>
      <c r="P95" s="30"/>
      <c r="Q95" s="213">
        <f>IF(Roster!$AN$14=0,"",Roster!$AN$14)</f>
        <v>40000</v>
      </c>
      <c r="R95" s="214"/>
      <c r="S95" s="520"/>
      <c r="T95" s="521"/>
      <c r="U95" s="521"/>
      <c r="V95" s="521"/>
      <c r="W95" s="521"/>
      <c r="X95" s="521"/>
      <c r="Y95" s="521"/>
      <c r="Z95" s="521"/>
      <c r="AA95" s="521"/>
      <c r="AB95" s="521"/>
      <c r="AC95" s="522"/>
      <c r="AD95" s="211"/>
      <c r="AE95" s="30"/>
      <c r="AF95" s="213">
        <f>IF(Roster!$AN$15=0,"",Roster!$AN$15)</f>
        <v>50000</v>
      </c>
      <c r="AG95" s="214"/>
      <c r="AH95" s="520"/>
      <c r="AI95" s="521"/>
      <c r="AJ95" s="521"/>
      <c r="AK95" s="521"/>
      <c r="AL95" s="521"/>
      <c r="AM95" s="521"/>
      <c r="AN95" s="521"/>
      <c r="AO95" s="521"/>
      <c r="AP95" s="521"/>
      <c r="AQ95" s="521"/>
      <c r="AR95" s="522"/>
      <c r="AS95" s="211"/>
      <c r="AT95" s="30"/>
      <c r="AU95" s="213">
        <f>IF(Roster!$AN$16=0,"",Roster!$AN$16)</f>
        <v>50000</v>
      </c>
      <c r="AV95" s="214"/>
      <c r="AW95" s="520"/>
      <c r="AX95" s="521"/>
      <c r="AY95" s="521"/>
      <c r="AZ95" s="521"/>
      <c r="BA95" s="521"/>
      <c r="BB95" s="521"/>
      <c r="BC95" s="521"/>
      <c r="BD95" s="521"/>
      <c r="BE95" s="521"/>
      <c r="BF95" s="521"/>
      <c r="BG95" s="522"/>
      <c r="BH95" s="211"/>
    </row>
    <row r="96" spans="1:60" s="31" customFormat="1" ht="4.5" customHeight="1">
      <c r="A96" s="30"/>
      <c r="B96" s="528"/>
      <c r="C96" s="352"/>
      <c r="D96" s="352"/>
      <c r="E96" s="352"/>
      <c r="F96" s="352"/>
      <c r="G96" s="352"/>
      <c r="H96" s="352"/>
      <c r="I96" s="352"/>
      <c r="J96" s="352"/>
      <c r="K96" s="352"/>
      <c r="L96" s="352"/>
      <c r="M96" s="352"/>
      <c r="N96" s="353"/>
      <c r="O96" s="215"/>
      <c r="P96" s="30"/>
      <c r="Q96" s="528"/>
      <c r="R96" s="352"/>
      <c r="S96" s="352"/>
      <c r="T96" s="352"/>
      <c r="U96" s="352"/>
      <c r="V96" s="352"/>
      <c r="W96" s="352"/>
      <c r="X96" s="352"/>
      <c r="Y96" s="352"/>
      <c r="Z96" s="352"/>
      <c r="AA96" s="352"/>
      <c r="AB96" s="352"/>
      <c r="AC96" s="353"/>
      <c r="AD96" s="215"/>
      <c r="AE96" s="30"/>
      <c r="AF96" s="528"/>
      <c r="AG96" s="352"/>
      <c r="AH96" s="352"/>
      <c r="AI96" s="352"/>
      <c r="AJ96" s="352"/>
      <c r="AK96" s="352"/>
      <c r="AL96" s="352"/>
      <c r="AM96" s="352"/>
      <c r="AN96" s="352"/>
      <c r="AO96" s="352"/>
      <c r="AP96" s="352"/>
      <c r="AQ96" s="352"/>
      <c r="AR96" s="353"/>
      <c r="AS96" s="215"/>
      <c r="AT96" s="30"/>
      <c r="AU96" s="528"/>
      <c r="AV96" s="352"/>
      <c r="AW96" s="352"/>
      <c r="AX96" s="352"/>
      <c r="AY96" s="352"/>
      <c r="AZ96" s="352"/>
      <c r="BA96" s="352"/>
      <c r="BB96" s="352"/>
      <c r="BC96" s="352"/>
      <c r="BD96" s="352"/>
      <c r="BE96" s="352"/>
      <c r="BF96" s="352"/>
      <c r="BG96" s="353"/>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29" t="str">
        <f>IF(Roster!$A$17=0,"","#"&amp;Roster!$A$17)</f>
        <v>#16</v>
      </c>
      <c r="C98" s="193"/>
      <c r="D98" s="193"/>
      <c r="E98" s="193"/>
      <c r="F98" s="193"/>
      <c r="G98" s="193"/>
      <c r="H98" s="193"/>
      <c r="I98" s="193"/>
      <c r="J98" s="193"/>
      <c r="K98" s="193"/>
      <c r="L98" s="193"/>
      <c r="M98" s="193"/>
      <c r="N98" s="193"/>
      <c r="O98" s="194"/>
      <c r="P98" s="30"/>
      <c r="Q98" s="529"/>
      <c r="R98" s="193"/>
      <c r="S98" s="193"/>
      <c r="T98" s="193"/>
      <c r="U98" s="193"/>
      <c r="V98" s="193"/>
      <c r="W98" s="193"/>
      <c r="X98" s="193"/>
      <c r="Y98" s="193"/>
      <c r="Z98" s="193"/>
      <c r="AA98" s="193"/>
      <c r="AB98" s="193"/>
      <c r="AC98" s="193"/>
      <c r="AD98" s="194"/>
      <c r="AE98" s="207"/>
      <c r="AF98" s="529"/>
      <c r="AG98" s="193"/>
      <c r="AH98" s="193"/>
      <c r="AI98" s="193"/>
      <c r="AJ98" s="193"/>
      <c r="AK98" s="193"/>
      <c r="AL98" s="193"/>
      <c r="AM98" s="193"/>
      <c r="AN98" s="193"/>
      <c r="AO98" s="193"/>
      <c r="AP98" s="193"/>
      <c r="AQ98" s="193"/>
      <c r="AR98" s="193"/>
      <c r="AS98" s="194"/>
      <c r="AT98" s="207"/>
      <c r="AU98" s="529"/>
      <c r="AV98" s="193"/>
      <c r="AW98" s="193"/>
      <c r="AX98" s="193"/>
      <c r="AY98" s="193"/>
      <c r="AZ98" s="193"/>
      <c r="BA98" s="193"/>
      <c r="BB98" s="193"/>
      <c r="BC98" s="193"/>
      <c r="BD98" s="193"/>
      <c r="BE98" s="193"/>
      <c r="BF98" s="193"/>
      <c r="BG98" s="193"/>
      <c r="BH98" s="194"/>
      <c r="BI98" s="216"/>
    </row>
    <row r="99" spans="1:61" ht="15" customHeight="1">
      <c r="A99" s="30"/>
      <c r="B99" s="530"/>
      <c r="C99" s="515" t="str">
        <f>IF(Roster!$B$17=0,"",Roster!$B$17)</f>
        <v/>
      </c>
      <c r="D99" s="439"/>
      <c r="E99" s="439"/>
      <c r="F99" s="439"/>
      <c r="G99" s="439"/>
      <c r="H99" s="439"/>
      <c r="I99" s="439"/>
      <c r="J99" s="439"/>
      <c r="K99" s="439"/>
      <c r="L99" s="439"/>
      <c r="M99" s="439"/>
      <c r="N99" s="440"/>
      <c r="O99" s="195"/>
      <c r="P99" s="30"/>
      <c r="Q99" s="530"/>
      <c r="R99" s="532" t="str">
        <f>IF(Roster!$B$18=0,"","("&amp;Roster!$B$18&amp;")")</f>
        <v>(Star Player &amp; Mercenario)</v>
      </c>
      <c r="S99" s="439"/>
      <c r="T99" s="439"/>
      <c r="U99" s="439"/>
      <c r="V99" s="439"/>
      <c r="W99" s="439"/>
      <c r="X99" s="439"/>
      <c r="Y99" s="439"/>
      <c r="Z99" s="439"/>
      <c r="AA99" s="439"/>
      <c r="AB99" s="439"/>
      <c r="AC99" s="440"/>
      <c r="AD99" s="195"/>
      <c r="AE99" s="207"/>
      <c r="AF99" s="530"/>
      <c r="AG99" s="532" t="str">
        <f>IF(Roster!$B$18=0,"","("&amp;Roster!$B$18&amp;")")</f>
        <v>(Star Player &amp; Mercenario)</v>
      </c>
      <c r="AH99" s="439"/>
      <c r="AI99" s="439"/>
      <c r="AJ99" s="439"/>
      <c r="AK99" s="439"/>
      <c r="AL99" s="439"/>
      <c r="AM99" s="439"/>
      <c r="AN99" s="439"/>
      <c r="AO99" s="439"/>
      <c r="AP99" s="439"/>
      <c r="AQ99" s="439"/>
      <c r="AR99" s="440"/>
      <c r="AS99" s="195"/>
      <c r="AT99" s="207"/>
      <c r="AU99" s="530"/>
      <c r="AV99" s="532" t="str">
        <f>IF(Roster!$B$20=0,"","("&amp;Roster!$B$20&amp;")")</f>
        <v>(Mercenario)</v>
      </c>
      <c r="AW99" s="439"/>
      <c r="AX99" s="439"/>
      <c r="AY99" s="439"/>
      <c r="AZ99" s="439"/>
      <c r="BA99" s="439"/>
      <c r="BB99" s="439"/>
      <c r="BC99" s="439"/>
      <c r="BD99" s="439"/>
      <c r="BE99" s="439"/>
      <c r="BF99" s="439"/>
      <c r="BG99" s="440"/>
      <c r="BH99" s="195"/>
      <c r="BI99" s="216"/>
    </row>
    <row r="100" spans="1:61" ht="11.25" customHeight="1">
      <c r="A100" s="30"/>
      <c r="B100" s="531"/>
      <c r="C100" s="532" t="str">
        <f>IF(Roster!$C$17=0,"",Roster!$C$17)</f>
        <v/>
      </c>
      <c r="D100" s="439"/>
      <c r="E100" s="439"/>
      <c r="F100" s="439"/>
      <c r="G100" s="439"/>
      <c r="H100" s="439"/>
      <c r="I100" s="439"/>
      <c r="J100" s="439"/>
      <c r="K100" s="439"/>
      <c r="L100" s="439"/>
      <c r="M100" s="439"/>
      <c r="N100" s="440"/>
      <c r="O100" s="196"/>
      <c r="P100" s="30"/>
      <c r="Q100" s="531"/>
      <c r="R100" s="557" t="str">
        <f>IF(Roster!$C$18=0,"",Roster!$C$18)</f>
        <v/>
      </c>
      <c r="S100" s="502"/>
      <c r="T100" s="502"/>
      <c r="U100" s="502"/>
      <c r="V100" s="502"/>
      <c r="W100" s="502"/>
      <c r="X100" s="502"/>
      <c r="Y100" s="502"/>
      <c r="Z100" s="502"/>
      <c r="AA100" s="502"/>
      <c r="AB100" s="502"/>
      <c r="AC100" s="503"/>
      <c r="AD100" s="196"/>
      <c r="AE100" s="207"/>
      <c r="AF100" s="531"/>
      <c r="AG100" s="557" t="str">
        <f>IF(Roster!$C$19=0,"",Roster!$C$19)</f>
        <v/>
      </c>
      <c r="AH100" s="502"/>
      <c r="AI100" s="502"/>
      <c r="AJ100" s="502"/>
      <c r="AK100" s="502"/>
      <c r="AL100" s="502"/>
      <c r="AM100" s="502"/>
      <c r="AN100" s="502"/>
      <c r="AO100" s="502"/>
      <c r="AP100" s="502"/>
      <c r="AQ100" s="502"/>
      <c r="AR100" s="503"/>
      <c r="AS100" s="196"/>
      <c r="AT100" s="207"/>
      <c r="AU100" s="531"/>
      <c r="AV100" s="557" t="str">
        <f>IF(Roster!$C$20=0,"",Roster!$C$20)</f>
        <v/>
      </c>
      <c r="AW100" s="502"/>
      <c r="AX100" s="502"/>
      <c r="AY100" s="502"/>
      <c r="AZ100" s="502"/>
      <c r="BA100" s="502"/>
      <c r="BB100" s="502"/>
      <c r="BC100" s="502"/>
      <c r="BD100" s="502"/>
      <c r="BE100" s="502"/>
      <c r="BF100" s="502"/>
      <c r="BG100" s="503"/>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04"/>
      <c r="S101" s="368"/>
      <c r="T101" s="368"/>
      <c r="U101" s="368"/>
      <c r="V101" s="368"/>
      <c r="W101" s="368"/>
      <c r="X101" s="368"/>
      <c r="Y101" s="368"/>
      <c r="Z101" s="368"/>
      <c r="AA101" s="368"/>
      <c r="AB101" s="368"/>
      <c r="AC101" s="505"/>
      <c r="AD101" s="195"/>
      <c r="AE101" s="207"/>
      <c r="AF101" s="199" t="str">
        <f>IF(Roster!$J$1=0,"",Roster!$J$1)</f>
        <v>MA</v>
      </c>
      <c r="AG101" s="504"/>
      <c r="AH101" s="368"/>
      <c r="AI101" s="368"/>
      <c r="AJ101" s="368"/>
      <c r="AK101" s="368"/>
      <c r="AL101" s="368"/>
      <c r="AM101" s="368"/>
      <c r="AN101" s="368"/>
      <c r="AO101" s="368"/>
      <c r="AP101" s="368"/>
      <c r="AQ101" s="368"/>
      <c r="AR101" s="505"/>
      <c r="AS101" s="195"/>
      <c r="AT101" s="207"/>
      <c r="AU101" s="199" t="str">
        <f>IF(Roster!$J$1=0,"",Roster!$J$1)</f>
        <v>MA</v>
      </c>
      <c r="AV101" s="504"/>
      <c r="AW101" s="368"/>
      <c r="AX101" s="368"/>
      <c r="AY101" s="368"/>
      <c r="AZ101" s="368"/>
      <c r="BA101" s="368"/>
      <c r="BB101" s="368"/>
      <c r="BC101" s="368"/>
      <c r="BD101" s="368"/>
      <c r="BE101" s="368"/>
      <c r="BF101" s="368"/>
      <c r="BG101" s="505"/>
      <c r="BH101" s="195"/>
      <c r="BI101" s="216"/>
    </row>
    <row r="102" spans="1:61" ht="37.5" customHeight="1">
      <c r="A102" s="30"/>
      <c r="B102" s="202" t="str">
        <f>IF(Roster!$J$17=0,"",Roster!$J$17)</f>
        <v/>
      </c>
      <c r="C102" s="200"/>
      <c r="D102" s="533"/>
      <c r="E102" s="534"/>
      <c r="F102" s="534"/>
      <c r="G102" s="534"/>
      <c r="H102" s="534"/>
      <c r="I102" s="534"/>
      <c r="J102" s="534"/>
      <c r="K102" s="534"/>
      <c r="L102" s="534"/>
      <c r="M102" s="534"/>
      <c r="N102" s="374"/>
      <c r="O102" s="195"/>
      <c r="P102" s="30"/>
      <c r="Q102" s="202" t="str">
        <f>IF(Roster!$J$18=0,"",Roster!$J$18)</f>
        <v/>
      </c>
      <c r="R102" s="506"/>
      <c r="S102" s="507"/>
      <c r="T102" s="507"/>
      <c r="U102" s="507"/>
      <c r="V102" s="507"/>
      <c r="W102" s="507"/>
      <c r="X102" s="507"/>
      <c r="Y102" s="507"/>
      <c r="Z102" s="507"/>
      <c r="AA102" s="507"/>
      <c r="AB102" s="507"/>
      <c r="AC102" s="508"/>
      <c r="AD102" s="538"/>
      <c r="AE102" s="207"/>
      <c r="AF102" s="202" t="str">
        <f>IF(Roster!$J$19=0,"",Roster!$J$19)</f>
        <v/>
      </c>
      <c r="AG102" s="506"/>
      <c r="AH102" s="507"/>
      <c r="AI102" s="507"/>
      <c r="AJ102" s="507"/>
      <c r="AK102" s="507"/>
      <c r="AL102" s="507"/>
      <c r="AM102" s="507"/>
      <c r="AN102" s="507"/>
      <c r="AO102" s="507"/>
      <c r="AP102" s="507"/>
      <c r="AQ102" s="507"/>
      <c r="AR102" s="508"/>
      <c r="AS102" s="538"/>
      <c r="AT102" s="207"/>
      <c r="AU102" s="202" t="str">
        <f>IF(Roster!$J$20=0,"",Roster!$J$20)</f>
        <v/>
      </c>
      <c r="AV102" s="506"/>
      <c r="AW102" s="507"/>
      <c r="AX102" s="507"/>
      <c r="AY102" s="507"/>
      <c r="AZ102" s="507"/>
      <c r="BA102" s="507"/>
      <c r="BB102" s="507"/>
      <c r="BC102" s="507"/>
      <c r="BD102" s="507"/>
      <c r="BE102" s="507"/>
      <c r="BF102" s="507"/>
      <c r="BG102" s="508"/>
      <c r="BH102" s="538"/>
      <c r="BI102" s="216"/>
    </row>
    <row r="103" spans="1:61" ht="11.25" customHeight="1">
      <c r="A103" s="30"/>
      <c r="B103" s="199" t="str">
        <f>IF(Roster!$K$1=0,"",Roster!$K$1)</f>
        <v>ST</v>
      </c>
      <c r="C103" s="200"/>
      <c r="D103" s="375"/>
      <c r="E103" s="535"/>
      <c r="F103" s="535"/>
      <c r="G103" s="535"/>
      <c r="H103" s="535"/>
      <c r="I103" s="535"/>
      <c r="J103" s="535"/>
      <c r="K103" s="535"/>
      <c r="L103" s="535"/>
      <c r="M103" s="535"/>
      <c r="N103" s="376"/>
      <c r="O103" s="195"/>
      <c r="P103" s="30"/>
      <c r="Q103" s="199" t="str">
        <f>IF(Roster!$K$1=0,"",Roster!$K$1)</f>
        <v>ST</v>
      </c>
      <c r="R103" s="541"/>
      <c r="S103" s="558" t="str">
        <f>IF(Roster!$J$25="Español","REGLA ESPECIAL","SPECIAL RULE")</f>
        <v>SPECIAL RULE</v>
      </c>
      <c r="T103" s="349"/>
      <c r="U103" s="349"/>
      <c r="V103" s="349"/>
      <c r="W103" s="349"/>
      <c r="X103" s="349"/>
      <c r="Y103" s="349"/>
      <c r="Z103" s="349"/>
      <c r="AA103" s="349"/>
      <c r="AB103" s="349"/>
      <c r="AC103" s="559"/>
      <c r="AD103" s="539"/>
      <c r="AE103" s="207"/>
      <c r="AF103" s="199" t="str">
        <f>IF(Roster!$K$1=0,"",Roster!$K$1)</f>
        <v>ST</v>
      </c>
      <c r="AG103" s="541"/>
      <c r="AH103" s="558" t="str">
        <f>IF(Roster!$J$25="Español","REGLA ESPECIAL","SPECIAL RULE")</f>
        <v>SPECIAL RULE</v>
      </c>
      <c r="AI103" s="349"/>
      <c r="AJ103" s="349"/>
      <c r="AK103" s="349"/>
      <c r="AL103" s="349"/>
      <c r="AM103" s="349"/>
      <c r="AN103" s="349"/>
      <c r="AO103" s="349"/>
      <c r="AP103" s="349"/>
      <c r="AQ103" s="349"/>
      <c r="AR103" s="559"/>
      <c r="AS103" s="539"/>
      <c r="AT103" s="207"/>
      <c r="AU103" s="199" t="str">
        <f>IF(Roster!$K$1=0,"",Roster!$K$1)</f>
        <v>ST</v>
      </c>
      <c r="AV103" s="541"/>
      <c r="AW103" s="558" t="str">
        <f>IF(Roster!$J$25="Italiano","REGOLE SPECIALI",(IF(Roster!$J$25="Español","REGLA ESPECIAL","SPECIAL RULE")))</f>
        <v>REGOLE SPECIALI</v>
      </c>
      <c r="AX103" s="349"/>
      <c r="AY103" s="349"/>
      <c r="AZ103" s="349"/>
      <c r="BA103" s="349"/>
      <c r="BB103" s="349"/>
      <c r="BC103" s="349"/>
      <c r="BD103" s="349"/>
      <c r="BE103" s="349"/>
      <c r="BF103" s="349"/>
      <c r="BG103" s="559"/>
      <c r="BH103" s="539"/>
      <c r="BI103" s="216"/>
    </row>
    <row r="104" spans="1:61" ht="37.5" customHeight="1">
      <c r="A104" s="30"/>
      <c r="B104" s="202" t="str">
        <f>IF(Roster!$K$17=0,"",Roster!$K$17)</f>
        <v/>
      </c>
      <c r="C104" s="200"/>
      <c r="D104" s="375"/>
      <c r="E104" s="535"/>
      <c r="F104" s="535"/>
      <c r="G104" s="535"/>
      <c r="H104" s="535"/>
      <c r="I104" s="535"/>
      <c r="J104" s="535"/>
      <c r="K104" s="535"/>
      <c r="L104" s="535"/>
      <c r="M104" s="535"/>
      <c r="N104" s="376"/>
      <c r="O104" s="195"/>
      <c r="P104" s="30"/>
      <c r="Q104" s="202" t="str">
        <f>IF(Roster!$K$18=0,"",Roster!$K$18)</f>
        <v/>
      </c>
      <c r="R104" s="453"/>
      <c r="S104" s="542" t="str">
        <f>IF(Roster!$Z$18=0,"",Roster!$Z$18)</f>
        <v/>
      </c>
      <c r="T104" s="543"/>
      <c r="U104" s="543"/>
      <c r="V104" s="543"/>
      <c r="W104" s="543"/>
      <c r="X104" s="543"/>
      <c r="Y104" s="543"/>
      <c r="Z104" s="543"/>
      <c r="AA104" s="543"/>
      <c r="AB104" s="543"/>
      <c r="AC104" s="544"/>
      <c r="AD104" s="539"/>
      <c r="AE104" s="207"/>
      <c r="AF104" s="202" t="str">
        <f>IF(Roster!$K$19=0,"",Roster!$K$19)</f>
        <v/>
      </c>
      <c r="AG104" s="453"/>
      <c r="AH104" s="542" t="str">
        <f>IF(Roster!$Z$19=0,"",Roster!$Z$19)</f>
        <v/>
      </c>
      <c r="AI104" s="543"/>
      <c r="AJ104" s="543"/>
      <c r="AK104" s="543"/>
      <c r="AL104" s="543"/>
      <c r="AM104" s="543"/>
      <c r="AN104" s="543"/>
      <c r="AO104" s="543"/>
      <c r="AP104" s="543"/>
      <c r="AQ104" s="543"/>
      <c r="AR104" s="544"/>
      <c r="AS104" s="539"/>
      <c r="AT104" s="207"/>
      <c r="AU104" s="202" t="str">
        <f>IF(Roster!$K$20=0,"",Roster!$K$20)</f>
        <v/>
      </c>
      <c r="AV104" s="453"/>
      <c r="AW104" s="542" t="str">
        <f>IF(Roster!$Z$20=0,"",Roster!$Z$20)</f>
        <v/>
      </c>
      <c r="AX104" s="543"/>
      <c r="AY104" s="543"/>
      <c r="AZ104" s="543"/>
      <c r="BA104" s="543"/>
      <c r="BB104" s="543"/>
      <c r="BC104" s="543"/>
      <c r="BD104" s="543"/>
      <c r="BE104" s="543"/>
      <c r="BF104" s="543"/>
      <c r="BG104" s="544"/>
      <c r="BH104" s="539"/>
      <c r="BI104" s="216"/>
    </row>
    <row r="105" spans="1:61" ht="11.25" customHeight="1">
      <c r="A105" s="30"/>
      <c r="B105" s="199" t="str">
        <f>IF(Roster!$L$1=0,"",Roster!$L$1)</f>
        <v>AG</v>
      </c>
      <c r="C105" s="200"/>
      <c r="D105" s="375"/>
      <c r="E105" s="535"/>
      <c r="F105" s="535"/>
      <c r="G105" s="535"/>
      <c r="H105" s="535"/>
      <c r="I105" s="535"/>
      <c r="J105" s="535"/>
      <c r="K105" s="535"/>
      <c r="L105" s="535"/>
      <c r="M105" s="535"/>
      <c r="N105" s="376"/>
      <c r="O105" s="195"/>
      <c r="P105" s="30"/>
      <c r="Q105" s="199" t="str">
        <f>IF(Roster!$L$1=0,"",Roster!$L$1)</f>
        <v>AG</v>
      </c>
      <c r="R105" s="453"/>
      <c r="S105" s="545"/>
      <c r="T105" s="546"/>
      <c r="U105" s="546"/>
      <c r="V105" s="546"/>
      <c r="W105" s="546"/>
      <c r="X105" s="546"/>
      <c r="Y105" s="546"/>
      <c r="Z105" s="546"/>
      <c r="AA105" s="546"/>
      <c r="AB105" s="546"/>
      <c r="AC105" s="547"/>
      <c r="AD105" s="539"/>
      <c r="AE105" s="207"/>
      <c r="AF105" s="199" t="str">
        <f>IF(Roster!$L$1=0,"",Roster!$L$1)</f>
        <v>AG</v>
      </c>
      <c r="AG105" s="453"/>
      <c r="AH105" s="545"/>
      <c r="AI105" s="546"/>
      <c r="AJ105" s="546"/>
      <c r="AK105" s="546"/>
      <c r="AL105" s="546"/>
      <c r="AM105" s="546"/>
      <c r="AN105" s="546"/>
      <c r="AO105" s="546"/>
      <c r="AP105" s="546"/>
      <c r="AQ105" s="546"/>
      <c r="AR105" s="547"/>
      <c r="AS105" s="539"/>
      <c r="AT105" s="207"/>
      <c r="AU105" s="199" t="str">
        <f>IF(Roster!$L$1=0,"",Roster!$L$1)</f>
        <v>AG</v>
      </c>
      <c r="AV105" s="453"/>
      <c r="AW105" s="545"/>
      <c r="AX105" s="546"/>
      <c r="AY105" s="546"/>
      <c r="AZ105" s="546"/>
      <c r="BA105" s="546"/>
      <c r="BB105" s="546"/>
      <c r="BC105" s="546"/>
      <c r="BD105" s="546"/>
      <c r="BE105" s="546"/>
      <c r="BF105" s="546"/>
      <c r="BG105" s="547"/>
      <c r="BH105" s="539"/>
      <c r="BI105" s="216"/>
    </row>
    <row r="106" spans="1:61" ht="37.5" customHeight="1">
      <c r="A106" s="30"/>
      <c r="B106" s="202" t="str">
        <f>IF(Roster!$L$17=0&amp;"+","",Roster!$L$17)</f>
        <v/>
      </c>
      <c r="C106" s="200"/>
      <c r="D106" s="375"/>
      <c r="E106" s="535"/>
      <c r="F106" s="535"/>
      <c r="G106" s="535"/>
      <c r="H106" s="535"/>
      <c r="I106" s="535"/>
      <c r="J106" s="535"/>
      <c r="K106" s="535"/>
      <c r="L106" s="535"/>
      <c r="M106" s="535"/>
      <c r="N106" s="376"/>
      <c r="O106" s="195"/>
      <c r="P106" s="30"/>
      <c r="Q106" s="202" t="str">
        <f>IF(Roster!$L$18=0,"",Roster!$L$18)</f>
        <v/>
      </c>
      <c r="R106" s="453"/>
      <c r="S106" s="545"/>
      <c r="T106" s="546"/>
      <c r="U106" s="546"/>
      <c r="V106" s="546"/>
      <c r="W106" s="546"/>
      <c r="X106" s="546"/>
      <c r="Y106" s="546"/>
      <c r="Z106" s="546"/>
      <c r="AA106" s="546"/>
      <c r="AB106" s="546"/>
      <c r="AC106" s="547"/>
      <c r="AD106" s="539"/>
      <c r="AE106" s="207"/>
      <c r="AF106" s="202" t="str">
        <f>IF(Roster!$L$19=0,"",Roster!$L$19)</f>
        <v/>
      </c>
      <c r="AG106" s="453"/>
      <c r="AH106" s="545"/>
      <c r="AI106" s="546"/>
      <c r="AJ106" s="546"/>
      <c r="AK106" s="546"/>
      <c r="AL106" s="546"/>
      <c r="AM106" s="546"/>
      <c r="AN106" s="546"/>
      <c r="AO106" s="546"/>
      <c r="AP106" s="546"/>
      <c r="AQ106" s="546"/>
      <c r="AR106" s="547"/>
      <c r="AS106" s="539"/>
      <c r="AT106" s="207"/>
      <c r="AU106" s="202" t="str">
        <f>IF(Roster!$L$20=0,"",Roster!$L$20)</f>
        <v/>
      </c>
      <c r="AV106" s="453"/>
      <c r="AW106" s="545"/>
      <c r="AX106" s="546"/>
      <c r="AY106" s="546"/>
      <c r="AZ106" s="546"/>
      <c r="BA106" s="546"/>
      <c r="BB106" s="546"/>
      <c r="BC106" s="546"/>
      <c r="BD106" s="546"/>
      <c r="BE106" s="546"/>
      <c r="BF106" s="546"/>
      <c r="BG106" s="547"/>
      <c r="BH106" s="539"/>
      <c r="BI106" s="216"/>
    </row>
    <row r="107" spans="1:61" ht="11.25" customHeight="1">
      <c r="A107" s="30"/>
      <c r="B107" s="199" t="str">
        <f>IF(Roster!$M$1=0,"",Roster!$M$1)</f>
        <v>PA</v>
      </c>
      <c r="C107" s="200"/>
      <c r="D107" s="375"/>
      <c r="E107" s="535"/>
      <c r="F107" s="535"/>
      <c r="G107" s="535"/>
      <c r="H107" s="535"/>
      <c r="I107" s="535"/>
      <c r="J107" s="535"/>
      <c r="K107" s="535"/>
      <c r="L107" s="535"/>
      <c r="M107" s="535"/>
      <c r="N107" s="376"/>
      <c r="O107" s="204"/>
      <c r="P107" s="30"/>
      <c r="Q107" s="199" t="str">
        <f>IF(Roster!$M$1=0,"",Roster!$M$1)</f>
        <v>PA</v>
      </c>
      <c r="R107" s="453"/>
      <c r="S107" s="545"/>
      <c r="T107" s="546"/>
      <c r="U107" s="546"/>
      <c r="V107" s="546"/>
      <c r="W107" s="546"/>
      <c r="X107" s="546"/>
      <c r="Y107" s="546"/>
      <c r="Z107" s="546"/>
      <c r="AA107" s="546"/>
      <c r="AB107" s="546"/>
      <c r="AC107" s="547"/>
      <c r="AD107" s="539"/>
      <c r="AE107" s="207"/>
      <c r="AF107" s="199" t="str">
        <f>IF(Roster!$M$1=0,"",Roster!$M$1)</f>
        <v>PA</v>
      </c>
      <c r="AG107" s="453"/>
      <c r="AH107" s="545"/>
      <c r="AI107" s="546"/>
      <c r="AJ107" s="546"/>
      <c r="AK107" s="546"/>
      <c r="AL107" s="546"/>
      <c r="AM107" s="546"/>
      <c r="AN107" s="546"/>
      <c r="AO107" s="546"/>
      <c r="AP107" s="546"/>
      <c r="AQ107" s="546"/>
      <c r="AR107" s="547"/>
      <c r="AS107" s="539"/>
      <c r="AT107" s="207"/>
      <c r="AU107" s="199" t="str">
        <f>IF(Roster!$M$1=0,"",Roster!$M$1)</f>
        <v>PA</v>
      </c>
      <c r="AV107" s="453"/>
      <c r="AW107" s="545"/>
      <c r="AX107" s="546"/>
      <c r="AY107" s="546"/>
      <c r="AZ107" s="546"/>
      <c r="BA107" s="546"/>
      <c r="BB107" s="546"/>
      <c r="BC107" s="546"/>
      <c r="BD107" s="546"/>
      <c r="BE107" s="546"/>
      <c r="BF107" s="546"/>
      <c r="BG107" s="547"/>
      <c r="BH107" s="539"/>
      <c r="BI107" s="216"/>
    </row>
    <row r="108" spans="1:61" ht="6" customHeight="1">
      <c r="A108" s="30"/>
      <c r="B108" s="526" t="str">
        <f>IF(Roster!$M$17=0&amp;"+","",Roster!$M$17)</f>
        <v/>
      </c>
      <c r="C108" s="200"/>
      <c r="D108" s="377"/>
      <c r="E108" s="536"/>
      <c r="F108" s="536"/>
      <c r="G108" s="536"/>
      <c r="H108" s="536"/>
      <c r="I108" s="536"/>
      <c r="J108" s="536"/>
      <c r="K108" s="536"/>
      <c r="L108" s="536"/>
      <c r="M108" s="536"/>
      <c r="N108" s="378"/>
      <c r="O108" s="206"/>
      <c r="P108" s="30"/>
      <c r="Q108" s="526" t="str">
        <f>IF(Roster!$M$18=0,"",Roster!$M$18)</f>
        <v/>
      </c>
      <c r="R108" s="453"/>
      <c r="S108" s="545"/>
      <c r="T108" s="546"/>
      <c r="U108" s="546"/>
      <c r="V108" s="546"/>
      <c r="W108" s="546"/>
      <c r="X108" s="546"/>
      <c r="Y108" s="546"/>
      <c r="Z108" s="546"/>
      <c r="AA108" s="546"/>
      <c r="AB108" s="546"/>
      <c r="AC108" s="547"/>
      <c r="AD108" s="539"/>
      <c r="AE108" s="207"/>
      <c r="AF108" s="526" t="str">
        <f>IF(Roster!$M$19=0,"",Roster!$M$19)</f>
        <v/>
      </c>
      <c r="AG108" s="453"/>
      <c r="AH108" s="545"/>
      <c r="AI108" s="546"/>
      <c r="AJ108" s="546"/>
      <c r="AK108" s="546"/>
      <c r="AL108" s="546"/>
      <c r="AM108" s="546"/>
      <c r="AN108" s="546"/>
      <c r="AO108" s="546"/>
      <c r="AP108" s="546"/>
      <c r="AQ108" s="546"/>
      <c r="AR108" s="547"/>
      <c r="AS108" s="539"/>
      <c r="AT108" s="207"/>
      <c r="AU108" s="526" t="str">
        <f>IF(Roster!$M$20=0,"",Roster!$M$20)</f>
        <v/>
      </c>
      <c r="AV108" s="453"/>
      <c r="AW108" s="545"/>
      <c r="AX108" s="546"/>
      <c r="AY108" s="546"/>
      <c r="AZ108" s="546"/>
      <c r="BA108" s="546"/>
      <c r="BB108" s="546"/>
      <c r="BC108" s="546"/>
      <c r="BD108" s="546"/>
      <c r="BE108" s="546"/>
      <c r="BF108" s="546"/>
      <c r="BG108" s="547"/>
      <c r="BH108" s="539"/>
      <c r="BI108" s="216"/>
    </row>
    <row r="109" spans="1:61" ht="4.5" customHeight="1">
      <c r="A109" s="30"/>
      <c r="B109" s="527"/>
      <c r="C109" s="198"/>
      <c r="D109" s="207"/>
      <c r="E109" s="205"/>
      <c r="F109" s="207"/>
      <c r="G109" s="205"/>
      <c r="H109" s="207"/>
      <c r="I109" s="205"/>
      <c r="J109" s="207"/>
      <c r="K109" s="205"/>
      <c r="L109" s="207"/>
      <c r="M109" s="205"/>
      <c r="N109" s="207"/>
      <c r="O109" s="206"/>
      <c r="P109" s="30"/>
      <c r="Q109" s="527"/>
      <c r="R109" s="453"/>
      <c r="S109" s="545"/>
      <c r="T109" s="546"/>
      <c r="U109" s="546"/>
      <c r="V109" s="546"/>
      <c r="W109" s="546"/>
      <c r="X109" s="546"/>
      <c r="Y109" s="546"/>
      <c r="Z109" s="546"/>
      <c r="AA109" s="546"/>
      <c r="AB109" s="546"/>
      <c r="AC109" s="547"/>
      <c r="AD109" s="539"/>
      <c r="AE109" s="207"/>
      <c r="AF109" s="527"/>
      <c r="AG109" s="453"/>
      <c r="AH109" s="545"/>
      <c r="AI109" s="546"/>
      <c r="AJ109" s="546"/>
      <c r="AK109" s="546"/>
      <c r="AL109" s="546"/>
      <c r="AM109" s="546"/>
      <c r="AN109" s="546"/>
      <c r="AO109" s="546"/>
      <c r="AP109" s="546"/>
      <c r="AQ109" s="546"/>
      <c r="AR109" s="547"/>
      <c r="AS109" s="539"/>
      <c r="AT109" s="207"/>
      <c r="AU109" s="527"/>
      <c r="AV109" s="453"/>
      <c r="AW109" s="545"/>
      <c r="AX109" s="546"/>
      <c r="AY109" s="546"/>
      <c r="AZ109" s="546"/>
      <c r="BA109" s="546"/>
      <c r="BB109" s="546"/>
      <c r="BC109" s="546"/>
      <c r="BD109" s="546"/>
      <c r="BE109" s="546"/>
      <c r="BF109" s="546"/>
      <c r="BG109" s="547"/>
      <c r="BH109" s="539"/>
      <c r="BI109" s="216"/>
    </row>
    <row r="110" spans="1:61" ht="11.25" customHeight="1">
      <c r="A110" s="30"/>
      <c r="B110" s="527"/>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27"/>
      <c r="R110" s="453"/>
      <c r="S110" s="545"/>
      <c r="T110" s="546"/>
      <c r="U110" s="546"/>
      <c r="V110" s="546"/>
      <c r="W110" s="546"/>
      <c r="X110" s="546"/>
      <c r="Y110" s="546"/>
      <c r="Z110" s="546"/>
      <c r="AA110" s="546"/>
      <c r="AB110" s="546"/>
      <c r="AC110" s="547"/>
      <c r="AD110" s="539"/>
      <c r="AE110" s="207"/>
      <c r="AF110" s="527"/>
      <c r="AG110" s="453"/>
      <c r="AH110" s="545"/>
      <c r="AI110" s="546"/>
      <c r="AJ110" s="546"/>
      <c r="AK110" s="546"/>
      <c r="AL110" s="546"/>
      <c r="AM110" s="546"/>
      <c r="AN110" s="546"/>
      <c r="AO110" s="546"/>
      <c r="AP110" s="546"/>
      <c r="AQ110" s="546"/>
      <c r="AR110" s="547"/>
      <c r="AS110" s="539"/>
      <c r="AT110" s="207"/>
      <c r="AU110" s="527"/>
      <c r="AV110" s="453"/>
      <c r="AW110" s="545"/>
      <c r="AX110" s="546"/>
      <c r="AY110" s="546"/>
      <c r="AZ110" s="546"/>
      <c r="BA110" s="546"/>
      <c r="BB110" s="546"/>
      <c r="BC110" s="546"/>
      <c r="BD110" s="546"/>
      <c r="BE110" s="546"/>
      <c r="BF110" s="546"/>
      <c r="BG110" s="547"/>
      <c r="BH110" s="539"/>
      <c r="BI110" s="216"/>
    </row>
    <row r="111" spans="1:61" ht="15" customHeight="1">
      <c r="A111" s="30"/>
      <c r="B111" s="527"/>
      <c r="C111" s="201"/>
      <c r="D111" s="241" t="str">
        <f>IF(Roster!$AC$17=0,"",Roster!$AC$17)</f>
        <v/>
      </c>
      <c r="E111" s="236"/>
      <c r="F111" s="241" t="str">
        <f>IF((SUM(H111,J111,L111))=0,"",(SUM(H111,J111,L111)))</f>
        <v/>
      </c>
      <c r="G111" s="236"/>
      <c r="H111" s="241" t="str">
        <f>IF(Roster!$AF$17=0,"",Roster!$AF$17)</f>
        <v/>
      </c>
      <c r="I111" s="236"/>
      <c r="J111" s="241" t="str">
        <f>IF(Roster!$AG$17=0,"",Roster!$AG$17)</f>
        <v/>
      </c>
      <c r="K111" s="236"/>
      <c r="L111" s="241" t="str">
        <f>IF(Roster!$AH$17=0,"",Roster!$AH$17)</f>
        <v/>
      </c>
      <c r="M111" s="236"/>
      <c r="N111" s="241" t="str">
        <f>IF(Roster!$AB$17=0,"",Roster!$AB$17)</f>
        <v/>
      </c>
      <c r="O111" s="206"/>
      <c r="P111" s="30"/>
      <c r="Q111" s="527"/>
      <c r="R111" s="453"/>
      <c r="S111" s="548"/>
      <c r="T111" s="549"/>
      <c r="U111" s="549"/>
      <c r="V111" s="549"/>
      <c r="W111" s="549"/>
      <c r="X111" s="549"/>
      <c r="Y111" s="549"/>
      <c r="Z111" s="549"/>
      <c r="AA111" s="549"/>
      <c r="AB111" s="549"/>
      <c r="AC111" s="550"/>
      <c r="AD111" s="539"/>
      <c r="AE111" s="207"/>
      <c r="AF111" s="527"/>
      <c r="AG111" s="453"/>
      <c r="AH111" s="548"/>
      <c r="AI111" s="549"/>
      <c r="AJ111" s="549"/>
      <c r="AK111" s="549"/>
      <c r="AL111" s="549"/>
      <c r="AM111" s="549"/>
      <c r="AN111" s="549"/>
      <c r="AO111" s="549"/>
      <c r="AP111" s="549"/>
      <c r="AQ111" s="549"/>
      <c r="AR111" s="550"/>
      <c r="AS111" s="539"/>
      <c r="AT111" s="207"/>
      <c r="AU111" s="527"/>
      <c r="AV111" s="453"/>
      <c r="AW111" s="548"/>
      <c r="AX111" s="549"/>
      <c r="AY111" s="549"/>
      <c r="AZ111" s="549"/>
      <c r="BA111" s="549"/>
      <c r="BB111" s="549"/>
      <c r="BC111" s="549"/>
      <c r="BD111" s="549"/>
      <c r="BE111" s="549"/>
      <c r="BF111" s="549"/>
      <c r="BG111" s="550"/>
      <c r="BH111" s="539"/>
      <c r="BI111" s="216"/>
    </row>
    <row r="112" spans="1:61" ht="4.5" customHeight="1">
      <c r="A112" s="30"/>
      <c r="B112" s="382"/>
      <c r="C112" s="201"/>
      <c r="D112" s="237"/>
      <c r="E112" s="236"/>
      <c r="F112" s="237"/>
      <c r="G112" s="236"/>
      <c r="H112" s="237"/>
      <c r="I112" s="236"/>
      <c r="J112" s="237"/>
      <c r="K112" s="236"/>
      <c r="L112" s="237"/>
      <c r="M112" s="236"/>
      <c r="N112" s="237"/>
      <c r="O112" s="206"/>
      <c r="P112" s="30"/>
      <c r="Q112" s="382"/>
      <c r="R112" s="453"/>
      <c r="S112" s="551"/>
      <c r="T112" s="340"/>
      <c r="U112" s="340"/>
      <c r="V112" s="340"/>
      <c r="W112" s="340"/>
      <c r="X112" s="340"/>
      <c r="Y112" s="340"/>
      <c r="Z112" s="340"/>
      <c r="AA112" s="340"/>
      <c r="AB112" s="340"/>
      <c r="AC112" s="343"/>
      <c r="AD112" s="539"/>
      <c r="AE112" s="207"/>
      <c r="AF112" s="382"/>
      <c r="AG112" s="453"/>
      <c r="AH112" s="551"/>
      <c r="AI112" s="340"/>
      <c r="AJ112" s="340"/>
      <c r="AK112" s="340"/>
      <c r="AL112" s="340"/>
      <c r="AM112" s="340"/>
      <c r="AN112" s="340"/>
      <c r="AO112" s="340"/>
      <c r="AP112" s="340"/>
      <c r="AQ112" s="340"/>
      <c r="AR112" s="343"/>
      <c r="AS112" s="539"/>
      <c r="AT112" s="207"/>
      <c r="AU112" s="382"/>
      <c r="AV112" s="453"/>
      <c r="AW112" s="551"/>
      <c r="AX112" s="340"/>
      <c r="AY112" s="340"/>
      <c r="AZ112" s="340"/>
      <c r="BA112" s="340"/>
      <c r="BB112" s="340"/>
      <c r="BC112" s="340"/>
      <c r="BD112" s="340"/>
      <c r="BE112" s="340"/>
      <c r="BF112" s="340"/>
      <c r="BG112" s="343"/>
      <c r="BH112" s="539"/>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53"/>
      <c r="S113" s="552" t="str">
        <f>IF(Roster!$J$25="Español","HABILIDADES Y RASGOS","SKILLS &amp; TRAITS")</f>
        <v>SKILLS &amp; TRAITS</v>
      </c>
      <c r="T113" s="439"/>
      <c r="U113" s="439"/>
      <c r="V113" s="439"/>
      <c r="W113" s="439"/>
      <c r="X113" s="439"/>
      <c r="Y113" s="439"/>
      <c r="Z113" s="439"/>
      <c r="AA113" s="439"/>
      <c r="AB113" s="439"/>
      <c r="AC113" s="553"/>
      <c r="AD113" s="539"/>
      <c r="AE113" s="207"/>
      <c r="AF113" s="199" t="str">
        <f>IF(Roster!$N$1=0,"",Roster!$N$1)</f>
        <v>AV</v>
      </c>
      <c r="AG113" s="453"/>
      <c r="AH113" s="552" t="str">
        <f>IF(Roster!$J$25="Español","HABILIDADES Y RASGOS","SKILLS &amp; TRAITS")</f>
        <v>SKILLS &amp; TRAITS</v>
      </c>
      <c r="AI113" s="439"/>
      <c r="AJ113" s="439"/>
      <c r="AK113" s="439"/>
      <c r="AL113" s="439"/>
      <c r="AM113" s="439"/>
      <c r="AN113" s="439"/>
      <c r="AO113" s="439"/>
      <c r="AP113" s="439"/>
      <c r="AQ113" s="439"/>
      <c r="AR113" s="553"/>
      <c r="AS113" s="539"/>
      <c r="AT113" s="207"/>
      <c r="AU113" s="199" t="str">
        <f>IF(Roster!$N$1=0,"",Roster!$N$1)</f>
        <v>AV</v>
      </c>
      <c r="AV113" s="453"/>
      <c r="AW113" s="552" t="str">
        <f>IF(Roster!$J$25="Italiano","ABILITÀ &amp; TRATTI",(IF(Roster!$J$25="Español","HABILIDADES Y RASGOS","SKILLS &amp; TRAITS")))</f>
        <v>ABILITÀ &amp; TRATTI</v>
      </c>
      <c r="AX113" s="439"/>
      <c r="AY113" s="439"/>
      <c r="AZ113" s="439"/>
      <c r="BA113" s="439"/>
      <c r="BB113" s="439"/>
      <c r="BC113" s="439"/>
      <c r="BD113" s="439"/>
      <c r="BE113" s="439"/>
      <c r="BF113" s="439"/>
      <c r="BG113" s="553"/>
      <c r="BH113" s="539"/>
      <c r="BI113" s="216"/>
    </row>
    <row r="114" spans="1:61" ht="15" customHeight="1">
      <c r="A114" s="30"/>
      <c r="B114" s="526" t="str">
        <f>IF(Roster!$N$17=0&amp;"+","",Roster!$N$17)</f>
        <v/>
      </c>
      <c r="C114" s="201"/>
      <c r="D114" s="241" t="str">
        <f>IF(Roster!$AD$17=0,"",Roster!$AD$17)</f>
        <v/>
      </c>
      <c r="E114" s="236"/>
      <c r="F114" s="241" t="str">
        <f>IF(Roster!$AE$17=0,"",Roster!$AE$17)</f>
        <v/>
      </c>
      <c r="G114" s="236"/>
      <c r="H114" s="241" t="str">
        <f>IF(Roster!$AA$17=0,"",Roster!$AA$17)</f>
        <v/>
      </c>
      <c r="I114" s="236"/>
      <c r="J114" s="241" t="str">
        <f>IF(Roster!$AI$17=0,"",Roster!$AI$17)</f>
        <v/>
      </c>
      <c r="K114" s="236"/>
      <c r="L114" s="241" t="str">
        <f>IF(Roster!$AJ$17=0,"",Roster!$AJ$17)</f>
        <v/>
      </c>
      <c r="M114" s="236"/>
      <c r="N114" s="241" t="str">
        <f>IF(Roster!$Z$17=0,"",Roster!$Z$17)</f>
        <v/>
      </c>
      <c r="O114" s="208"/>
      <c r="P114" s="30"/>
      <c r="Q114" s="526" t="str">
        <f>IF(Roster!$N$18=0,"",Roster!$N$18)</f>
        <v/>
      </c>
      <c r="R114" s="453"/>
      <c r="S114" s="542" t="str">
        <f>IF(Roster!$O$18=0,"",Roster!$O$18)</f>
        <v/>
      </c>
      <c r="T114" s="543"/>
      <c r="U114" s="543"/>
      <c r="V114" s="543"/>
      <c r="W114" s="543"/>
      <c r="X114" s="543"/>
      <c r="Y114" s="543"/>
      <c r="Z114" s="543"/>
      <c r="AA114" s="543"/>
      <c r="AB114" s="543"/>
      <c r="AC114" s="544"/>
      <c r="AD114" s="539"/>
      <c r="AE114" s="207"/>
      <c r="AF114" s="526" t="str">
        <f>IF(Roster!$N$19=0,"",Roster!$N$19)</f>
        <v/>
      </c>
      <c r="AG114" s="453"/>
      <c r="AH114" s="542" t="str">
        <f>IF(Roster!$O$19=0,"",Roster!$O$19)</f>
        <v/>
      </c>
      <c r="AI114" s="543"/>
      <c r="AJ114" s="543"/>
      <c r="AK114" s="543"/>
      <c r="AL114" s="543"/>
      <c r="AM114" s="543"/>
      <c r="AN114" s="543"/>
      <c r="AO114" s="543"/>
      <c r="AP114" s="543"/>
      <c r="AQ114" s="543"/>
      <c r="AR114" s="544"/>
      <c r="AS114" s="539"/>
      <c r="AT114" s="207"/>
      <c r="AU114" s="526" t="str">
        <f>IF(Roster!$N$20=0,"",Roster!$N$20)</f>
        <v/>
      </c>
      <c r="AV114" s="453"/>
      <c r="AW114" s="542" t="str">
        <f>IF(Roster!$O$20=0,"",Roster!$O$20)</f>
        <v/>
      </c>
      <c r="AX114" s="543"/>
      <c r="AY114" s="543"/>
      <c r="AZ114" s="543"/>
      <c r="BA114" s="543"/>
      <c r="BB114" s="543"/>
      <c r="BC114" s="543"/>
      <c r="BD114" s="543"/>
      <c r="BE114" s="543"/>
      <c r="BF114" s="543"/>
      <c r="BG114" s="544"/>
      <c r="BH114" s="539"/>
      <c r="BI114" s="216"/>
    </row>
    <row r="115" spans="1:61" ht="4.5" customHeight="1">
      <c r="A115" s="30"/>
      <c r="B115" s="527"/>
      <c r="C115" s="201"/>
      <c r="D115" s="236"/>
      <c r="E115" s="236"/>
      <c r="F115" s="236"/>
      <c r="G115" s="236"/>
      <c r="H115" s="236"/>
      <c r="I115" s="236"/>
      <c r="J115" s="236"/>
      <c r="K115" s="236"/>
      <c r="L115" s="236"/>
      <c r="M115" s="236"/>
      <c r="N115" s="239"/>
      <c r="O115" s="208"/>
      <c r="P115" s="30"/>
      <c r="Q115" s="527"/>
      <c r="R115" s="453"/>
      <c r="S115" s="545"/>
      <c r="T115" s="546"/>
      <c r="U115" s="546"/>
      <c r="V115" s="546"/>
      <c r="W115" s="546"/>
      <c r="X115" s="546"/>
      <c r="Y115" s="546"/>
      <c r="Z115" s="546"/>
      <c r="AA115" s="546"/>
      <c r="AB115" s="546"/>
      <c r="AC115" s="547"/>
      <c r="AD115" s="539"/>
      <c r="AE115" s="207"/>
      <c r="AF115" s="527"/>
      <c r="AG115" s="453"/>
      <c r="AH115" s="545"/>
      <c r="AI115" s="546"/>
      <c r="AJ115" s="546"/>
      <c r="AK115" s="546"/>
      <c r="AL115" s="546"/>
      <c r="AM115" s="546"/>
      <c r="AN115" s="546"/>
      <c r="AO115" s="546"/>
      <c r="AP115" s="546"/>
      <c r="AQ115" s="546"/>
      <c r="AR115" s="547"/>
      <c r="AS115" s="539"/>
      <c r="AT115" s="207"/>
      <c r="AU115" s="527"/>
      <c r="AV115" s="453"/>
      <c r="AW115" s="545"/>
      <c r="AX115" s="546"/>
      <c r="AY115" s="546"/>
      <c r="AZ115" s="546"/>
      <c r="BA115" s="546"/>
      <c r="BB115" s="546"/>
      <c r="BC115" s="546"/>
      <c r="BD115" s="546"/>
      <c r="BE115" s="546"/>
      <c r="BF115" s="546"/>
      <c r="BG115" s="547"/>
      <c r="BH115" s="539"/>
      <c r="BI115" s="216"/>
    </row>
    <row r="116" spans="1:61" ht="11.25" customHeight="1">
      <c r="A116" s="30"/>
      <c r="B116" s="527"/>
      <c r="C116" s="201"/>
      <c r="D116" s="523" t="str">
        <f>IF(Roster!$J$25="Italiano","ABILITÀ &amp; TRATTI",(IF(Roster!$J$25="Español","HABILIDADES Y RASGOS","SKILLS &amp; TRAITS")))</f>
        <v>ABILITÀ &amp; TRATTI</v>
      </c>
      <c r="E116" s="524"/>
      <c r="F116" s="524"/>
      <c r="G116" s="524"/>
      <c r="H116" s="524"/>
      <c r="I116" s="524"/>
      <c r="J116" s="524"/>
      <c r="K116" s="524"/>
      <c r="L116" s="524"/>
      <c r="M116" s="524"/>
      <c r="N116" s="525"/>
      <c r="O116" s="208"/>
      <c r="P116" s="30"/>
      <c r="Q116" s="527"/>
      <c r="R116" s="453"/>
      <c r="S116" s="545"/>
      <c r="T116" s="546"/>
      <c r="U116" s="546"/>
      <c r="V116" s="546"/>
      <c r="W116" s="546"/>
      <c r="X116" s="546"/>
      <c r="Y116" s="546"/>
      <c r="Z116" s="546"/>
      <c r="AA116" s="546"/>
      <c r="AB116" s="546"/>
      <c r="AC116" s="547"/>
      <c r="AD116" s="539"/>
      <c r="AE116" s="207"/>
      <c r="AF116" s="527"/>
      <c r="AG116" s="453"/>
      <c r="AH116" s="545"/>
      <c r="AI116" s="546"/>
      <c r="AJ116" s="546"/>
      <c r="AK116" s="546"/>
      <c r="AL116" s="546"/>
      <c r="AM116" s="546"/>
      <c r="AN116" s="546"/>
      <c r="AO116" s="546"/>
      <c r="AP116" s="546"/>
      <c r="AQ116" s="546"/>
      <c r="AR116" s="547"/>
      <c r="AS116" s="539"/>
      <c r="AT116" s="207"/>
      <c r="AU116" s="527"/>
      <c r="AV116" s="453"/>
      <c r="AW116" s="545"/>
      <c r="AX116" s="546"/>
      <c r="AY116" s="546"/>
      <c r="AZ116" s="546"/>
      <c r="BA116" s="546"/>
      <c r="BB116" s="546"/>
      <c r="BC116" s="546"/>
      <c r="BD116" s="546"/>
      <c r="BE116" s="546"/>
      <c r="BF116" s="546"/>
      <c r="BG116" s="547"/>
      <c r="BH116" s="539"/>
      <c r="BI116" s="216"/>
    </row>
    <row r="117" spans="1:61" ht="6.75" customHeight="1">
      <c r="A117" s="30"/>
      <c r="B117" s="382"/>
      <c r="C117" s="201"/>
      <c r="D117" s="516" t="str">
        <f>IF(Roster!$O$17=0&amp;AQ98,"",Roster!$O$17)</f>
        <v/>
      </c>
      <c r="E117" s="495"/>
      <c r="F117" s="495"/>
      <c r="G117" s="495"/>
      <c r="H117" s="495"/>
      <c r="I117" s="495"/>
      <c r="J117" s="495"/>
      <c r="K117" s="495"/>
      <c r="L117" s="495"/>
      <c r="M117" s="495"/>
      <c r="N117" s="517"/>
      <c r="O117" s="208"/>
      <c r="P117" s="30"/>
      <c r="Q117" s="382"/>
      <c r="R117" s="453"/>
      <c r="S117" s="545"/>
      <c r="T117" s="546"/>
      <c r="U117" s="546"/>
      <c r="V117" s="546"/>
      <c r="W117" s="546"/>
      <c r="X117" s="546"/>
      <c r="Y117" s="546"/>
      <c r="Z117" s="546"/>
      <c r="AA117" s="546"/>
      <c r="AB117" s="546"/>
      <c r="AC117" s="547"/>
      <c r="AD117" s="539"/>
      <c r="AE117" s="207"/>
      <c r="AF117" s="382"/>
      <c r="AG117" s="453"/>
      <c r="AH117" s="545"/>
      <c r="AI117" s="546"/>
      <c r="AJ117" s="546"/>
      <c r="AK117" s="546"/>
      <c r="AL117" s="546"/>
      <c r="AM117" s="546"/>
      <c r="AN117" s="546"/>
      <c r="AO117" s="546"/>
      <c r="AP117" s="546"/>
      <c r="AQ117" s="546"/>
      <c r="AR117" s="547"/>
      <c r="AS117" s="539"/>
      <c r="AT117" s="207"/>
      <c r="AU117" s="382"/>
      <c r="AV117" s="453"/>
      <c r="AW117" s="545"/>
      <c r="AX117" s="546"/>
      <c r="AY117" s="546"/>
      <c r="AZ117" s="546"/>
      <c r="BA117" s="546"/>
      <c r="BB117" s="546"/>
      <c r="BC117" s="546"/>
      <c r="BD117" s="546"/>
      <c r="BE117" s="546"/>
      <c r="BF117" s="546"/>
      <c r="BG117" s="547"/>
      <c r="BH117" s="539"/>
      <c r="BI117" s="216"/>
    </row>
    <row r="118" spans="1:61" ht="11.25" customHeight="1">
      <c r="A118" s="30"/>
      <c r="B118" s="199" t="str">
        <f>IF(Roster!$AN$1=0,"",Roster!$AN$1)</f>
        <v>COSTO</v>
      </c>
      <c r="C118" s="200"/>
      <c r="D118" s="518"/>
      <c r="E118" s="519"/>
      <c r="F118" s="519"/>
      <c r="G118" s="519"/>
      <c r="H118" s="519"/>
      <c r="I118" s="519"/>
      <c r="J118" s="519"/>
      <c r="K118" s="519"/>
      <c r="L118" s="519"/>
      <c r="M118" s="519"/>
      <c r="N118" s="517"/>
      <c r="O118" s="211"/>
      <c r="P118" s="30"/>
      <c r="Q118" s="199" t="str">
        <f>IF(Roster!$AN$1=0,"",Roster!$AN$1)</f>
        <v>COSTO</v>
      </c>
      <c r="R118" s="453"/>
      <c r="S118" s="545"/>
      <c r="T118" s="546"/>
      <c r="U118" s="546"/>
      <c r="V118" s="546"/>
      <c r="W118" s="546"/>
      <c r="X118" s="546"/>
      <c r="Y118" s="546"/>
      <c r="Z118" s="546"/>
      <c r="AA118" s="546"/>
      <c r="AB118" s="546"/>
      <c r="AC118" s="547"/>
      <c r="AD118" s="539"/>
      <c r="AE118" s="207"/>
      <c r="AF118" s="199" t="str">
        <f>IF(Roster!$AN$1=0,"",Roster!$AN$1)</f>
        <v>COSTO</v>
      </c>
      <c r="AG118" s="453"/>
      <c r="AH118" s="545"/>
      <c r="AI118" s="546"/>
      <c r="AJ118" s="546"/>
      <c r="AK118" s="546"/>
      <c r="AL118" s="546"/>
      <c r="AM118" s="546"/>
      <c r="AN118" s="546"/>
      <c r="AO118" s="546"/>
      <c r="AP118" s="546"/>
      <c r="AQ118" s="546"/>
      <c r="AR118" s="547"/>
      <c r="AS118" s="539"/>
      <c r="AT118" s="207"/>
      <c r="AU118" s="199" t="str">
        <f>IF(Roster!$AN$1=0,"",Roster!$AN$1)</f>
        <v>COSTO</v>
      </c>
      <c r="AV118" s="453"/>
      <c r="AW118" s="545"/>
      <c r="AX118" s="546"/>
      <c r="AY118" s="546"/>
      <c r="AZ118" s="546"/>
      <c r="BA118" s="546"/>
      <c r="BB118" s="546"/>
      <c r="BC118" s="546"/>
      <c r="BD118" s="546"/>
      <c r="BE118" s="546"/>
      <c r="BF118" s="546"/>
      <c r="BG118" s="547"/>
      <c r="BH118" s="539"/>
      <c r="BI118" s="216"/>
    </row>
    <row r="119" spans="1:61" ht="34.5" customHeight="1">
      <c r="A119" s="30"/>
      <c r="B119" s="213" t="str">
        <f>IF(Roster!$AN$17=0,"",Roster!$AN$17)</f>
        <v/>
      </c>
      <c r="C119" s="214"/>
      <c r="D119" s="520"/>
      <c r="E119" s="521"/>
      <c r="F119" s="521"/>
      <c r="G119" s="521"/>
      <c r="H119" s="521"/>
      <c r="I119" s="521"/>
      <c r="J119" s="521"/>
      <c r="K119" s="521"/>
      <c r="L119" s="521"/>
      <c r="M119" s="521"/>
      <c r="N119" s="522"/>
      <c r="O119" s="211"/>
      <c r="P119" s="30"/>
      <c r="Q119" s="213" t="str">
        <f>IF(Roster!$AN$18=0,"",Roster!$AN$18)</f>
        <v/>
      </c>
      <c r="R119" s="454"/>
      <c r="S119" s="554"/>
      <c r="T119" s="555"/>
      <c r="U119" s="555"/>
      <c r="V119" s="555"/>
      <c r="W119" s="555"/>
      <c r="X119" s="555"/>
      <c r="Y119" s="555"/>
      <c r="Z119" s="555"/>
      <c r="AA119" s="555"/>
      <c r="AB119" s="555"/>
      <c r="AC119" s="556"/>
      <c r="AD119" s="540"/>
      <c r="AE119" s="207"/>
      <c r="AF119" s="213" t="str">
        <f>IF(Roster!$AN$19=0,"",Roster!$AN$19)</f>
        <v/>
      </c>
      <c r="AG119" s="454"/>
      <c r="AH119" s="554"/>
      <c r="AI119" s="555"/>
      <c r="AJ119" s="555"/>
      <c r="AK119" s="555"/>
      <c r="AL119" s="555"/>
      <c r="AM119" s="555"/>
      <c r="AN119" s="555"/>
      <c r="AO119" s="555"/>
      <c r="AP119" s="555"/>
      <c r="AQ119" s="555"/>
      <c r="AR119" s="556"/>
      <c r="AS119" s="540"/>
      <c r="AT119" s="207"/>
      <c r="AU119" s="213" t="str">
        <f>IF(Roster!$AN$20=0,"",Roster!$AN$20)</f>
        <v/>
      </c>
      <c r="AV119" s="454"/>
      <c r="AW119" s="554"/>
      <c r="AX119" s="555"/>
      <c r="AY119" s="555"/>
      <c r="AZ119" s="555"/>
      <c r="BA119" s="555"/>
      <c r="BB119" s="555"/>
      <c r="BC119" s="555"/>
      <c r="BD119" s="555"/>
      <c r="BE119" s="555"/>
      <c r="BF119" s="555"/>
      <c r="BG119" s="556"/>
      <c r="BH119" s="540"/>
      <c r="BI119" s="216"/>
    </row>
    <row r="120" spans="1:61" ht="4.5" customHeight="1">
      <c r="A120" s="30"/>
      <c r="B120" s="528"/>
      <c r="C120" s="352"/>
      <c r="D120" s="352"/>
      <c r="E120" s="352"/>
      <c r="F120" s="352"/>
      <c r="G120" s="352"/>
      <c r="H120" s="352"/>
      <c r="I120" s="352"/>
      <c r="J120" s="352"/>
      <c r="K120" s="352"/>
      <c r="L120" s="352"/>
      <c r="M120" s="352"/>
      <c r="N120" s="353"/>
      <c r="O120" s="215"/>
      <c r="P120" s="30"/>
      <c r="Q120" s="537"/>
      <c r="R120" s="352"/>
      <c r="S120" s="352"/>
      <c r="T120" s="352"/>
      <c r="U120" s="352"/>
      <c r="V120" s="352"/>
      <c r="W120" s="352"/>
      <c r="X120" s="352"/>
      <c r="Y120" s="352"/>
      <c r="Z120" s="352"/>
      <c r="AA120" s="352"/>
      <c r="AB120" s="352"/>
      <c r="AC120" s="352"/>
      <c r="AD120" s="407"/>
      <c r="AE120" s="216"/>
      <c r="AF120" s="537"/>
      <c r="AG120" s="352"/>
      <c r="AH120" s="352"/>
      <c r="AI120" s="352"/>
      <c r="AJ120" s="352"/>
      <c r="AK120" s="352"/>
      <c r="AL120" s="352"/>
      <c r="AM120" s="352"/>
      <c r="AN120" s="352"/>
      <c r="AO120" s="352"/>
      <c r="AP120" s="352"/>
      <c r="AQ120" s="352"/>
      <c r="AR120" s="352"/>
      <c r="AS120" s="407"/>
      <c r="AT120" s="216"/>
      <c r="AU120" s="537"/>
      <c r="AV120" s="352"/>
      <c r="AW120" s="352"/>
      <c r="AX120" s="352"/>
      <c r="AY120" s="352"/>
      <c r="AZ120" s="352"/>
      <c r="BA120" s="352"/>
      <c r="BB120" s="352"/>
      <c r="BC120" s="352"/>
      <c r="BD120" s="352"/>
      <c r="BE120" s="352"/>
      <c r="BF120" s="352"/>
      <c r="BG120" s="352"/>
      <c r="BH120" s="407"/>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69">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69"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69">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69">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69">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69">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69">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69">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0">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69">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69"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69"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69">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69"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69"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1">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1"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1">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1">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1">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69">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69"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69">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69">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0">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0">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69">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69">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69">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69"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69">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69">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69">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69"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69">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0">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69">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69"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69">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69">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69">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69"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0">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69"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69"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69">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69">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0">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69"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69"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0">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0">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69">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0">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69">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69"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69"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0">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69">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69">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69"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69"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69"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0">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69">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69">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69"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69"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0">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69">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69">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69"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69">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69">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0">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69"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69">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69">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69">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69">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69"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69"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69"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69"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0">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69">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69">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69"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69">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69">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69"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69"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69"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69">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69">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Mercenario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Mercenario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Mercenario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
      </c>
      <c r="F44" s="9" t="str">
        <f t="shared" si="1"/>
        <v>AAB</v>
      </c>
      <c r="G44" s="9" t="str">
        <f t="shared" si="1"/>
        <v/>
      </c>
      <c r="H44" s="9" t="str">
        <f t="shared" si="1"/>
        <v/>
      </c>
      <c r="I44" s="9" t="str">
        <f t="shared" si="1"/>
        <v/>
      </c>
      <c r="J44" s="9" t="str">
        <f t="shared" si="1"/>
        <v/>
      </c>
      <c r="K44" s="9" t="str">
        <f t="shared" si="1"/>
        <v/>
      </c>
      <c r="L44" s="9" t="str">
        <f t="shared" si="1"/>
        <v/>
      </c>
      <c r="M44" s="9" t="str">
        <f t="shared" si="1"/>
        <v/>
      </c>
      <c r="N44" s="9" t="str">
        <f t="shared" si="1"/>
        <v/>
      </c>
      <c r="O44" s="9" t="str">
        <f t="shared" si="1"/>
        <v/>
      </c>
      <c r="P44" s="9" t="str">
        <f t="shared" si="1"/>
        <v/>
      </c>
      <c r="Q44" s="9" t="str">
        <f t="shared" si="1"/>
        <v/>
      </c>
      <c r="R44" s="9" t="str">
        <f t="shared" si="1"/>
        <v/>
      </c>
      <c r="S44" s="9" t="str">
        <f t="shared" si="1"/>
        <v>AAC</v>
      </c>
      <c r="T44" s="9" t="str">
        <f t="shared" si="1"/>
        <v/>
      </c>
      <c r="U44" s="9" t="str">
        <f t="shared" si="1"/>
        <v/>
      </c>
      <c r="V44" s="9" t="str">
        <f t="shared" si="1"/>
        <v/>
      </c>
      <c r="W44" s="9" t="str">
        <f t="shared" si="1"/>
        <v/>
      </c>
      <c r="X44" s="9" t="str">
        <f t="shared" si="1"/>
        <v>AAD</v>
      </c>
      <c r="Y44" s="9" t="str">
        <f t="shared" si="1"/>
        <v>AAE</v>
      </c>
      <c r="Z44" s="9" t="str">
        <f t="shared" si="1"/>
        <v/>
      </c>
      <c r="AA44" s="9" t="str">
        <f t="shared" si="1"/>
        <v/>
      </c>
      <c r="AB44" s="9" t="str">
        <f t="shared" si="1"/>
        <v/>
      </c>
      <c r="AC44" s="9" t="str">
        <f t="shared" si="1"/>
        <v/>
      </c>
      <c r="AD44" s="9" t="str">
        <f t="shared" si="1"/>
        <v/>
      </c>
      <c r="AE44" s="9" t="str">
        <f t="shared" si="1"/>
        <v>AAF</v>
      </c>
      <c r="AF44" s="9" t="str">
        <f t="shared" si="1"/>
        <v/>
      </c>
      <c r="AG44" s="9" t="str">
        <f t="shared" si="1"/>
        <v/>
      </c>
      <c r="AH44" s="9" t="str">
        <f t="shared" si="1"/>
        <v>AAG</v>
      </c>
      <c r="AI44" s="13" t="s">
        <v>1332</v>
      </c>
      <c r="AJ44" s="13" t="s">
        <v>1333</v>
      </c>
      <c r="AK44" s="13" t="s">
        <v>1334</v>
      </c>
    </row>
    <row r="45" spans="1:37" ht="12.75" customHeight="1">
      <c r="A45" s="2"/>
      <c r="B45" s="9" t="str">
        <f>Roster!$BU$2</f>
        <v>BadlandsBrawl</v>
      </c>
      <c r="C45" s="9">
        <f>VLOOKUP($B$45,$B$48:$AH$62,2,FALSE)</f>
        <v>1</v>
      </c>
      <c r="D45" s="9">
        <f>VLOOKUP($B$45,$B$48:$AH$62,3,FALSE)</f>
        <v>0</v>
      </c>
      <c r="E45" s="9">
        <f>VLOOKUP($B$45,$B$48:$AH$62,4,FALSE)</f>
        <v>0</v>
      </c>
      <c r="F45" s="9">
        <f>VLOOKUP($B$45,$B$48:$AH$62,5,FALSE)</f>
        <v>1</v>
      </c>
      <c r="G45" s="9">
        <f>VLOOKUP($B$45,$B$48:$AH$62,6,FALSE)</f>
        <v>0</v>
      </c>
      <c r="H45" s="9">
        <f>VLOOKUP($B$45,$B$48:$AH$62,7,FALSE)</f>
        <v>0</v>
      </c>
      <c r="I45" s="9">
        <f>VLOOKUP($B$45,$B$48:$AH$62,8,FALSE)</f>
        <v>0</v>
      </c>
      <c r="J45" s="9">
        <f>VLOOKUP($B$45,$B$48:$AH$62,9,FALSE)</f>
        <v>0</v>
      </c>
      <c r="K45" s="9">
        <f>VLOOKUP($B$45,$B$48:$AH$62,10,FALSE)</f>
        <v>0</v>
      </c>
      <c r="L45" s="9">
        <f>VLOOKUP($B$45,$B$48:$AH$62,11,FALSE)</f>
        <v>0</v>
      </c>
      <c r="M45" s="9">
        <f>VLOOKUP($B$45,$B$48:$AH$62,12,FALSE)</f>
        <v>0</v>
      </c>
      <c r="N45" s="9">
        <f>VLOOKUP($B$45,$B$48:$AH$62,13,FALSE)</f>
        <v>0</v>
      </c>
      <c r="O45" s="9">
        <f>VLOOKUP($B$45,$B$48:$AH$62,14,FALSE)</f>
        <v>0</v>
      </c>
      <c r="P45" s="9">
        <f>VLOOKUP($B$45,$B$48:$AH$62,15,FALSE)</f>
        <v>0</v>
      </c>
      <c r="Q45" s="9">
        <f>VLOOKUP($B$45,$B$48:$AH$62,16,FALSE)</f>
        <v>0</v>
      </c>
      <c r="R45" s="9">
        <f>VLOOKUP($B$45,$B$48:$AH$62,17,FALSE)</f>
        <v>0</v>
      </c>
      <c r="S45" s="9">
        <f>VLOOKUP($B$45,$B$48:$AH$62,18,FALSE)</f>
        <v>1</v>
      </c>
      <c r="T45" s="9">
        <f>VLOOKUP($B$45,$B$48:$AH$62,19,FALSE)</f>
        <v>0</v>
      </c>
      <c r="U45" s="9">
        <f>VLOOKUP($B$45,$B$48:$AH$62,20,FALSE)</f>
        <v>0</v>
      </c>
      <c r="V45" s="9">
        <f>VLOOKUP($B$45,$B$48:$AH$62,21,FALSE)</f>
        <v>0</v>
      </c>
      <c r="W45" s="9">
        <f>VLOOKUP($B$45,$B$48:$AH$62,22,FALSE)</f>
        <v>0</v>
      </c>
      <c r="X45" s="9">
        <f>VLOOKUP($B$45,$B$48:$AH$62,23,FALSE)</f>
        <v>1</v>
      </c>
      <c r="Y45" s="9">
        <f>VLOOKUP($B$45,$B$48:$AH$62,24,FALSE)</f>
        <v>1</v>
      </c>
      <c r="Z45" s="9">
        <f>VLOOKUP($B$45,$B$48:$AH$62,25,FALSE)</f>
        <v>0</v>
      </c>
      <c r="AA45" s="9">
        <f>VLOOKUP($B$45,$B$48:$AH$62,26,FALSE)</f>
        <v>0</v>
      </c>
      <c r="AB45" s="9">
        <f>VLOOKUP($B$45,$B$48:$AH$62,27,FALSE)</f>
        <v>0</v>
      </c>
      <c r="AC45" s="9">
        <f>VLOOKUP($B$45,$B$48:$AH$62,28,FALSE)</f>
        <v>0</v>
      </c>
      <c r="AD45" s="9">
        <f>VLOOKUP($B$45,$B$48:$AH$62,29,FALSE)</f>
        <v>0</v>
      </c>
      <c r="AE45" s="9">
        <f>VLOOKUP($B$45,$B$48:$AH$62,30,FALSE)</f>
        <v>1</v>
      </c>
      <c r="AF45" s="9">
        <f>VLOOKUP($B$45,$B$48:$AH$62,31,FALSE)</f>
        <v>0</v>
      </c>
      <c r="AG45" s="9">
        <f>VLOOKUP($B$45,$B$48:$AH$62,32,FALSE)</f>
        <v>0</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Mercenario 1</v>
      </c>
      <c r="AJ47" s="229" t="str">
        <f>IF(Roster!$J$25="Italiano","Mercenario 2",(IF(Roster!$J$25="Español","Mercenario 2",(IF(Roster!$J$25="Français","Mercenaire 2","Mercenary 2")))))</f>
        <v>Mercenario 2</v>
      </c>
      <c r="AK47" s="229" t="str">
        <f>IF(Roster!$J$25="Italiano","Mercenario 3",(IF(Roster!$J$25="Español","Mercenario 3",(IF(Roster!$J$25="Français","Mercenaire 3","Mercenary 3")))))</f>
        <v>Mercenario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AAAAABAACAADAAEAAFAAGCCCDDDEEE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AAB</v>
      </c>
      <c r="C66" s="13" t="str">
        <f t="shared" si="2"/>
        <v>Helmut Wulf</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AAC</v>
      </c>
      <c r="C67" s="13" t="str">
        <f t="shared" si="2"/>
        <v>The Black Gobbo</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AAD</v>
      </c>
      <c r="C68" s="13" t="str">
        <f t="shared" si="2"/>
        <v>Grak</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AAE</v>
      </c>
      <c r="C69" s="13" t="str">
        <f t="shared" si="2"/>
        <v>Crumbleberry</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AAF</v>
      </c>
      <c r="C70" s="13" t="str">
        <f t="shared" si="2"/>
        <v>Varag Ghoul-Chewer</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AAG</v>
      </c>
      <c r="C71" s="13" t="str">
        <f t="shared" si="2"/>
        <v>Morg 'n' Thorg</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CCC</v>
      </c>
      <c r="C72" s="13" t="str">
        <f t="shared" si="2"/>
        <v>Mercenario 1</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DDD</v>
      </c>
      <c r="C73" s="13" t="str">
        <f t="shared" si="2"/>
        <v>Mercenario 2</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EEE</v>
      </c>
      <c r="C74" s="9" t="str">
        <f t="shared" si="2"/>
        <v>Mercenario 3</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
      </c>
      <c r="C75" s="13" t="str">
        <f t="shared" ref="C75:C84" si="5">IFERROR((VLOOKUP(B75,$A$4:$B$47,2,FALSE))," ")</f>
        <v xml:space="preserve"> </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
      </c>
      <c r="C76" s="13" t="str">
        <f t="shared" si="5"/>
        <v xml:space="preserve"> </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
      </c>
      <c r="C77" s="13" t="str">
        <f t="shared" si="5"/>
        <v xml:space="preserve"> </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
      </c>
      <c r="C78" s="13" t="str">
        <f t="shared" si="5"/>
        <v xml:space="preserve"> </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
      </c>
      <c r="C79" s="13" t="str">
        <f t="shared" si="5"/>
        <v xml:space="preserve"> </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2022-12-29T16:26:21Z</dcterms:modified>
</cp:coreProperties>
</file>