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F:\MIS DOCUMENTOS\JUEGOS\Juegos de mesa\Blood Bowl\Roster\Creacion roster\2020\v5.0\v5.0\"/>
    </mc:Choice>
  </mc:AlternateContent>
  <xr:revisionPtr revIDLastSave="0" documentId="13_ncr:1_{DBA75282-92E1-42C8-B225-A084DA9470F0}" xr6:coauthVersionLast="47" xr6:coauthVersionMax="47" xr10:uidLastSave="{00000000-0000-0000-0000-000000000000}"/>
  <workbookProtection workbookAlgorithmName="SHA-512" workbookHashValue="a5GhYwRWgJh5kisIp3sbc24I3HRYp9zXP3iluZ+DdAZVGDQBglejV+09dmk1jOasxok2dkV/HJ3LwGuctwFqvw==" workbookSaltValue="WgAfNq3RnDzm2j4O5FhO+g==" workbookSpinCount="100000" lockStructure="1"/>
  <bookViews>
    <workbookView xWindow="840" yWindow="-120" windowWidth="19770" windowHeight="11760" tabRatio="795" xr2:uid="{00000000-000D-0000-FFFF-FFFF00000000}"/>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AA3" i="3"/>
  <c r="Z3"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V99" i="5" l="1"/>
  <c r="AV99" i="6"/>
  <c r="D29" i="9"/>
  <c r="D46" i="8" s="1"/>
  <c r="E16" i="9"/>
  <c r="E45" i="8" s="1"/>
  <c r="S34" i="9"/>
  <c r="C3" i="9"/>
  <c r="C44" i="8" s="1"/>
  <c r="E29" i="9"/>
  <c r="E46" i="8" s="1"/>
  <c r="AB3" i="9"/>
  <c r="D3" i="9"/>
  <c r="D44" i="8" s="1"/>
  <c r="C16" i="9"/>
  <c r="C45" i="8" s="1"/>
  <c r="E3" i="9"/>
  <c r="E44" i="8" s="1"/>
  <c r="D16" i="9"/>
  <c r="D45" i="8" s="1"/>
  <c r="C29" i="9"/>
  <c r="C46"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Z2" i="3"/>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AJ21"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I2" i="3" l="1"/>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W53"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S22" i="2" l="1"/>
  <c r="BW2" i="2"/>
  <c r="AJ50" i="2"/>
  <c r="AJ47" i="2"/>
  <c r="AJ43" i="2"/>
  <c r="AM8" i="2" s="1"/>
  <c r="AV8" i="2" s="1"/>
  <c r="CW48" i="2"/>
  <c r="AJ45" i="2" s="1"/>
  <c r="AM10" i="2" s="1"/>
  <c r="AV10" i="2" s="1"/>
  <c r="AJ39" i="2"/>
  <c r="AJ40" i="2"/>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H40" i="2"/>
  <c r="CV40" i="2"/>
  <c r="CK40" i="2"/>
  <c r="CY40" i="2"/>
  <c r="BB60" i="2"/>
  <c r="AZ6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AU14" i="2" s="1"/>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N60" i="2"/>
  <c r="BJ2" i="2"/>
  <c r="BK2" i="2" s="1"/>
  <c r="BH13" i="2"/>
  <c r="BH12" i="2"/>
  <c r="BH10" i="2"/>
  <c r="BH9" i="2"/>
  <c r="BH6" i="2"/>
  <c r="BH5" i="2"/>
  <c r="AS2" i="2"/>
  <c r="AU2" i="2" s="1"/>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5" i="2"/>
  <c r="AV5" i="2" s="1"/>
  <c r="AM12" i="2"/>
  <c r="AV12" i="2" s="1"/>
  <c r="AM4" i="2"/>
  <c r="AV4" i="2" s="1"/>
  <c r="AM15" i="2"/>
  <c r="AV15" i="2" s="1"/>
  <c r="AR49" i="8" l="1"/>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37" i="2"/>
  <c r="AM2" i="2" s="1"/>
  <c r="AV2" i="2"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A60" i="2"/>
  <c r="BJ40" i="2"/>
  <c r="AH37" i="2" s="1"/>
  <c r="AO2" i="2" s="1"/>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P6" i="2" s="1"/>
  <c r="S45" i="6" s="1"/>
  <c r="AV7" i="2"/>
  <c r="AW7" i="2" s="1"/>
  <c r="BG7" i="2"/>
  <c r="AV3" i="2"/>
  <c r="BG3" i="2"/>
  <c r="I32" i="9"/>
  <c r="AD38" i="9" s="1"/>
  <c r="W38" i="9" s="1"/>
  <c r="S29" i="9" s="1"/>
  <c r="J46" i="8" s="1"/>
  <c r="I6" i="9"/>
  <c r="AD12" i="9" s="1"/>
  <c r="W12" i="9" s="1"/>
  <c r="S3" i="9" s="1"/>
  <c r="J44" i="8" s="1"/>
  <c r="AR2" i="2"/>
  <c r="AU5" i="2"/>
  <c r="AW5" i="2" s="1"/>
  <c r="P5" i="2" s="1"/>
  <c r="D45" i="6"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AX7" i="2"/>
  <c r="BG17" i="2"/>
  <c r="AF23" i="6"/>
  <c r="AF23" i="5"/>
  <c r="AF95" i="6"/>
  <c r="AF95" i="5"/>
  <c r="K29" i="2" l="1"/>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AX3" i="2"/>
  <c r="P13" i="2"/>
  <c r="D93" i="6" s="1"/>
  <c r="AW16" i="2"/>
  <c r="P16" i="2" s="1"/>
  <c r="AW93" i="5" s="1"/>
  <c r="D69" i="5"/>
  <c r="D69" i="6"/>
  <c r="AX2" i="2"/>
  <c r="P2" i="2" s="1"/>
  <c r="S21" i="6" s="1"/>
  <c r="B95" i="6"/>
  <c r="AU95" i="5"/>
  <c r="AU95" i="6"/>
  <c r="Q23" i="5"/>
  <c r="B119" i="5"/>
  <c r="AW69" i="5"/>
  <c r="D45" i="5"/>
  <c r="AW45" i="5"/>
  <c r="S93" i="5"/>
  <c r="AH93" i="5"/>
  <c r="AW17" i="2"/>
  <c r="AX17" i="2"/>
  <c r="S45" i="5"/>
  <c r="S69" i="5"/>
  <c r="P3" i="2" l="1"/>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<sst xmlns="http://schemas.openxmlformats.org/spreadsheetml/2006/main" count="4084" uniqueCount="1438">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</sst>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_);[Red]\(#,##0\)"/>
  </numFmts>
  <fonts count="75" x14ac:knownFonts="1">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7"/>
      <color theme="1"/>
      <name val="Tahoma"/>
    </font>
    <font>
      <sz val="8"/>
      <color theme="1"/>
      <name val="Arial"/>
    </font>
    <font>
      <sz val="11"/>
      <color theme="1"/>
      <name val="Arial"/>
    </font>
    <font>
      <sz val="10"/>
      <color theme="0"/>
      <name val="Tahoma"/>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26">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4"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2"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3" fontId="50" fillId="2" borderId="2" xfId="0" applyNumberFormat="1" applyFont="1" applyFill="1" applyBorder="1" applyAlignment="1" applyProtection="1">
      <alignment horizontal="center" vertical="center"/>
    </xf>
    <xf numFmtId="0" fontId="51" fillId="0" borderId="4" xfId="0" applyFont="1" applyBorder="1" applyProtection="1"/>
    <xf numFmtId="0" fontId="11" fillId="0" borderId="29" xfId="0" applyFont="1" applyBorder="1" applyAlignment="1" applyProtection="1">
      <alignment horizontal="center" vertical="center"/>
      <protection locked="0"/>
    </xf>
    <xf numFmtId="0" fontId="1" fillId="0" borderId="3" xfId="0" applyFont="1" applyBorder="1" applyProtection="1">
      <protection locked="0"/>
    </xf>
    <xf numFmtId="0" fontId="1" fillId="0" borderId="4" xfId="0" applyFont="1" applyBorder="1" applyProtection="1">
      <protection locked="0"/>
    </xf>
    <xf numFmtId="0" fontId="15" fillId="3" borderId="2" xfId="0" applyFont="1" applyFill="1" applyBorder="1" applyAlignment="1" applyProtection="1">
      <alignment horizontal="center" vertical="center" shrinkToFit="1"/>
    </xf>
    <xf numFmtId="0" fontId="1" fillId="0" borderId="3" xfId="0" applyFont="1" applyBorder="1" applyProtection="1"/>
    <xf numFmtId="0" fontId="1" fillId="0" borderId="4" xfId="0" applyFont="1" applyBorder="1" applyProtection="1"/>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2" borderId="29" xfId="0" applyFont="1" applyFill="1" applyBorder="1" applyAlignment="1" applyProtection="1">
      <alignment horizontal="center" vertical="center"/>
    </xf>
    <xf numFmtId="0" fontId="16" fillId="2" borderId="102" xfId="0" applyFont="1" applyFill="1" applyBorder="1" applyAlignment="1" applyProtection="1">
      <alignment horizontal="center" vertical="center"/>
    </xf>
    <xf numFmtId="0" fontId="1" fillId="0" borderId="102" xfId="0" applyFont="1" applyBorder="1" applyProtection="1"/>
    <xf numFmtId="0" fontId="1" fillId="0" borderId="42" xfId="0" applyFont="1" applyBorder="1" applyProtection="1"/>
    <xf numFmtId="0" fontId="1" fillId="0" borderId="43" xfId="0" applyFont="1" applyBorder="1" applyProtection="1"/>
    <xf numFmtId="0" fontId="18" fillId="2" borderId="36" xfId="0" applyFont="1" applyFill="1" applyBorder="1" applyAlignment="1" applyProtection="1">
      <alignment horizontal="center" vertical="center"/>
    </xf>
    <xf numFmtId="0" fontId="1" fillId="0" borderId="33" xfId="0" applyFont="1" applyBorder="1" applyProtection="1"/>
    <xf numFmtId="0" fontId="1" fillId="0" borderId="37" xfId="0" applyFont="1" applyBorder="1" applyProtection="1"/>
    <xf numFmtId="3" fontId="11" fillId="2" borderId="28" xfId="0" applyNumberFormat="1" applyFont="1" applyFill="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0" fillId="0" borderId="2" xfId="0" applyFont="1" applyBorder="1" applyAlignment="1" applyProtection="1">
      <alignment horizontal="center" vertical="center" shrinkToFit="1"/>
      <protection locked="0"/>
    </xf>
    <xf numFmtId="0" fontId="1" fillId="0" borderId="4" xfId="0" applyFont="1"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50" fillId="2" borderId="2" xfId="0" applyFont="1" applyFill="1" applyBorder="1" applyAlignment="1" applyProtection="1">
      <alignment horizontal="center" vertical="center" wrapText="1"/>
    </xf>
    <xf numFmtId="0" fontId="51" fillId="0" borderId="3" xfId="0" applyFont="1" applyBorder="1" applyProtection="1"/>
    <xf numFmtId="0" fontId="8" fillId="3" borderId="2" xfId="0" applyFont="1" applyFill="1" applyBorder="1" applyAlignment="1" applyProtection="1">
      <alignment horizontal="center" vertical="center" wrapText="1"/>
    </xf>
    <xf numFmtId="0" fontId="13" fillId="0" borderId="0" xfId="0" applyFont="1" applyAlignment="1" applyProtection="1">
      <alignment horizontal="center" vertical="center"/>
    </xf>
    <xf numFmtId="0" fontId="11" fillId="0" borderId="29" xfId="0" applyFont="1" applyBorder="1" applyAlignment="1" applyProtection="1">
      <alignment horizontal="center" vertical="center" shrinkToFit="1"/>
      <protection locked="0"/>
    </xf>
    <xf numFmtId="0" fontId="10" fillId="0" borderId="0" xfId="0" applyFont="1" applyAlignment="1" applyProtection="1">
      <alignment horizontal="center" vertical="center"/>
    </xf>
    <xf numFmtId="0" fontId="0" fillId="0" borderId="0" xfId="0" applyFont="1" applyAlignment="1" applyProtection="1"/>
    <xf numFmtId="0" fontId="9" fillId="0" borderId="2"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3" fontId="11" fillId="2" borderId="29" xfId="0" applyNumberFormat="1" applyFont="1" applyFill="1" applyBorder="1" applyAlignment="1" applyProtection="1">
      <alignment horizontal="right" vertical="center"/>
    </xf>
    <xf numFmtId="0" fontId="11" fillId="2" borderId="28" xfId="0" applyFont="1" applyFill="1" applyBorder="1" applyAlignment="1" applyProtection="1">
      <alignment horizontal="left" vertical="center"/>
    </xf>
    <xf numFmtId="3" fontId="15" fillId="3" borderId="2"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8" fillId="3" borderId="2" xfId="0" applyFont="1" applyFill="1" applyBorder="1" applyAlignment="1" applyProtection="1">
      <alignment horizontal="center" vertical="center"/>
    </xf>
    <xf numFmtId="0" fontId="9" fillId="0" borderId="0" xfId="0" applyFont="1" applyAlignment="1" applyProtection="1">
      <alignment horizontal="center" vertical="center"/>
    </xf>
    <xf numFmtId="0" fontId="1" fillId="0" borderId="23" xfId="0" applyFont="1" applyBorder="1" applyProtection="1"/>
    <xf numFmtId="0" fontId="1" fillId="0" borderId="47" xfId="0" applyFont="1" applyBorder="1" applyProtection="1"/>
    <xf numFmtId="0" fontId="0" fillId="0" borderId="29" xfId="0" applyFont="1" applyBorder="1" applyAlignment="1" applyProtection="1">
      <alignment horizontal="center" vertical="center"/>
      <protection locked="0"/>
    </xf>
    <xf numFmtId="0" fontId="60" fillId="0" borderId="0" xfId="0" applyFont="1" applyAlignment="1">
      <alignment horizontal="center" vertical="center"/>
    </xf>
    <xf numFmtId="0" fontId="0" fillId="0" borderId="0" xfId="0"/>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13" fillId="0" borderId="2"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0" fillId="2" borderId="29" xfId="0" applyFont="1" applyFill="1" applyBorder="1" applyAlignment="1" applyProtection="1">
      <alignment horizontal="center" vertical="center"/>
      <protection locked="0"/>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7" fillId="2" borderId="36" xfId="0" applyFont="1" applyFill="1" applyBorder="1" applyAlignment="1" applyProtection="1">
      <alignment horizontal="left" vertical="top" wrapText="1"/>
    </xf>
    <xf numFmtId="0" fontId="1" fillId="0" borderId="19" xfId="0" applyFont="1" applyBorder="1" applyProtection="1"/>
    <xf numFmtId="0" fontId="14" fillId="0" borderId="2" xfId="0" applyFont="1" applyBorder="1" applyAlignment="1" applyProtection="1">
      <alignment horizontal="center" vertical="center" shrinkToFit="1"/>
      <protection locked="0"/>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3" fontId="11" fillId="2" borderId="131"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6" fillId="0" borderId="0" xfId="0" applyFont="1" applyAlignment="1" applyProtection="1">
      <alignment horizontal="center" vertical="center" wrapText="1"/>
    </xf>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1" xfId="0" applyFont="1" applyBorder="1" applyProtection="1"/>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5"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95" xfId="0" applyFont="1" applyBorder="1" applyProtection="1"/>
    <xf numFmtId="0" fontId="23" fillId="15" borderId="102" xfId="0" applyFont="1" applyFill="1" applyBorder="1" applyAlignment="1" applyProtection="1">
      <alignment horizontal="center" vertical="center"/>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3" fontId="7" fillId="2" borderId="2" xfId="0" applyNumberFormat="1"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shrinkToFit="1"/>
      <protection locked="0"/>
    </xf>
    <xf numFmtId="0" fontId="50" fillId="0" borderId="2" xfId="0" applyFont="1" applyBorder="1" applyAlignment="1" applyProtection="1">
      <alignment horizontal="center" vertical="center" shrinkToFit="1"/>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18" fillId="2" borderId="123" xfId="0" applyFont="1" applyFill="1" applyBorder="1" applyAlignment="1" applyProtection="1">
      <alignment horizontal="center" vertical="center"/>
    </xf>
    <xf numFmtId="0" fontId="32" fillId="8" borderId="7"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10" borderId="102" xfId="0" applyFont="1" applyFill="1" applyBorder="1" applyAlignment="1" applyProtection="1">
      <alignment horizontal="center" vertical="center" wrapText="1"/>
    </xf>
    <xf numFmtId="0" fontId="37" fillId="2" borderId="7" xfId="0" applyFont="1" applyFill="1" applyBorder="1" applyAlignment="1" applyProtection="1">
      <alignment horizontal="left"/>
    </xf>
    <xf numFmtId="0" fontId="33" fillId="8" borderId="7" xfId="0" applyFont="1" applyFill="1" applyBorder="1" applyAlignment="1" applyProtection="1">
      <alignment horizontal="center" vertical="center" shrinkToFit="1"/>
    </xf>
    <xf numFmtId="0" fontId="32" fillId="9" borderId="1" xfId="0" applyFont="1" applyFill="1" applyBorder="1" applyAlignment="1" applyProtection="1">
      <alignment horizontal="center" vertical="center"/>
    </xf>
    <xf numFmtId="0" fontId="35" fillId="9" borderId="1" xfId="0" applyFont="1" applyFill="1" applyBorder="1" applyAlignment="1" applyProtection="1">
      <alignment horizontal="center" vertical="center"/>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0" fontId="0" fillId="9" borderId="1" xfId="0" applyFont="1" applyFill="1" applyBorder="1" applyAlignment="1" applyProtection="1">
      <alignment horizontal="center"/>
    </xf>
    <xf numFmtId="0" fontId="1" fillId="0" borderId="97" xfId="0" applyFont="1" applyBorder="1" applyAlignment="1" applyProtection="1">
      <alignment horizontal="center"/>
      <protection locked="0"/>
    </xf>
    <xf numFmtId="0" fontId="54" fillId="8"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shrinkToFit="1"/>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3" fontId="33" fillId="8" borderId="7" xfId="0" applyNumberFormat="1" applyFont="1" applyFill="1" applyBorder="1" applyAlignment="1" applyProtection="1">
      <alignment horizontal="center" vertical="center" shrinkToFit="1"/>
    </xf>
    <xf numFmtId="3" fontId="35" fillId="9" borderId="7" xfId="0" applyNumberFormat="1" applyFont="1" applyFill="1" applyBorder="1" applyAlignment="1" applyProtection="1">
      <alignment horizontal="center" vertical="center"/>
    </xf>
    <xf numFmtId="0" fontId="0" fillId="8" borderId="7" xfId="0" applyFont="1" applyFill="1" applyBorder="1" applyAlignment="1" applyProtection="1">
      <alignment horizontal="center"/>
    </xf>
    <xf numFmtId="1" fontId="35" fillId="9" borderId="7" xfId="0" applyNumberFormat="1" applyFont="1" applyFill="1" applyBorder="1" applyAlignment="1" applyProtection="1">
      <alignment horizontal="center" vertical="center"/>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0" fontId="41" fillId="4" borderId="7" xfId="0" applyFont="1" applyFill="1" applyBorder="1" applyAlignment="1" applyProtection="1">
      <alignment horizontal="center"/>
    </xf>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5" fillId="4" borderId="32" xfId="0" applyFont="1" applyFill="1" applyBorder="1" applyAlignment="1" applyProtection="1">
      <alignment horizontal="center"/>
    </xf>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0" fillId="4" borderId="32" xfId="0" applyFont="1" applyFill="1" applyBorder="1" applyProtection="1"/>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3" fillId="4" borderId="1" xfId="0" applyFont="1" applyFill="1" applyBorder="1" applyAlignment="1" applyProtection="1">
      <alignment horizontal="center" vertical="center"/>
    </xf>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6" fillId="4" borderId="28" xfId="0" applyFont="1" applyFill="1" applyBorder="1" applyAlignment="1" applyProtection="1">
      <alignment horizontal="left" vertical="top" wrapText="1"/>
    </xf>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3" fontId="42" fillId="4" borderId="7" xfId="0" applyNumberFormat="1" applyFont="1" applyFill="1" applyBorder="1" applyAlignment="1" applyProtection="1">
      <alignment horizontal="center" vertical="center" shrinkToFit="1"/>
    </xf>
    <xf numFmtId="3"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1" fontId="44" fillId="4" borderId="2" xfId="0" applyNumberFormat="1" applyFont="1" applyFill="1" applyBorder="1" applyAlignment="1" applyProtection="1">
      <alignment horizontal="center" vertical="center"/>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cellXfs>
  <cellStyles count="2">
    <cellStyle name="Hyperlink" xfId="1" builtinId="8"/>
    <cellStyle name="Normal" xfId="0" builtinId="0"/>
  </cellStyles>
  <dxfs count="373">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179677</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370177" y="9871364"/>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8"/>
  <sheetViews>
    <sheetView tabSelected="1" zoomScaleNormal="100" workbookViewId="0">
      <selection sqref="A1:A18"/>
    </sheetView>
  </sheetViews>
  <sheetFormatPr defaultColWidth="0" defaultRowHeight="15" customHeight="1" zeroHeight="1" x14ac:dyDescent="0.2"/>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x14ac:dyDescent="0.2">
      <c r="A1" s="334"/>
      <c r="B1" s="337" t="str">
        <f>IF(Roster!$K$25="Italiano","Blood Bowl 2020 Roster Lega",(IF(Roster!$K$25="Español","Blood Bowl 2020 Roster League",(IF(Roster!$K$25="Deutsch","Blood Bowl 2020 Roster Liga",(IF(Roster!$K$25="Français","Blood Bowl 2020 Roster Ligue","Blood Bowl 2020 Roster League")))))))</f>
        <v>Blood Bowl 2020 Roster League</v>
      </c>
      <c r="C1" s="338"/>
      <c r="D1" s="339"/>
      <c r="E1" s="334"/>
      <c r="F1" s="1"/>
      <c r="G1" s="1"/>
      <c r="H1" s="1"/>
      <c r="I1" s="1"/>
      <c r="J1" s="1"/>
      <c r="K1" s="1"/>
      <c r="L1" s="1"/>
      <c r="M1" s="1"/>
      <c r="N1" s="1"/>
      <c r="O1" s="1"/>
      <c r="P1" s="1"/>
      <c r="Q1" s="1"/>
      <c r="R1" s="1"/>
      <c r="S1" s="1"/>
      <c r="T1" s="1"/>
      <c r="U1" s="1"/>
      <c r="V1" s="1"/>
      <c r="W1" s="1"/>
      <c r="X1" s="1"/>
      <c r="Y1" s="1"/>
      <c r="Z1" s="1"/>
      <c r="AA1" s="1"/>
      <c r="AB1" s="1"/>
      <c r="AC1" s="1"/>
      <c r="AD1" s="1"/>
      <c r="AE1" s="1"/>
    </row>
    <row r="2" spans="1:31" ht="15" customHeight="1" x14ac:dyDescent="0.2">
      <c r="A2" s="335"/>
      <c r="B2" s="340" t="str">
        <f>Roster!A33</f>
        <v>v5.0 - Created by dreamscreator</v>
      </c>
      <c r="C2" s="341"/>
      <c r="D2" s="342"/>
      <c r="E2" s="335"/>
      <c r="F2" s="1"/>
      <c r="G2" s="1"/>
      <c r="H2" s="1"/>
      <c r="I2" s="1"/>
      <c r="J2" s="1"/>
      <c r="K2" s="1"/>
      <c r="L2" s="1"/>
      <c r="M2" s="1"/>
      <c r="N2" s="1"/>
      <c r="O2" s="1"/>
      <c r="P2" s="1"/>
      <c r="Q2" s="1"/>
      <c r="R2" s="1"/>
      <c r="S2" s="1"/>
      <c r="T2" s="1"/>
      <c r="U2" s="1"/>
      <c r="V2" s="1"/>
      <c r="W2" s="1"/>
      <c r="X2" s="1"/>
      <c r="Y2" s="1"/>
      <c r="Z2" s="1"/>
      <c r="AA2" s="1"/>
      <c r="AB2" s="1"/>
      <c r="AC2" s="1"/>
      <c r="AD2" s="1"/>
      <c r="AE2" s="1"/>
    </row>
    <row r="3" spans="1:31" ht="15" customHeight="1" x14ac:dyDescent="0.2">
      <c r="A3" s="335"/>
      <c r="B3" s="343" t="str">
        <f>Roster!A34</f>
        <v>https://bloodbowlhelp.wordpress.com</v>
      </c>
      <c r="C3" s="341"/>
      <c r="D3" s="342"/>
      <c r="E3" s="335"/>
      <c r="F3" s="1"/>
      <c r="G3" s="1"/>
      <c r="H3" s="1"/>
      <c r="I3" s="1"/>
      <c r="J3" s="1"/>
      <c r="K3" s="1"/>
      <c r="L3" s="1"/>
      <c r="M3" s="1"/>
      <c r="N3" s="1"/>
      <c r="O3" s="1"/>
      <c r="P3" s="1"/>
      <c r="Q3" s="1"/>
      <c r="R3" s="1"/>
      <c r="S3" s="1"/>
      <c r="T3" s="1"/>
      <c r="U3" s="1"/>
      <c r="V3" s="1"/>
      <c r="W3" s="1"/>
      <c r="X3" s="1"/>
      <c r="Y3" s="1"/>
      <c r="Z3" s="1"/>
      <c r="AA3" s="1"/>
      <c r="AB3" s="1"/>
      <c r="AC3" s="1"/>
      <c r="AD3" s="1"/>
      <c r="AE3" s="1"/>
    </row>
    <row r="4" spans="1:31" ht="15" customHeight="1" x14ac:dyDescent="0.2">
      <c r="A4" s="335"/>
      <c r="B4" s="344"/>
      <c r="C4" s="341"/>
      <c r="D4" s="342"/>
      <c r="E4" s="335"/>
      <c r="F4" s="1"/>
      <c r="G4" s="1"/>
      <c r="H4" s="1"/>
      <c r="I4" s="1"/>
      <c r="J4" s="1"/>
      <c r="K4" s="1"/>
      <c r="L4" s="1"/>
      <c r="M4" s="1"/>
      <c r="N4" s="1"/>
      <c r="O4" s="1"/>
      <c r="P4" s="1"/>
      <c r="Q4" s="1"/>
      <c r="R4" s="1"/>
      <c r="S4" s="1"/>
      <c r="T4" s="1"/>
      <c r="U4" s="1"/>
      <c r="V4" s="1"/>
      <c r="W4" s="1"/>
      <c r="X4" s="1"/>
      <c r="Y4" s="1"/>
      <c r="Z4" s="1"/>
      <c r="AA4" s="1"/>
      <c r="AB4" s="1"/>
      <c r="AC4" s="1"/>
      <c r="AD4" s="1"/>
      <c r="AE4" s="1"/>
    </row>
    <row r="5" spans="1:31" ht="15" customHeight="1" x14ac:dyDescent="0.4">
      <c r="A5" s="335"/>
      <c r="B5" s="344" t="str">
        <f>IF(Roster!$K$25="Italiano",M5,(IF(Roster!$K$25="Español",J5,(IF(Roster!$K$25="Deutsch",K5,(IF(Roster!$K$25="Français",L5,I5)))))))</f>
        <v>Compatible with Excel, Google Sheets (just upload Excel to Google Drive) and Libre Office</v>
      </c>
      <c r="C5" s="341"/>
      <c r="D5" s="342"/>
      <c r="E5" s="335"/>
      <c r="F5" s="2"/>
      <c r="G5" s="2"/>
      <c r="H5" s="1"/>
      <c r="I5" s="241" t="s">
        <v>0</v>
      </c>
      <c r="J5" s="3" t="s">
        <v>1</v>
      </c>
      <c r="K5" s="1" t="s">
        <v>2</v>
      </c>
      <c r="L5" s="241" t="s">
        <v>3</v>
      </c>
      <c r="M5" s="241" t="s">
        <v>1236</v>
      </c>
      <c r="N5" s="1"/>
      <c r="O5" s="1"/>
      <c r="P5" s="1"/>
      <c r="Q5" s="1"/>
      <c r="R5" s="1"/>
      <c r="S5" s="1"/>
      <c r="T5" s="1"/>
      <c r="U5" s="1"/>
      <c r="V5" s="1"/>
      <c r="W5" s="1"/>
      <c r="X5" s="1"/>
      <c r="Y5" s="1"/>
      <c r="Z5" s="1"/>
      <c r="AA5" s="1"/>
      <c r="AB5" s="1"/>
      <c r="AC5" s="1"/>
      <c r="AD5" s="1"/>
      <c r="AE5" s="1"/>
    </row>
    <row r="6" spans="1:31" s="23" customFormat="1" ht="15" customHeight="1" x14ac:dyDescent="0.4">
      <c r="A6" s="336"/>
      <c r="B6" s="354"/>
      <c r="C6" s="354"/>
      <c r="D6" s="354"/>
      <c r="E6" s="336"/>
      <c r="F6" s="2"/>
      <c r="G6" s="2"/>
      <c r="H6" s="242"/>
      <c r="I6" s="244"/>
      <c r="J6" s="245"/>
      <c r="K6" s="242"/>
      <c r="L6" s="244"/>
      <c r="M6" s="244"/>
      <c r="N6" s="242"/>
      <c r="O6" s="242"/>
      <c r="P6" s="242"/>
      <c r="Q6" s="242"/>
      <c r="R6" s="242"/>
      <c r="S6" s="242"/>
      <c r="T6" s="242"/>
      <c r="U6" s="242"/>
      <c r="V6" s="242"/>
      <c r="W6" s="242"/>
      <c r="X6" s="242"/>
      <c r="Y6" s="242"/>
      <c r="Z6" s="242"/>
      <c r="AA6" s="242"/>
      <c r="AB6" s="242"/>
      <c r="AC6" s="242"/>
      <c r="AD6" s="242"/>
      <c r="AE6" s="242"/>
    </row>
    <row r="7" spans="1:31" ht="15" customHeight="1" x14ac:dyDescent="0.2">
      <c r="A7" s="335"/>
      <c r="B7" s="344" t="str">
        <f>IF(Roster!$K$25="Italiano",M7,(IF(Roster!$K$25="Español",J7,(IF(Roster!$K$25="Deutsch",K7,(IF(Roster!$K$25="Français",L7,I7)))))))</f>
        <v>If you want help so I can carry on updating the excel rosters, you can donate in the following link. Thank you very much!</v>
      </c>
      <c r="C7" s="341"/>
      <c r="D7" s="342"/>
      <c r="E7" s="335"/>
      <c r="F7" s="1"/>
      <c r="G7" s="1"/>
      <c r="H7" s="1"/>
      <c r="I7" s="241" t="s">
        <v>1252</v>
      </c>
      <c r="J7" s="241" t="s">
        <v>1253</v>
      </c>
      <c r="K7" s="241" t="s">
        <v>1255</v>
      </c>
      <c r="L7" s="241" t="s">
        <v>1254</v>
      </c>
      <c r="M7" s="241" t="s">
        <v>1256</v>
      </c>
      <c r="N7" s="1"/>
      <c r="O7" s="1"/>
      <c r="P7" s="1"/>
      <c r="Q7" s="1"/>
      <c r="R7" s="1"/>
      <c r="S7" s="1"/>
      <c r="T7" s="1"/>
      <c r="U7" s="1"/>
      <c r="V7" s="1"/>
      <c r="W7" s="1"/>
      <c r="X7" s="1"/>
      <c r="Y7" s="1"/>
      <c r="Z7" s="1"/>
      <c r="AA7" s="1"/>
      <c r="AB7" s="1"/>
      <c r="AC7" s="1"/>
      <c r="AD7" s="1"/>
      <c r="AE7" s="1"/>
    </row>
    <row r="8" spans="1:31" s="23" customFormat="1" ht="15" customHeight="1" x14ac:dyDescent="0.2">
      <c r="A8" s="336"/>
      <c r="B8" s="353" t="s">
        <v>1257</v>
      </c>
      <c r="C8" s="353"/>
      <c r="D8" s="353"/>
      <c r="E8" s="336"/>
      <c r="F8" s="242"/>
      <c r="G8" s="242"/>
      <c r="H8" s="242"/>
      <c r="I8" s="244"/>
      <c r="J8" s="244"/>
      <c r="K8" s="244"/>
      <c r="L8" s="244"/>
      <c r="M8" s="244"/>
      <c r="N8" s="242"/>
      <c r="O8" s="242"/>
      <c r="P8" s="242"/>
      <c r="Q8" s="242"/>
      <c r="R8" s="242"/>
      <c r="S8" s="242"/>
      <c r="T8" s="242"/>
      <c r="U8" s="242"/>
      <c r="V8" s="242"/>
      <c r="W8" s="242"/>
      <c r="X8" s="242"/>
      <c r="Y8" s="242"/>
      <c r="Z8" s="242"/>
      <c r="AA8" s="242"/>
      <c r="AB8" s="242"/>
      <c r="AC8" s="242"/>
      <c r="AD8" s="242"/>
      <c r="AE8" s="242"/>
    </row>
    <row r="9" spans="1:31" s="23" customFormat="1" ht="15" customHeight="1" x14ac:dyDescent="0.2">
      <c r="A9" s="336"/>
      <c r="B9" s="351"/>
      <c r="C9" s="352"/>
      <c r="D9" s="352"/>
      <c r="E9" s="336"/>
      <c r="F9" s="242"/>
      <c r="G9" s="242"/>
      <c r="H9" s="242"/>
      <c r="I9" s="244"/>
      <c r="J9" s="244"/>
      <c r="K9" s="244"/>
      <c r="L9" s="244"/>
      <c r="M9" s="244"/>
      <c r="N9" s="242"/>
      <c r="O9" s="242"/>
      <c r="P9" s="242"/>
      <c r="Q9" s="242"/>
      <c r="R9" s="242"/>
      <c r="S9" s="242"/>
      <c r="T9" s="242"/>
      <c r="U9" s="242"/>
      <c r="V9" s="242"/>
      <c r="W9" s="242"/>
      <c r="X9" s="242"/>
      <c r="Y9" s="242"/>
      <c r="Z9" s="242"/>
      <c r="AA9" s="242"/>
      <c r="AB9" s="242"/>
      <c r="AC9" s="242"/>
      <c r="AD9" s="242"/>
      <c r="AE9" s="242"/>
    </row>
    <row r="10" spans="1:31" s="23" customFormat="1" ht="22.5" customHeight="1" x14ac:dyDescent="0.2">
      <c r="A10" s="336"/>
      <c r="B10" s="345" t="str">
        <f>IF(Roster!$K$25="Italiano","Comment utiliser cet Excel",(IF(Roster!K25="Español","Cómo usar este Excel",(IF(Roster!K25="Deutsch","Wie Sie dieses Excel verwenden",(IF(Roster!K25="Français","Comment utiliser cet Excel","How to use this Excel")))))))</f>
        <v>How to use this Excel</v>
      </c>
      <c r="C10" s="346"/>
      <c r="D10" s="347"/>
      <c r="E10" s="336"/>
      <c r="F10" s="242"/>
      <c r="G10" s="242"/>
      <c r="H10" s="242"/>
      <c r="I10" s="4" t="s">
        <v>4</v>
      </c>
      <c r="J10" s="5" t="s">
        <v>5</v>
      </c>
      <c r="K10" s="6" t="s">
        <v>6</v>
      </c>
      <c r="L10" s="6" t="s">
        <v>7</v>
      </c>
      <c r="M10" s="6" t="s">
        <v>8</v>
      </c>
      <c r="N10" s="242"/>
      <c r="O10" s="242"/>
      <c r="P10" s="242"/>
      <c r="Q10" s="242"/>
      <c r="R10" s="242"/>
      <c r="S10" s="242"/>
      <c r="T10" s="242"/>
      <c r="U10" s="242"/>
      <c r="V10" s="242"/>
      <c r="W10" s="242"/>
      <c r="X10" s="242"/>
      <c r="Y10" s="242"/>
      <c r="Z10" s="242"/>
      <c r="AA10" s="242"/>
      <c r="AB10" s="242"/>
      <c r="AC10" s="242"/>
      <c r="AD10" s="242"/>
      <c r="AE10" s="242"/>
    </row>
    <row r="11" spans="1:31" s="23" customFormat="1" ht="22.5" customHeight="1" x14ac:dyDescent="0.2">
      <c r="A11" s="336"/>
      <c r="B11" s="348" t="str">
        <f>IF(Roster!$K$25="Italiano",M11,(IF(Roster!$K$25="Español",J11,(IF(Roster!$K$25="Deutsch",K11,(IF(Roster!$K$25="Français",L11,I11)))))))</f>
        <v>TO PRINT: Select the cells you want to print and in Print options choose the option print selected cells.</v>
      </c>
      <c r="C11" s="349"/>
      <c r="D11" s="350"/>
      <c r="E11" s="336"/>
      <c r="F11" s="242"/>
      <c r="G11" s="242"/>
      <c r="H11" s="242"/>
      <c r="I11" s="241" t="s">
        <v>1237</v>
      </c>
      <c r="J11" s="241" t="s">
        <v>1238</v>
      </c>
      <c r="K11" s="243" t="s">
        <v>1239</v>
      </c>
      <c r="L11" s="243" t="s">
        <v>1240</v>
      </c>
      <c r="M11" s="244" t="s">
        <v>1248</v>
      </c>
      <c r="N11" s="242"/>
      <c r="O11" s="242"/>
      <c r="P11" s="242"/>
      <c r="Q11" s="242"/>
      <c r="R11" s="242"/>
      <c r="S11" s="242"/>
      <c r="T11" s="242"/>
      <c r="U11" s="242"/>
      <c r="V11" s="242"/>
      <c r="W11" s="242"/>
      <c r="X11" s="242"/>
      <c r="Y11" s="242"/>
      <c r="Z11" s="242"/>
      <c r="AA11" s="242"/>
      <c r="AB11" s="242"/>
      <c r="AC11" s="242"/>
      <c r="AD11" s="242"/>
      <c r="AE11" s="242"/>
    </row>
    <row r="12" spans="1:31" s="23" customFormat="1" ht="22.5" customHeight="1" x14ac:dyDescent="0.2">
      <c r="A12" s="336"/>
      <c r="B12" s="348" t="str">
        <f>IF(Roster!$K$25="Italiano",M12,(IF(Roster!$K$25="Español",J12,(IF(Roster!$K$25="Deutsch",K12,(IF(Roster!$K$25="Français",L12,I12)))))))</f>
        <v>The skill of snotlings Low Cost Linemen is activated by default.</v>
      </c>
      <c r="C12" s="349"/>
      <c r="D12" s="350"/>
      <c r="E12" s="336"/>
      <c r="F12" s="242"/>
      <c r="G12" s="242"/>
      <c r="H12" s="242"/>
      <c r="I12" s="1" t="s">
        <v>9</v>
      </c>
      <c r="J12" s="1" t="s">
        <v>10</v>
      </c>
      <c r="K12" s="1" t="s">
        <v>11</v>
      </c>
      <c r="L12" s="1" t="s">
        <v>12</v>
      </c>
      <c r="M12" s="244" t="s">
        <v>1247</v>
      </c>
      <c r="N12" s="242"/>
      <c r="O12" s="242"/>
      <c r="P12" s="242"/>
      <c r="Q12" s="242"/>
      <c r="R12" s="242"/>
      <c r="S12" s="242"/>
      <c r="T12" s="242"/>
      <c r="U12" s="242"/>
      <c r="V12" s="242"/>
      <c r="W12" s="242"/>
      <c r="X12" s="242"/>
      <c r="Y12" s="242"/>
      <c r="Z12" s="242"/>
      <c r="AA12" s="242"/>
      <c r="AB12" s="242"/>
      <c r="AC12" s="242"/>
      <c r="AD12" s="242"/>
      <c r="AE12" s="242"/>
    </row>
    <row r="13" spans="1:31" s="23" customFormat="1" ht="68.25" customHeight="1" x14ac:dyDescent="0.2">
      <c r="A13" s="336"/>
      <c r="B13" s="348" t="str">
        <f>IF(Roster!$K$25="Italiano",M13,(IF(Roster!$K$25="Español",J13,(IF(Roster!$K$25="Deutsch",K13,(IF(Roster!$K$25="Français",L13,I13)))))))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349"/>
      <c r="D13" s="350"/>
      <c r="E13" s="336"/>
      <c r="F13" s="242"/>
      <c r="G13" s="242"/>
      <c r="H13" s="242"/>
      <c r="I13" s="1" t="s">
        <v>13</v>
      </c>
      <c r="J13" s="1" t="s">
        <v>14</v>
      </c>
      <c r="K13" s="1" t="s">
        <v>15</v>
      </c>
      <c r="L13" s="1" t="s">
        <v>16</v>
      </c>
      <c r="M13" s="244" t="s">
        <v>1246</v>
      </c>
      <c r="N13" s="242"/>
      <c r="O13" s="242"/>
      <c r="P13" s="242"/>
      <c r="Q13" s="242"/>
      <c r="R13" s="242"/>
      <c r="S13" s="242"/>
      <c r="T13" s="242"/>
      <c r="U13" s="242"/>
      <c r="V13" s="242"/>
      <c r="W13" s="242"/>
      <c r="X13" s="242"/>
      <c r="Y13" s="242"/>
      <c r="Z13" s="242"/>
      <c r="AA13" s="242"/>
      <c r="AB13" s="242"/>
      <c r="AC13" s="242"/>
      <c r="AD13" s="242"/>
      <c r="AE13" s="242"/>
    </row>
    <row r="14" spans="1:31" s="23" customFormat="1" ht="52.5" customHeight="1" x14ac:dyDescent="0.2">
      <c r="A14" s="336"/>
      <c r="B14" s="348" t="str">
        <f>IF(Roster!$K$25="Italiano",M14,(IF(Roster!$K$25="Español",J14,(IF(Roster!$K$25="Deutsch",K14,(IF(Roster!$K$25="Français",L14,I14)))))))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349"/>
      <c r="D14" s="350"/>
      <c r="E14" s="336"/>
      <c r="F14" s="242"/>
      <c r="G14" s="242"/>
      <c r="H14" s="242"/>
      <c r="I14" s="1" t="s">
        <v>17</v>
      </c>
      <c r="J14" s="1" t="s">
        <v>18</v>
      </c>
      <c r="K14" s="1" t="s">
        <v>19</v>
      </c>
      <c r="L14" s="1" t="s">
        <v>20</v>
      </c>
      <c r="M14" s="244" t="s">
        <v>1249</v>
      </c>
      <c r="N14" s="242"/>
      <c r="O14" s="242"/>
      <c r="P14" s="242"/>
      <c r="Q14" s="242"/>
      <c r="R14" s="242"/>
      <c r="S14" s="242"/>
      <c r="T14" s="242"/>
      <c r="U14" s="242"/>
      <c r="V14" s="242"/>
      <c r="W14" s="242"/>
      <c r="X14" s="242"/>
      <c r="Y14" s="242"/>
      <c r="Z14" s="242"/>
      <c r="AA14" s="242"/>
      <c r="AB14" s="242"/>
      <c r="AC14" s="242"/>
      <c r="AD14" s="242"/>
      <c r="AE14" s="242"/>
    </row>
    <row r="15" spans="1:31" s="23" customFormat="1" ht="33.75" customHeight="1" x14ac:dyDescent="0.2">
      <c r="A15" s="336"/>
      <c r="B15" s="348" t="str">
        <f>IF(Roster!$K$25="Italiano",M15,(IF(Roster!$K$25="Español",J15,(IF(Roster!$K$25="Deutsch",K15,(IF(Roster!$K$25="Français",L15,I15)))))))</f>
        <v>In the match tab you can include the winnings and the variation of Dedicated Fans that will be shown with the calculation made automatically in the roster tab.</v>
      </c>
      <c r="C15" s="349"/>
      <c r="D15" s="350"/>
      <c r="E15" s="336"/>
      <c r="F15" s="242"/>
      <c r="G15" s="242"/>
      <c r="H15" s="242"/>
      <c r="I15" s="7" t="s">
        <v>21</v>
      </c>
      <c r="J15" s="243" t="s">
        <v>22</v>
      </c>
      <c r="K15" s="7" t="s">
        <v>23</v>
      </c>
      <c r="L15" s="244" t="s">
        <v>24</v>
      </c>
      <c r="M15" s="244" t="s">
        <v>1250</v>
      </c>
      <c r="N15" s="242"/>
      <c r="O15" s="242"/>
      <c r="P15" s="242"/>
      <c r="Q15" s="242"/>
      <c r="R15" s="242"/>
      <c r="S15" s="242"/>
      <c r="T15" s="242"/>
      <c r="U15" s="242"/>
      <c r="V15" s="242"/>
      <c r="W15" s="242"/>
      <c r="X15" s="242"/>
      <c r="Y15" s="242"/>
      <c r="Z15" s="242"/>
      <c r="AA15" s="242"/>
      <c r="AB15" s="242"/>
      <c r="AC15" s="242"/>
      <c r="AD15" s="242"/>
      <c r="AE15" s="242"/>
    </row>
    <row r="16" spans="1:31" s="23" customFormat="1" ht="33.75" customHeight="1" x14ac:dyDescent="0.2">
      <c r="A16" s="336"/>
      <c r="B16" s="348" t="str">
        <f>IF(Roster!$K$25="Italiano",M16,(IF(Roster!$K$25="Español",J16,(IF(Roster!$K$25="Deutsch",K16,(IF(Roster!$K$25="Français",L16,I16)))))))</f>
        <v>If a player dies or is withdrawn, he should be included in the dead and withdrawn players tab including the cost so that the roster automatically calculates it.</v>
      </c>
      <c r="C16" s="349"/>
      <c r="D16" s="350"/>
      <c r="E16" s="336"/>
      <c r="F16" s="242"/>
      <c r="G16" s="242"/>
      <c r="H16" s="242"/>
      <c r="I16" s="244" t="s">
        <v>1245</v>
      </c>
      <c r="J16" s="244" t="s">
        <v>1241</v>
      </c>
      <c r="K16" s="244" t="s">
        <v>1243</v>
      </c>
      <c r="L16" s="244" t="s">
        <v>1242</v>
      </c>
      <c r="M16" s="244" t="s">
        <v>1244</v>
      </c>
      <c r="N16" s="242"/>
      <c r="O16" s="242"/>
      <c r="P16" s="242"/>
      <c r="Q16" s="242"/>
      <c r="R16" s="242"/>
      <c r="S16" s="242"/>
      <c r="T16" s="242"/>
      <c r="U16" s="242"/>
      <c r="V16" s="242"/>
      <c r="W16" s="242"/>
      <c r="X16" s="242"/>
      <c r="Y16" s="242"/>
      <c r="Z16" s="242"/>
      <c r="AA16" s="242"/>
      <c r="AB16" s="242"/>
      <c r="AC16" s="242"/>
      <c r="AD16" s="242"/>
      <c r="AE16" s="242"/>
    </row>
    <row r="17" spans="1:31" s="23" customFormat="1" ht="33" customHeight="1" x14ac:dyDescent="0.2">
      <c r="A17" s="336"/>
      <c r="B17" s="348" t="str">
        <f>IF(Roster!$K$25="Italiano",M17,(IF(Roster!$K$25="Español",J17,(IF(Roster!$K$25="Deutsch",K17,(IF(Roster!$K$25="Français",L17,I17)))))))</f>
        <v>The Team Cards sheet is fully automatic, it is only necessary, if desired, to add images for the players or to change the NAF logo to the team logo.</v>
      </c>
      <c r="C17" s="349"/>
      <c r="D17" s="350"/>
      <c r="E17" s="336"/>
      <c r="F17" s="242"/>
      <c r="G17" s="242"/>
      <c r="H17" s="242"/>
      <c r="I17" s="1" t="s">
        <v>25</v>
      </c>
      <c r="J17" s="241" t="s">
        <v>26</v>
      </c>
      <c r="K17" s="1" t="s">
        <v>27</v>
      </c>
      <c r="L17" s="244" t="s">
        <v>28</v>
      </c>
      <c r="M17" s="244" t="s">
        <v>1251</v>
      </c>
      <c r="N17" s="242"/>
      <c r="O17" s="242"/>
      <c r="P17" s="242"/>
      <c r="Q17" s="242"/>
      <c r="R17" s="242"/>
      <c r="S17" s="242"/>
      <c r="T17" s="242"/>
      <c r="U17" s="242"/>
      <c r="V17" s="242"/>
      <c r="W17" s="242"/>
      <c r="X17" s="242"/>
      <c r="Y17" s="242"/>
      <c r="Z17" s="242"/>
      <c r="AA17" s="242"/>
      <c r="AB17" s="242"/>
      <c r="AC17" s="242"/>
      <c r="AD17" s="242"/>
      <c r="AE17" s="242"/>
    </row>
    <row r="18" spans="1:31" s="23" customFormat="1" ht="15" customHeight="1" x14ac:dyDescent="0.2">
      <c r="A18" s="336"/>
      <c r="B18" s="242"/>
      <c r="C18" s="242"/>
      <c r="D18" s="242"/>
      <c r="E18" s="336"/>
      <c r="F18" s="242"/>
      <c r="G18" s="242"/>
      <c r="H18" s="242"/>
      <c r="I18" s="242"/>
      <c r="J18" s="242"/>
      <c r="K18" s="242"/>
      <c r="L18" s="242"/>
      <c r="M18" s="244"/>
      <c r="N18" s="242"/>
      <c r="O18" s="242"/>
      <c r="P18" s="242"/>
      <c r="Q18" s="242"/>
      <c r="R18" s="242"/>
      <c r="S18" s="242"/>
      <c r="T18" s="242"/>
      <c r="U18" s="242"/>
      <c r="V18" s="242"/>
      <c r="W18" s="242"/>
      <c r="X18" s="242"/>
      <c r="Y18" s="242"/>
      <c r="Z18" s="242"/>
      <c r="AA18" s="242"/>
      <c r="AB18" s="242"/>
      <c r="AC18" s="242"/>
      <c r="AD18" s="242"/>
      <c r="AE18" s="242"/>
    </row>
  </sheetData>
  <sheetProtection algorithmName="SHA-512" hashValue="ki48weN6zdI4I5AW6XhqsvjLoUiqoRdnbn7OJbm9TfrnKaTtU2Mv8d3vdCTUEob5DAAc3RnKqJIvOkrgxlIEeA==" saltValue="FH7rsfZnRHpyLvakxnlS0w==" spinCount="100000" sheet="1" objects="1" scenarios="1"/>
  <mergeCells count="19">
    <mergeCell ref="E1:E18"/>
    <mergeCell ref="B17:D17"/>
    <mergeCell ref="B16:D16"/>
    <mergeCell ref="B9:D9"/>
    <mergeCell ref="B8:D8"/>
    <mergeCell ref="B6:D6"/>
    <mergeCell ref="A1:A18"/>
    <mergeCell ref="B1:D1"/>
    <mergeCell ref="B2:D2"/>
    <mergeCell ref="B3:D3"/>
    <mergeCell ref="B4:D4"/>
    <mergeCell ref="B5:D5"/>
    <mergeCell ref="B10:D10"/>
    <mergeCell ref="B11:D11"/>
    <mergeCell ref="B12:D12"/>
    <mergeCell ref="B13:D13"/>
    <mergeCell ref="B14:D14"/>
    <mergeCell ref="B15:D15"/>
    <mergeCell ref="B7:D7"/>
  </mergeCells>
  <hyperlinks>
    <hyperlink ref="B8:D8" r:id="rId1" display="DONATE" xr:uid="{00000000-0004-0000-0000-000000000000}"/>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C371"/>
  <sheetViews>
    <sheetView topLeftCell="A14" zoomScale="70" zoomScaleNormal="70" workbookViewId="0">
      <selection activeCell="D17" sqref="D17:G17"/>
    </sheetView>
  </sheetViews>
  <sheetFormatPr defaultColWidth="0" defaultRowHeight="15" customHeight="1" zeroHeight="1" x14ac:dyDescent="0.2"/>
  <cols>
    <col min="1" max="1" width="2.85546875" style="31" customWidth="1"/>
    <col min="2" max="2" width="28.5703125" style="31" customWidth="1"/>
    <col min="3" max="3" width="11.42578125" style="301"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x14ac:dyDescent="0.2">
      <c r="A1" s="24" t="s">
        <v>29</v>
      </c>
      <c r="B1" s="433" t="str">
        <f>IF($K$25="Italiano","NOME GIOCATORE",(IF($K$25="Español","NOMBRE JUGADOR",(IF($K$25="Deutsch","NAME",(IF($K$25="Français","NOM DU JOUEUR","PLAYER NAME")))))))</f>
        <v>PLAYER NAME</v>
      </c>
      <c r="C1" s="434"/>
      <c r="D1" s="406" t="str">
        <f>IF($K$25="Italiano","TIPO",(IF($K$25="Español","TIPO",(IF($K$25="Deutsch","POSITION",(IF($K$25="Français","POSTE","TYPE")))))))</f>
        <v>TYPE</v>
      </c>
      <c r="E1" s="361"/>
      <c r="F1" s="361"/>
      <c r="G1" s="362"/>
      <c r="H1" s="392" t="str">
        <f>IF($K$25="Italiano","QTA",(IF($K$25="Español","CANT",(IF($K$25="Deutsch","An- zahl",(IF($K$25="Français","QTT","QTY")))))))</f>
        <v>QTY</v>
      </c>
      <c r="I1" s="361"/>
      <c r="J1" s="362"/>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06" t="str">
        <f>IF($K$25="Italiano","ABILITÀ",(IF($K$25="Español","HABILIDADES",(IF($K$25="Deutsch","FERTIGKEITEN",(IF($K$25="Français","COMPÉTENCES","SKILLS")))))))</f>
        <v>SKILLS</v>
      </c>
      <c r="Q1" s="361"/>
      <c r="R1" s="361"/>
      <c r="S1" s="361"/>
      <c r="T1" s="361"/>
      <c r="U1" s="361"/>
      <c r="V1" s="361"/>
      <c r="W1" s="361"/>
      <c r="X1" s="361"/>
      <c r="Y1" s="361"/>
      <c r="Z1" s="362"/>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392" t="str">
        <f>IF($K$25="Italiano","SPP Totali",(IF($K$25="Español","SPP Totales",(IF($K$25="Deutsch","Gesamte SPP",(IF($K$25="Français","Total PSP","Total SPP")))))))</f>
        <v>Total SPP</v>
      </c>
      <c r="AL1" s="362"/>
      <c r="AM1" s="392" t="str">
        <f>IF($K$25="Italiano","SPP Non Spesi",(IF($K$25="Español","SPP Sin gastar",(IF($K$25="Deutsch","Verfügb. SPP",(IF($K$25="Français","PSP restant","Unspent SPP")))))))</f>
        <v>Unspent SPP</v>
      </c>
      <c r="AN1" s="362"/>
      <c r="AO1" s="406" t="str">
        <f>IF($K$25="Italiano","COSTO",(IF($K$25="Español","PRECIO",(IF($K$25="Deutsch","WERT",(IF($K$25="Français","VALEUR","COST")))))))</f>
        <v>COST</v>
      </c>
      <c r="AP1" s="362"/>
      <c r="AQ1" s="432"/>
      <c r="AR1" s="27" t="s">
        <v>30</v>
      </c>
      <c r="AS1" s="28" t="s">
        <v>31</v>
      </c>
      <c r="AT1" s="28"/>
      <c r="AU1" s="28"/>
      <c r="AV1" s="28"/>
      <c r="AW1" s="28"/>
      <c r="AX1" s="28"/>
      <c r="AY1" s="425" t="s">
        <v>32</v>
      </c>
      <c r="AZ1" s="408"/>
      <c r="BA1" s="408"/>
      <c r="BB1" s="408"/>
      <c r="BC1" s="408"/>
      <c r="BD1" s="408"/>
      <c r="BE1" s="408"/>
      <c r="BF1" s="408"/>
      <c r="BG1" s="381"/>
      <c r="BH1" s="28"/>
      <c r="BI1" s="28"/>
      <c r="BJ1" s="28"/>
      <c r="BK1" s="28"/>
      <c r="BL1" s="28"/>
      <c r="BM1" s="28"/>
      <c r="BN1" s="28"/>
      <c r="BO1" s="28"/>
      <c r="BP1" s="28" t="str">
        <f>INDEX(BZ3:BZ32,(SUM(BZ2:CC2)))</f>
        <v>Amazon</v>
      </c>
      <c r="BQ1" s="28"/>
      <c r="BR1" s="28"/>
      <c r="BS1" s="28"/>
      <c r="BT1" s="28"/>
      <c r="BU1" s="28"/>
      <c r="BV1" s="29"/>
      <c r="BW1" s="29"/>
      <c r="BX1" s="28"/>
      <c r="BY1" s="28"/>
      <c r="BZ1" s="28"/>
      <c r="CA1" s="28"/>
      <c r="CB1" s="29"/>
      <c r="CC1" s="28"/>
      <c r="CD1" s="28"/>
      <c r="CE1" s="28"/>
      <c r="CF1" s="246"/>
      <c r="CG1" s="246"/>
      <c r="CH1" s="246"/>
      <c r="CI1" s="246"/>
      <c r="CJ1" s="28"/>
      <c r="CK1" s="28"/>
      <c r="CL1" s="28"/>
      <c r="CM1" s="28"/>
      <c r="CN1" s="28"/>
      <c r="CO1" s="28"/>
      <c r="CP1" s="28"/>
      <c r="CQ1" s="28"/>
      <c r="CR1" s="28"/>
      <c r="CS1" s="28"/>
      <c r="CT1" s="28"/>
      <c r="CU1" s="28"/>
      <c r="CV1" s="28"/>
      <c r="CW1" s="28"/>
      <c r="CX1" s="28"/>
      <c r="CY1" s="28"/>
      <c r="CZ1" s="28"/>
      <c r="DA1" s="28"/>
      <c r="DB1" s="28"/>
      <c r="DC1" s="30"/>
    </row>
    <row r="2" spans="1:107" ht="37.5" customHeight="1" x14ac:dyDescent="0.2">
      <c r="A2" s="24">
        <v>1</v>
      </c>
      <c r="B2" s="367"/>
      <c r="C2" s="368"/>
      <c r="D2" s="384"/>
      <c r="E2" s="358"/>
      <c r="F2" s="358"/>
      <c r="G2" s="358"/>
      <c r="H2" s="32">
        <f>IF(D2="",0,(COUNTIF(D2:G17,D2)))</f>
        <v>0</v>
      </c>
      <c r="I2" s="33" t="s">
        <v>34</v>
      </c>
      <c r="J2" s="34">
        <f>IFERROR((VLOOKUP($BP$1&amp;D2,Teams!D:M,10,0)),0)</f>
        <v>0</v>
      </c>
      <c r="K2" s="35">
        <f t="shared" ref="K2:L2" si="0">IFERROR(L61,0)</f>
        <v>0</v>
      </c>
      <c r="L2" s="35">
        <f t="shared" si="0"/>
        <v>0</v>
      </c>
      <c r="M2" s="35" t="str">
        <f t="shared" ref="M2:O2" si="1">IFERROR(N61&amp;"+",0)</f>
        <v>0+</v>
      </c>
      <c r="N2" s="35" t="str">
        <f t="shared" si="1"/>
        <v>0+</v>
      </c>
      <c r="O2" s="35" t="str">
        <f t="shared" si="1"/>
        <v>0+</v>
      </c>
      <c r="P2" s="387" t="str">
        <f>IFERROR((IF(AW2="YES",(VLOOKUP($BP$1&amp;D2,Teams!D:M,7,0)&amp;BG2),AX2)),"")</f>
        <v>0</v>
      </c>
      <c r="Q2" s="388"/>
      <c r="R2" s="388"/>
      <c r="S2" s="388"/>
      <c r="T2" s="388"/>
      <c r="U2" s="388"/>
      <c r="V2" s="388"/>
      <c r="W2" s="388"/>
      <c r="X2" s="388"/>
      <c r="Y2" s="388"/>
      <c r="Z2" s="389"/>
      <c r="AA2" s="82"/>
      <c r="AB2" s="82"/>
      <c r="AC2" s="83"/>
      <c r="AD2" s="83"/>
      <c r="AE2" s="83"/>
      <c r="AF2" s="84"/>
      <c r="AG2" s="84"/>
      <c r="AH2" s="84"/>
      <c r="AI2" s="84"/>
      <c r="AJ2" s="85"/>
      <c r="AK2" s="355">
        <f t="shared" ref="AK2" si="2">AB2+AC2+(AD2*3)+AE2+(AF2*2)+(AG2*2)+(AH2*2)+(AI2*2)+(AJ2*4)</f>
        <v>0</v>
      </c>
      <c r="AL2" s="356"/>
      <c r="AM2" s="355">
        <f t="shared" ref="AM2:AM16" si="3">AK2-AJ37</f>
        <v>0</v>
      </c>
      <c r="AN2" s="356"/>
      <c r="AO2" s="355">
        <f>IFERROR((VLOOKUP($BP$1&amp;D2,Teams!D:M,8,0)+AH37),0)</f>
        <v>0</v>
      </c>
      <c r="AP2" s="356"/>
      <c r="AQ2" s="432"/>
      <c r="AR2" s="27">
        <f>IFERROR((IF(AA2&lt;&gt;"",0,((VLOOKUP($BP$1&amp;D2,Teams!D:M,9,0)+(AH37/1000))))),0)</f>
        <v>0</v>
      </c>
      <c r="AS2" s="28">
        <f>IFERROR((VLOOKUP($BP$1&amp;D2,Teams!D:N,11,0)),0)</f>
        <v>0</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c>
      <c r="BH2" s="30" t="str">
        <f>IFERROR((IF((VLOOKUP($BP$1&amp;D2,Teams!D:M,7,0))="","",", ")),"")</f>
        <v xml:space="preserve">, </v>
      </c>
      <c r="BI2" s="28"/>
      <c r="BJ2" s="28" t="str">
        <f>$BP$1&amp;1</f>
        <v>Amazon1</v>
      </c>
      <c r="BK2" s="30" t="str">
        <f>IFERROR(IF((VLOOKUP(BJ2,Teams!B:C,2,FALSE))=0,"",(VLOOKUP(BJ2,Teams!B:C,2,FALSE))),"")</f>
        <v/>
      </c>
      <c r="BL2" s="28"/>
      <c r="BM2" s="30"/>
      <c r="BN2" s="38"/>
      <c r="BO2" s="38" t="s">
        <v>35</v>
      </c>
      <c r="BP2" s="28" t="str">
        <f t="array" ref="BP2">INDEX(BO3:BO32,(SUM(BZ2:CC2)))</f>
        <v>Amazon</v>
      </c>
      <c r="BQ2" s="38" t="s">
        <v>36</v>
      </c>
      <c r="BR2" s="38" t="s">
        <v>37</v>
      </c>
      <c r="BS2" s="38" t="s">
        <v>38</v>
      </c>
      <c r="BT2" s="39" t="s">
        <v>39</v>
      </c>
      <c r="BU2" s="39" t="s">
        <v>40</v>
      </c>
      <c r="BV2" s="29" t="str">
        <f>VLOOKUP(BP1,BM:BU,9,FALSE)</f>
        <v>LustrianSuperleague</v>
      </c>
      <c r="BW2" s="29">
        <f>VLOOKUP(BP1,BM1:BV38,10,FALSE)</f>
        <v>0</v>
      </c>
      <c r="BX2" s="29">
        <f>VLOOKUP(BP1,BM1:BW38,11,FALSE)</f>
        <v>0</v>
      </c>
      <c r="BY2" s="28"/>
      <c r="BZ2" s="39">
        <f>IFERROR(MATCH($K$23,BZ3:BZ32,0),0)</f>
        <v>1</v>
      </c>
      <c r="CA2" s="39">
        <f>IFERROR(MATCH($K$23,CA3:CA32,0),0)</f>
        <v>0</v>
      </c>
      <c r="CB2" s="39">
        <f>IFERROR(MATCH($K$23,CB3:CB32,0),0)</f>
        <v>0</v>
      </c>
      <c r="CC2" s="39">
        <f>IFERROR(MATCH($K$23,CC3:CC32,0),0)</f>
        <v>0</v>
      </c>
      <c r="CD2" s="39"/>
      <c r="CE2" s="38"/>
      <c r="CF2" s="247" t="s">
        <v>1259</v>
      </c>
      <c r="CG2" s="247" t="s">
        <v>1260</v>
      </c>
      <c r="CH2" s="247" t="s">
        <v>1261</v>
      </c>
      <c r="CI2" s="247" t="s">
        <v>1262</v>
      </c>
      <c r="CJ2" s="28"/>
      <c r="CK2" s="28"/>
      <c r="CL2" s="28"/>
      <c r="CM2" s="28"/>
      <c r="CN2" s="28"/>
      <c r="CO2" s="28"/>
      <c r="CP2" s="28"/>
      <c r="CQ2" s="28"/>
      <c r="CR2" s="28"/>
      <c r="CS2" s="28"/>
      <c r="CT2" s="28"/>
      <c r="CU2" s="28"/>
      <c r="CV2" s="28"/>
      <c r="CW2" s="28"/>
      <c r="CX2" s="28"/>
      <c r="CY2" s="28"/>
      <c r="CZ2" s="28"/>
      <c r="DA2" s="28"/>
      <c r="DB2" s="28"/>
      <c r="DC2" s="30"/>
    </row>
    <row r="3" spans="1:107" ht="37.5" customHeight="1" x14ac:dyDescent="0.2">
      <c r="A3" s="24">
        <v>2</v>
      </c>
      <c r="B3" s="367"/>
      <c r="C3" s="368"/>
      <c r="D3" s="384"/>
      <c r="E3" s="358"/>
      <c r="F3" s="358"/>
      <c r="G3" s="358"/>
      <c r="H3" s="32">
        <f>IF(D3="",0,(COUNTIF(D2:G17,D3)))</f>
        <v>0</v>
      </c>
      <c r="I3" s="33" t="s">
        <v>34</v>
      </c>
      <c r="J3" s="34">
        <f>IFERROR((VLOOKUP($BP$1&amp;D3,Teams!D:M,10,0)),0)</f>
        <v>0</v>
      </c>
      <c r="K3" s="35">
        <f t="shared" ref="K3:L3" si="10">IFERROR(L62,0)</f>
        <v>0</v>
      </c>
      <c r="L3" s="35">
        <f t="shared" si="10"/>
        <v>0</v>
      </c>
      <c r="M3" s="35" t="str">
        <f t="shared" ref="M3:O3" si="11">IFERROR(N62&amp;"+",0)</f>
        <v>0+</v>
      </c>
      <c r="N3" s="35" t="str">
        <f t="shared" si="11"/>
        <v>0+</v>
      </c>
      <c r="O3" s="35" t="str">
        <f t="shared" si="11"/>
        <v>0+</v>
      </c>
      <c r="P3" s="387" t="str">
        <f>IFERROR((IF(AW3="YES",(VLOOKUP($BP$1&amp;D3,Teams!D:M,7,0)&amp;BG3),AX3)),"")</f>
        <v>0</v>
      </c>
      <c r="Q3" s="388"/>
      <c r="R3" s="388"/>
      <c r="S3" s="388"/>
      <c r="T3" s="388"/>
      <c r="U3" s="388"/>
      <c r="V3" s="388"/>
      <c r="W3" s="388"/>
      <c r="X3" s="388"/>
      <c r="Y3" s="388"/>
      <c r="Z3" s="389"/>
      <c r="AA3" s="82"/>
      <c r="AB3" s="82"/>
      <c r="AC3" s="83"/>
      <c r="AD3" s="83"/>
      <c r="AE3" s="83"/>
      <c r="AF3" s="84"/>
      <c r="AG3" s="84"/>
      <c r="AH3" s="84"/>
      <c r="AI3" s="84"/>
      <c r="AJ3" s="84"/>
      <c r="AK3" s="355">
        <f t="shared" ref="AK3:AK16" si="12">AB3+AC3+(AD3*3)+AE3+(AF3*2)+(AG3*2)+(AH3*2)+(AI3*2)+(AJ3*4)</f>
        <v>0</v>
      </c>
      <c r="AL3" s="356"/>
      <c r="AM3" s="355">
        <f t="shared" si="3"/>
        <v>0</v>
      </c>
      <c r="AN3" s="356"/>
      <c r="AO3" s="355">
        <f>IFERROR((VLOOKUP($BP$1&amp;D3,Teams!D:M,8,0)+AH38),0)</f>
        <v>0</v>
      </c>
      <c r="AP3" s="356"/>
      <c r="AQ3" s="432"/>
      <c r="AR3" s="27">
        <f>IFERROR((IF(AA3&lt;&gt;"",0,((VLOOKUP($BP$1&amp;D3,Teams!D:M,9,0)+(AH38/1000))))),0)</f>
        <v>0</v>
      </c>
      <c r="AS3" s="28">
        <f>IFERROR((VLOOKUP($BP$1&amp;D3,Teams!D:N,11,0)),0)</f>
        <v>0</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c>
      <c r="BH3" s="30" t="str">
        <f>IFERROR((IF((VLOOKUP($BP$1&amp;D3,Teams!D:M,7,0))="","",", ")),"")</f>
        <v xml:space="preserve">, </v>
      </c>
      <c r="BI3" s="30"/>
      <c r="BJ3" s="28" t="str">
        <f>$BP$1&amp;2</f>
        <v>Amazon2</v>
      </c>
      <c r="BK3" s="30" t="str">
        <f>IFERROR(IF((VLOOKUP(BJ3,Teams!B:C,2,FALSE))=0,"",(VLOOKUP(BJ3,Teams!B:C,2,FALSE))),"")</f>
        <v>Linewoman</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x14ac:dyDescent="0.2">
      <c r="A4" s="24">
        <v>3</v>
      </c>
      <c r="B4" s="367"/>
      <c r="C4" s="368"/>
      <c r="D4" s="384"/>
      <c r="E4" s="358"/>
      <c r="F4" s="358"/>
      <c r="G4" s="358"/>
      <c r="H4" s="32">
        <f>IF(D4="",0,(COUNTIF(D2:G17,D4)))</f>
        <v>0</v>
      </c>
      <c r="I4" s="33" t="s">
        <v>34</v>
      </c>
      <c r="J4" s="34">
        <f>IFERROR((VLOOKUP($BP$1&amp;D4,Teams!D:M,10,0)),0)</f>
        <v>0</v>
      </c>
      <c r="K4" s="35">
        <f t="shared" ref="K4:L4" si="21">IFERROR(L63,0)</f>
        <v>0</v>
      </c>
      <c r="L4" s="35">
        <f t="shared" si="21"/>
        <v>0</v>
      </c>
      <c r="M4" s="35" t="str">
        <f t="shared" ref="M4:O4" si="22">IFERROR(N63&amp;"+",0)</f>
        <v>0+</v>
      </c>
      <c r="N4" s="35" t="str">
        <f t="shared" si="22"/>
        <v>0+</v>
      </c>
      <c r="O4" s="35" t="str">
        <f t="shared" si="22"/>
        <v>0+</v>
      </c>
      <c r="P4" s="387" t="str">
        <f>IFERROR((IF(AW4="YES",(VLOOKUP($BP$1&amp;D4,Teams!D:M,7,0)&amp;BG4),AX4)),"")</f>
        <v>0</v>
      </c>
      <c r="Q4" s="388"/>
      <c r="R4" s="388"/>
      <c r="S4" s="388"/>
      <c r="T4" s="388"/>
      <c r="U4" s="388"/>
      <c r="V4" s="388"/>
      <c r="W4" s="388"/>
      <c r="X4" s="388"/>
      <c r="Y4" s="388"/>
      <c r="Z4" s="389"/>
      <c r="AA4" s="82"/>
      <c r="AB4" s="82"/>
      <c r="AC4" s="83"/>
      <c r="AD4" s="83"/>
      <c r="AE4" s="83"/>
      <c r="AF4" s="84"/>
      <c r="AG4" s="84"/>
      <c r="AH4" s="84"/>
      <c r="AI4" s="84"/>
      <c r="AJ4" s="85"/>
      <c r="AK4" s="355">
        <f t="shared" si="12"/>
        <v>0</v>
      </c>
      <c r="AL4" s="356"/>
      <c r="AM4" s="355">
        <f t="shared" si="3"/>
        <v>0</v>
      </c>
      <c r="AN4" s="356"/>
      <c r="AO4" s="355">
        <f>IFERROR((VLOOKUP($BP$1&amp;D4,Teams!D:M,8,0)+AH39),0)</f>
        <v>0</v>
      </c>
      <c r="AP4" s="356"/>
      <c r="AQ4" s="432"/>
      <c r="AR4" s="27">
        <f>IFERROR((IF(AA4&lt;&gt;"",0,((VLOOKUP($BP$1&amp;D4,Teams!D:M,9,0)+(AH39/1000))))),0)</f>
        <v>0</v>
      </c>
      <c r="AS4" s="28">
        <f>IFERROR((VLOOKUP($BP$1&amp;D4,Teams!D:N,11,0)),0)</f>
        <v>0</v>
      </c>
      <c r="AT4" s="28" t="str">
        <f t="shared" si="4"/>
        <v/>
      </c>
      <c r="AU4" s="28" t="str">
        <f t="shared" si="5"/>
        <v/>
      </c>
      <c r="AV4" s="28" t="str">
        <f t="shared" si="6"/>
        <v/>
      </c>
      <c r="AW4" s="28" t="str">
        <f t="shared" si="7"/>
        <v>YES</v>
      </c>
      <c r="AX4" s="28" t="str">
        <f t="shared" si="8"/>
        <v/>
      </c>
      <c r="AY4" s="36" t="str">
        <f t="shared" si="13"/>
        <v/>
      </c>
      <c r="AZ4" s="36" t="str">
        <f t="shared" si="14"/>
        <v/>
      </c>
      <c r="BA4" s="36" t="str">
        <f t="shared" si="15"/>
        <v/>
      </c>
      <c r="BB4" s="36" t="str">
        <f t="shared" si="16"/>
        <v/>
      </c>
      <c r="BC4" s="36" t="str">
        <f t="shared" si="17"/>
        <v/>
      </c>
      <c r="BD4" s="36" t="str">
        <f t="shared" si="18"/>
        <v/>
      </c>
      <c r="BE4" s="36"/>
      <c r="BF4" s="36" t="str">
        <f t="shared" si="19"/>
        <v/>
      </c>
      <c r="BG4" s="37" t="str">
        <f t="shared" si="9"/>
        <v/>
      </c>
      <c r="BH4" s="30" t="str">
        <f>IFERROR((IF((VLOOKUP($BP$1&amp;D4,Teams!D:M,7,0))="","",", ")),"")</f>
        <v xml:space="preserve">, </v>
      </c>
      <c r="BI4" s="30"/>
      <c r="BJ4" s="28" t="str">
        <f>$BP$1&amp;3</f>
        <v>Amazon3</v>
      </c>
      <c r="BK4" s="30" t="str">
        <f>IFERROR(IF((VLOOKUP(BJ4,Teams!B:C,2,FALSE))=0,"",(VLOOKUP(BJ4,Teams!B:C,2,FALSE))),"")</f>
        <v>Thrower</v>
      </c>
      <c r="BL4" s="28"/>
      <c r="BM4" s="28" t="s">
        <v>46</v>
      </c>
      <c r="BN4" s="246"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9"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x14ac:dyDescent="0.2">
      <c r="A5" s="24">
        <v>4</v>
      </c>
      <c r="B5" s="367"/>
      <c r="C5" s="368"/>
      <c r="D5" s="384"/>
      <c r="E5" s="358"/>
      <c r="F5" s="358"/>
      <c r="G5" s="358"/>
      <c r="H5" s="32">
        <f>IF(D5="",0,(COUNTIF(D2:G17,D5)))</f>
        <v>0</v>
      </c>
      <c r="I5" s="33" t="s">
        <v>34</v>
      </c>
      <c r="J5" s="34">
        <f>IFERROR((VLOOKUP($BP$1&amp;D5,Teams!D:M,10,0)),0)</f>
        <v>0</v>
      </c>
      <c r="K5" s="35">
        <f t="shared" ref="K5:L5" si="23">IFERROR(L64,0)</f>
        <v>0</v>
      </c>
      <c r="L5" s="35">
        <f t="shared" si="23"/>
        <v>0</v>
      </c>
      <c r="M5" s="35" t="str">
        <f t="shared" ref="M5:O5" si="24">IFERROR(N64&amp;"+",0)</f>
        <v>0+</v>
      </c>
      <c r="N5" s="35" t="str">
        <f t="shared" si="24"/>
        <v>0+</v>
      </c>
      <c r="O5" s="35" t="str">
        <f t="shared" si="24"/>
        <v>0+</v>
      </c>
      <c r="P5" s="387" t="str">
        <f>IFERROR((IF(AW5="YES",(VLOOKUP($BP$1&amp;D5,Teams!D:M,7,0)&amp;BG5),AX5)),"")</f>
        <v>0</v>
      </c>
      <c r="Q5" s="388"/>
      <c r="R5" s="388"/>
      <c r="S5" s="388"/>
      <c r="T5" s="388"/>
      <c r="U5" s="388"/>
      <c r="V5" s="388"/>
      <c r="W5" s="388"/>
      <c r="X5" s="388"/>
      <c r="Y5" s="388"/>
      <c r="Z5" s="389"/>
      <c r="AA5" s="82"/>
      <c r="AB5" s="82"/>
      <c r="AC5" s="83"/>
      <c r="AD5" s="83"/>
      <c r="AE5" s="83"/>
      <c r="AF5" s="84"/>
      <c r="AG5" s="84"/>
      <c r="AH5" s="84"/>
      <c r="AI5" s="84"/>
      <c r="AJ5" s="84"/>
      <c r="AK5" s="355">
        <f t="shared" si="12"/>
        <v>0</v>
      </c>
      <c r="AL5" s="356"/>
      <c r="AM5" s="355">
        <f t="shared" si="3"/>
        <v>0</v>
      </c>
      <c r="AN5" s="356"/>
      <c r="AO5" s="355">
        <f>IFERROR((VLOOKUP($BP$1&amp;D5,Teams!D:M,8,0)+AH40),0)</f>
        <v>0</v>
      </c>
      <c r="AP5" s="356"/>
      <c r="AQ5" s="432"/>
      <c r="AR5" s="27">
        <f>IFERROR((IF(AA5&lt;&gt;"",0,((VLOOKUP($BP$1&amp;D5,Teams!D:M,9,0)+(AH40/1000))))),0)</f>
        <v>0</v>
      </c>
      <c r="AS5" s="28">
        <f>IFERROR((VLOOKUP($BP$1&amp;D5,Teams!D:N,11,0)),0)</f>
        <v>0</v>
      </c>
      <c r="AT5" s="28" t="str">
        <f t="shared" si="4"/>
        <v/>
      </c>
      <c r="AU5" s="28" t="str">
        <f t="shared" si="5"/>
        <v/>
      </c>
      <c r="AV5" s="28" t="str">
        <f t="shared" si="6"/>
        <v/>
      </c>
      <c r="AW5" s="28" t="str">
        <f t="shared" si="7"/>
        <v>YES</v>
      </c>
      <c r="AX5" s="28" t="str">
        <f t="shared" si="8"/>
        <v/>
      </c>
      <c r="AY5" s="36" t="str">
        <f t="shared" si="13"/>
        <v/>
      </c>
      <c r="AZ5" s="36" t="str">
        <f t="shared" si="14"/>
        <v/>
      </c>
      <c r="BA5" s="36" t="str">
        <f t="shared" si="15"/>
        <v/>
      </c>
      <c r="BB5" s="36" t="str">
        <f t="shared" si="16"/>
        <v/>
      </c>
      <c r="BC5" s="36" t="str">
        <f t="shared" si="17"/>
        <v/>
      </c>
      <c r="BD5" s="36" t="str">
        <f t="shared" si="18"/>
        <v/>
      </c>
      <c r="BE5" s="36"/>
      <c r="BF5" s="36" t="str">
        <f t="shared" si="19"/>
        <v/>
      </c>
      <c r="BG5" s="37" t="str">
        <f t="shared" si="9"/>
        <v/>
      </c>
      <c r="BH5" s="30" t="str">
        <f>IFERROR((IF((VLOOKUP($BP$1&amp;D5,Teams!D:M,7,0))="","",", ")),"")</f>
        <v xml:space="preserve">, </v>
      </c>
      <c r="BI5" s="30"/>
      <c r="BJ5" s="28" t="str">
        <f>$BP$1&amp;4</f>
        <v>Amazon4</v>
      </c>
      <c r="BK5" s="30" t="str">
        <f>IFERROR(IF((VLOOKUP(BJ5,Teams!B:C,2,FALSE))=0,"",(VLOOKUP(BJ5,Teams!B:C,2,FALSE))),"")</f>
        <v>Catcher</v>
      </c>
      <c r="BL5" s="28"/>
      <c r="BM5" s="28" t="s">
        <v>53</v>
      </c>
      <c r="BN5" s="246"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x14ac:dyDescent="0.2">
      <c r="A6" s="24">
        <v>5</v>
      </c>
      <c r="B6" s="367"/>
      <c r="C6" s="368"/>
      <c r="D6" s="384"/>
      <c r="E6" s="358"/>
      <c r="F6" s="358"/>
      <c r="G6" s="358"/>
      <c r="H6" s="32">
        <f>IF(D6="",0,(COUNTIF(D2:G17,D6)))</f>
        <v>0</v>
      </c>
      <c r="I6" s="33" t="s">
        <v>34</v>
      </c>
      <c r="J6" s="34">
        <f>IFERROR((VLOOKUP($BP$1&amp;D6,Teams!D:M,10,0)),0)</f>
        <v>0</v>
      </c>
      <c r="K6" s="35">
        <f t="shared" ref="K6:L6" si="25">IFERROR(L65,0)</f>
        <v>0</v>
      </c>
      <c r="L6" s="35">
        <f t="shared" si="25"/>
        <v>0</v>
      </c>
      <c r="M6" s="35" t="str">
        <f t="shared" ref="M6:O6" si="26">IFERROR(N65&amp;"+",0)</f>
        <v>0+</v>
      </c>
      <c r="N6" s="35" t="str">
        <f t="shared" si="26"/>
        <v>0+</v>
      </c>
      <c r="O6" s="35" t="str">
        <f t="shared" si="26"/>
        <v>0+</v>
      </c>
      <c r="P6" s="387" t="str">
        <f>IFERROR((IF(AW6="YES",(VLOOKUP($BP$1&amp;D6,Teams!D:M,7,0)&amp;BG6),AX6)),"")</f>
        <v>0</v>
      </c>
      <c r="Q6" s="388"/>
      <c r="R6" s="388"/>
      <c r="S6" s="388"/>
      <c r="T6" s="388"/>
      <c r="U6" s="388"/>
      <c r="V6" s="388"/>
      <c r="W6" s="388"/>
      <c r="X6" s="388"/>
      <c r="Y6" s="388"/>
      <c r="Z6" s="389"/>
      <c r="AA6" s="82"/>
      <c r="AB6" s="82"/>
      <c r="AC6" s="83"/>
      <c r="AD6" s="83"/>
      <c r="AE6" s="83"/>
      <c r="AF6" s="84"/>
      <c r="AG6" s="84"/>
      <c r="AH6" s="84"/>
      <c r="AI6" s="84"/>
      <c r="AJ6" s="84"/>
      <c r="AK6" s="355">
        <f t="shared" si="12"/>
        <v>0</v>
      </c>
      <c r="AL6" s="356"/>
      <c r="AM6" s="355">
        <f t="shared" si="3"/>
        <v>0</v>
      </c>
      <c r="AN6" s="356"/>
      <c r="AO6" s="355">
        <f>IFERROR((VLOOKUP($BP$1&amp;D6,Teams!D:M,8,0)+AH41),0)</f>
        <v>0</v>
      </c>
      <c r="AP6" s="356"/>
      <c r="AQ6" s="432"/>
      <c r="AR6" s="27">
        <f>IFERROR((IF(AA6&lt;&gt;"",0,((VLOOKUP($BP$1&amp;D6,Teams!D:M,9,0)+(AH41/1000))))),0)</f>
        <v>0</v>
      </c>
      <c r="AS6" s="28">
        <f>IFERROR((VLOOKUP($BP$1&amp;D6,Teams!D:N,11,0)),0)</f>
        <v>0</v>
      </c>
      <c r="AT6" s="28" t="str">
        <f t="shared" si="4"/>
        <v/>
      </c>
      <c r="AU6" s="28" t="str">
        <f t="shared" si="5"/>
        <v/>
      </c>
      <c r="AV6" s="28" t="str">
        <f t="shared" si="6"/>
        <v/>
      </c>
      <c r="AW6" s="28" t="str">
        <f t="shared" si="7"/>
        <v>YES</v>
      </c>
      <c r="AX6" s="28" t="str">
        <f t="shared" si="8"/>
        <v/>
      </c>
      <c r="AY6" s="36" t="str">
        <f t="shared" si="13"/>
        <v/>
      </c>
      <c r="AZ6" s="36" t="str">
        <f t="shared" si="14"/>
        <v/>
      </c>
      <c r="BA6" s="36" t="str">
        <f t="shared" si="15"/>
        <v/>
      </c>
      <c r="BB6" s="36" t="str">
        <f t="shared" si="16"/>
        <v/>
      </c>
      <c r="BC6" s="36" t="str">
        <f t="shared" si="17"/>
        <v/>
      </c>
      <c r="BD6" s="36" t="str">
        <f t="shared" si="18"/>
        <v/>
      </c>
      <c r="BE6" s="36"/>
      <c r="BF6" s="36" t="str">
        <f t="shared" si="19"/>
        <v/>
      </c>
      <c r="BG6" s="37" t="str">
        <f t="shared" si="9"/>
        <v/>
      </c>
      <c r="BH6" s="30" t="str">
        <f>IFERROR((IF((VLOOKUP($BP$1&amp;D6,Teams!D:M,7,0))="","",", ")),"")</f>
        <v xml:space="preserve">, </v>
      </c>
      <c r="BI6" s="30"/>
      <c r="BJ6" s="28" t="str">
        <f>$BP$1&amp;5</f>
        <v>Amazon5</v>
      </c>
      <c r="BK6" s="30" t="str">
        <f>IFERROR(IF((VLOOKUP(BJ6,Teams!B:C,2,FALSE))=0,"",(VLOOKUP(BJ6,Teams!B:C,2,FALSE))),"")</f>
        <v>Blitzer</v>
      </c>
      <c r="BL6" s="28"/>
      <c r="BM6" s="28" t="s">
        <v>59</v>
      </c>
      <c r="BN6" s="246"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9"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x14ac:dyDescent="0.2">
      <c r="A7" s="24">
        <v>6</v>
      </c>
      <c r="B7" s="367"/>
      <c r="C7" s="368"/>
      <c r="D7" s="384"/>
      <c r="E7" s="358"/>
      <c r="F7" s="358"/>
      <c r="G7" s="358"/>
      <c r="H7" s="32">
        <f>IF(D7="",0,(COUNTIF(D2:G17,D7)))</f>
        <v>0</v>
      </c>
      <c r="I7" s="33" t="s">
        <v>34</v>
      </c>
      <c r="J7" s="34">
        <f>IFERROR((VLOOKUP($BP$1&amp;D7,Teams!D:M,10,0)),0)</f>
        <v>0</v>
      </c>
      <c r="K7" s="35">
        <f t="shared" ref="K7:L7" si="27">IFERROR(L66,0)</f>
        <v>0</v>
      </c>
      <c r="L7" s="35">
        <f t="shared" si="27"/>
        <v>0</v>
      </c>
      <c r="M7" s="35" t="str">
        <f t="shared" ref="M7:O7" si="28">IFERROR(N66&amp;"+",0)</f>
        <v>0+</v>
      </c>
      <c r="N7" s="35" t="str">
        <f t="shared" si="28"/>
        <v>0+</v>
      </c>
      <c r="O7" s="35" t="str">
        <f t="shared" si="28"/>
        <v>0+</v>
      </c>
      <c r="P7" s="387" t="str">
        <f>IFERROR((IF(AW7="YES",(VLOOKUP($BP$1&amp;D7,Teams!D:M,7,0)&amp;BG7),AX7)),"")</f>
        <v>0</v>
      </c>
      <c r="Q7" s="388"/>
      <c r="R7" s="388"/>
      <c r="S7" s="388"/>
      <c r="T7" s="388"/>
      <c r="U7" s="388"/>
      <c r="V7" s="388"/>
      <c r="W7" s="388"/>
      <c r="X7" s="388"/>
      <c r="Y7" s="388"/>
      <c r="Z7" s="389"/>
      <c r="AA7" s="82"/>
      <c r="AB7" s="82"/>
      <c r="AC7" s="83"/>
      <c r="AD7" s="83"/>
      <c r="AE7" s="83"/>
      <c r="AF7" s="84"/>
      <c r="AG7" s="84"/>
      <c r="AH7" s="84"/>
      <c r="AI7" s="84"/>
      <c r="AJ7" s="84"/>
      <c r="AK7" s="355">
        <f t="shared" si="12"/>
        <v>0</v>
      </c>
      <c r="AL7" s="356"/>
      <c r="AM7" s="355">
        <f t="shared" si="3"/>
        <v>0</v>
      </c>
      <c r="AN7" s="356"/>
      <c r="AO7" s="355">
        <f>IFERROR((VLOOKUP($BP$1&amp;D7,Teams!D:M,8,0)+AH42),0)</f>
        <v>0</v>
      </c>
      <c r="AP7" s="356"/>
      <c r="AQ7" s="432"/>
      <c r="AR7" s="27">
        <f>IFERROR((IF(AA7&lt;&gt;"",0,((VLOOKUP($BP$1&amp;D7,Teams!D:M,9,0)+(AH42/1000))))),0)</f>
        <v>0</v>
      </c>
      <c r="AS7" s="28">
        <f>IFERROR((VLOOKUP($BP$1&amp;D7,Teams!D:N,11,0)),0)</f>
        <v>0</v>
      </c>
      <c r="AT7" s="28" t="str">
        <f t="shared" si="4"/>
        <v/>
      </c>
      <c r="AU7" s="28" t="str">
        <f t="shared" si="5"/>
        <v/>
      </c>
      <c r="AV7" s="28" t="str">
        <f t="shared" si="6"/>
        <v/>
      </c>
      <c r="AW7" s="28" t="str">
        <f t="shared" si="7"/>
        <v>YES</v>
      </c>
      <c r="AX7" s="28" t="str">
        <f t="shared" si="8"/>
        <v/>
      </c>
      <c r="AY7" s="36" t="str">
        <f t="shared" si="13"/>
        <v/>
      </c>
      <c r="AZ7" s="36" t="str">
        <f t="shared" si="14"/>
        <v/>
      </c>
      <c r="BA7" s="36" t="str">
        <f t="shared" si="15"/>
        <v/>
      </c>
      <c r="BB7" s="36" t="str">
        <f t="shared" si="16"/>
        <v/>
      </c>
      <c r="BC7" s="36" t="str">
        <f t="shared" si="17"/>
        <v/>
      </c>
      <c r="BD7" s="36" t="str">
        <f t="shared" si="18"/>
        <v/>
      </c>
      <c r="BE7" s="36"/>
      <c r="BF7" s="36" t="str">
        <f t="shared" si="19"/>
        <v/>
      </c>
      <c r="BG7" s="37" t="str">
        <f t="shared" si="9"/>
        <v/>
      </c>
      <c r="BH7" s="30" t="str">
        <f>IFERROR((IF((VLOOKUP($BP$1&amp;D7,Teams!D:M,7,0))="","",", ")),"")</f>
        <v xml:space="preserve">, </v>
      </c>
      <c r="BI7" s="30"/>
      <c r="BJ7" s="28" t="str">
        <f>$BP$1&amp;6</f>
        <v>Amazon6</v>
      </c>
      <c r="BK7" s="30" t="str">
        <f>IFERROR(IF((VLOOKUP(BJ7,Teams!B:C,2,FALSE))=0,"",(VLOOKUP(BJ7,Teams!B:C,2,FALSE))),"")</f>
        <v>Journey Linewoman</v>
      </c>
      <c r="BL7" s="28"/>
      <c r="BM7" s="28" t="s">
        <v>65</v>
      </c>
      <c r="BN7" s="246"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40"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x14ac:dyDescent="0.2">
      <c r="A8" s="24">
        <v>7</v>
      </c>
      <c r="B8" s="367"/>
      <c r="C8" s="368"/>
      <c r="D8" s="384"/>
      <c r="E8" s="358"/>
      <c r="F8" s="358"/>
      <c r="G8" s="358"/>
      <c r="H8" s="32">
        <f>IF(D8="",0,(COUNTIF(D2:G17,D8)))</f>
        <v>0</v>
      </c>
      <c r="I8" s="33" t="s">
        <v>34</v>
      </c>
      <c r="J8" s="34">
        <f>IFERROR((VLOOKUP($BP$1&amp;D8,Teams!D:M,10,0)),0)</f>
        <v>0</v>
      </c>
      <c r="K8" s="35">
        <f t="shared" ref="K8:L8" si="29">IFERROR(L67,0)</f>
        <v>0</v>
      </c>
      <c r="L8" s="35">
        <f t="shared" si="29"/>
        <v>0</v>
      </c>
      <c r="M8" s="35" t="str">
        <f t="shared" ref="M8:O8" si="30">IFERROR(N67&amp;"+",0)</f>
        <v>0+</v>
      </c>
      <c r="N8" s="35" t="str">
        <f t="shared" si="30"/>
        <v>0+</v>
      </c>
      <c r="O8" s="35" t="str">
        <f t="shared" si="30"/>
        <v>0+</v>
      </c>
      <c r="P8" s="387" t="str">
        <f>IFERROR((IF(AW8="YES",(VLOOKUP($BP$1&amp;D8,Teams!D:M,7,0)&amp;BG8),AX8)),"")</f>
        <v>0</v>
      </c>
      <c r="Q8" s="388"/>
      <c r="R8" s="388"/>
      <c r="S8" s="388"/>
      <c r="T8" s="388"/>
      <c r="U8" s="388"/>
      <c r="V8" s="388"/>
      <c r="W8" s="388"/>
      <c r="X8" s="388"/>
      <c r="Y8" s="388"/>
      <c r="Z8" s="389"/>
      <c r="AA8" s="82"/>
      <c r="AB8" s="82"/>
      <c r="AC8" s="83"/>
      <c r="AD8" s="83"/>
      <c r="AE8" s="83"/>
      <c r="AF8" s="84"/>
      <c r="AG8" s="84"/>
      <c r="AH8" s="84"/>
      <c r="AI8" s="84"/>
      <c r="AJ8" s="84"/>
      <c r="AK8" s="355">
        <f t="shared" si="12"/>
        <v>0</v>
      </c>
      <c r="AL8" s="356"/>
      <c r="AM8" s="355">
        <f t="shared" si="3"/>
        <v>0</v>
      </c>
      <c r="AN8" s="356"/>
      <c r="AO8" s="355">
        <f>IFERROR((VLOOKUP($BP$1&amp;D8,Teams!D:M,8,0)+AH43),0)</f>
        <v>0</v>
      </c>
      <c r="AP8" s="356"/>
      <c r="AQ8" s="432"/>
      <c r="AR8" s="27">
        <f>IFERROR((IF(AA8&lt;&gt;"",0,((VLOOKUP($BP$1&amp;D8,Teams!D:M,9,0)+(AH43/1000))))),0)</f>
        <v>0</v>
      </c>
      <c r="AS8" s="28">
        <f>IFERROR((VLOOKUP($BP$1&amp;D8,Teams!D:N,11,0)),0)</f>
        <v>0</v>
      </c>
      <c r="AT8" s="28" t="str">
        <f t="shared" si="4"/>
        <v/>
      </c>
      <c r="AU8" s="28" t="str">
        <f t="shared" si="5"/>
        <v/>
      </c>
      <c r="AV8" s="28" t="str">
        <f t="shared" si="6"/>
        <v/>
      </c>
      <c r="AW8" s="28" t="str">
        <f t="shared" si="7"/>
        <v>YES</v>
      </c>
      <c r="AX8" s="28" t="str">
        <f t="shared" si="8"/>
        <v/>
      </c>
      <c r="AY8" s="36" t="str">
        <f t="shared" si="13"/>
        <v/>
      </c>
      <c r="AZ8" s="36" t="str">
        <f t="shared" si="14"/>
        <v/>
      </c>
      <c r="BA8" s="36" t="str">
        <f t="shared" si="15"/>
        <v/>
      </c>
      <c r="BB8" s="36" t="str">
        <f t="shared" si="16"/>
        <v/>
      </c>
      <c r="BC8" s="36" t="str">
        <f t="shared" si="17"/>
        <v/>
      </c>
      <c r="BD8" s="36" t="str">
        <f t="shared" si="18"/>
        <v/>
      </c>
      <c r="BE8" s="36"/>
      <c r="BF8" s="36" t="str">
        <f t="shared" si="19"/>
        <v/>
      </c>
      <c r="BG8" s="37" t="str">
        <f t="shared" si="9"/>
        <v/>
      </c>
      <c r="BH8" s="30" t="str">
        <f>IFERROR((IF((VLOOKUP($BP$1&amp;D8,Teams!D:M,7,0))="","",", ")),"")</f>
        <v xml:space="preserve">, </v>
      </c>
      <c r="BI8" s="30"/>
      <c r="BJ8" s="28" t="str">
        <f>$BP$1&amp;7</f>
        <v>Amazon7</v>
      </c>
      <c r="BK8" s="30" t="str">
        <f>IFERROR(IF((VLOOKUP(BJ8,Teams!B:C,2,FALSE))=0,"",(VLOOKUP(BJ8,Teams!B:C,2,FALSE))),"")</f>
        <v/>
      </c>
      <c r="BL8" s="28"/>
      <c r="BM8" s="28" t="s">
        <v>70</v>
      </c>
      <c r="BN8" s="246"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x14ac:dyDescent="0.2">
      <c r="A9" s="24">
        <v>8</v>
      </c>
      <c r="B9" s="367"/>
      <c r="C9" s="368"/>
      <c r="D9" s="386"/>
      <c r="E9" s="358"/>
      <c r="F9" s="358"/>
      <c r="G9" s="358"/>
      <c r="H9" s="32">
        <f>IF(D9="",0,(COUNTIF(D2:G17,D9)))</f>
        <v>0</v>
      </c>
      <c r="I9" s="33" t="s">
        <v>34</v>
      </c>
      <c r="J9" s="34">
        <f>IFERROR((VLOOKUP($BP$1&amp;D9,Teams!D:M,10,0)),0)</f>
        <v>0</v>
      </c>
      <c r="K9" s="35">
        <f t="shared" ref="K9:L9" si="31">IFERROR(L68,0)</f>
        <v>0</v>
      </c>
      <c r="L9" s="35">
        <f t="shared" si="31"/>
        <v>0</v>
      </c>
      <c r="M9" s="35" t="str">
        <f t="shared" ref="M9:O9" si="32">IFERROR(N68&amp;"+",0)</f>
        <v>0+</v>
      </c>
      <c r="N9" s="35" t="str">
        <f t="shared" si="32"/>
        <v>0+</v>
      </c>
      <c r="O9" s="35" t="str">
        <f t="shared" si="32"/>
        <v>0+</v>
      </c>
      <c r="P9" s="387" t="str">
        <f>IFERROR((IF(AW9="YES",(VLOOKUP($BP$1&amp;D9,Teams!D:M,7,0)&amp;BG9),AX9)),"")</f>
        <v>0</v>
      </c>
      <c r="Q9" s="388"/>
      <c r="R9" s="388"/>
      <c r="S9" s="388"/>
      <c r="T9" s="388"/>
      <c r="U9" s="388"/>
      <c r="V9" s="388"/>
      <c r="W9" s="388"/>
      <c r="X9" s="388"/>
      <c r="Y9" s="388"/>
      <c r="Z9" s="389"/>
      <c r="AA9" s="82"/>
      <c r="AB9" s="82"/>
      <c r="AC9" s="83"/>
      <c r="AD9" s="83"/>
      <c r="AE9" s="83"/>
      <c r="AF9" s="84"/>
      <c r="AG9" s="84"/>
      <c r="AH9" s="84"/>
      <c r="AI9" s="84"/>
      <c r="AJ9" s="84"/>
      <c r="AK9" s="355">
        <f t="shared" si="12"/>
        <v>0</v>
      </c>
      <c r="AL9" s="356"/>
      <c r="AM9" s="355">
        <f t="shared" si="3"/>
        <v>0</v>
      </c>
      <c r="AN9" s="356"/>
      <c r="AO9" s="355">
        <f>IFERROR((VLOOKUP($BP$1&amp;D9,Teams!D:M,8,0)+AH44),0)</f>
        <v>0</v>
      </c>
      <c r="AP9" s="356"/>
      <c r="AQ9" s="432"/>
      <c r="AR9" s="27">
        <f>IFERROR((IF(AA9&lt;&gt;"",0,((VLOOKUP($BP$1&amp;D9,Teams!D:M,9,0)+(AH44/1000))))),0)</f>
        <v>0</v>
      </c>
      <c r="AS9" s="28">
        <f>IFERROR((VLOOKUP($BP$1&amp;D9,Teams!D:N,11,0)),0)</f>
        <v>0</v>
      </c>
      <c r="AT9" s="28" t="str">
        <f t="shared" si="4"/>
        <v/>
      </c>
      <c r="AU9" s="28" t="str">
        <f t="shared" si="5"/>
        <v/>
      </c>
      <c r="AV9" s="28" t="str">
        <f t="shared" si="6"/>
        <v/>
      </c>
      <c r="AW9" s="28" t="str">
        <f t="shared" si="7"/>
        <v>YES</v>
      </c>
      <c r="AX9" s="28" t="str">
        <f t="shared" si="8"/>
        <v/>
      </c>
      <c r="AY9" s="36" t="str">
        <f t="shared" si="13"/>
        <v/>
      </c>
      <c r="AZ9" s="36" t="str">
        <f t="shared" si="14"/>
        <v/>
      </c>
      <c r="BA9" s="36" t="str">
        <f t="shared" si="15"/>
        <v/>
      </c>
      <c r="BB9" s="36" t="str">
        <f t="shared" si="16"/>
        <v/>
      </c>
      <c r="BC9" s="36" t="str">
        <f t="shared" si="17"/>
        <v/>
      </c>
      <c r="BD9" s="36" t="str">
        <f t="shared" si="18"/>
        <v/>
      </c>
      <c r="BE9" s="36"/>
      <c r="BF9" s="36" t="str">
        <f t="shared" si="19"/>
        <v/>
      </c>
      <c r="BG9" s="37" t="str">
        <f t="shared" si="9"/>
        <v/>
      </c>
      <c r="BH9" s="30" t="str">
        <f>IFERROR((IF((VLOOKUP($BP$1&amp;D9,Teams!D:M,7,0))="","",", ")),"")</f>
        <v xml:space="preserve">, </v>
      </c>
      <c r="BI9" s="30"/>
      <c r="BJ9" s="28" t="str">
        <f>$BP$1&amp;8</f>
        <v>Amazon8</v>
      </c>
      <c r="BK9" s="30" t="str">
        <f>IFERROR(IF((VLOOKUP(BJ9,Teams!B:C,2,FALSE))=0,"",(VLOOKUP(BJ9,Teams!B:C,2,FALSE))),"")</f>
        <v/>
      </c>
      <c r="BL9" s="28"/>
      <c r="BM9" s="28" t="s">
        <v>76</v>
      </c>
      <c r="BN9" s="246"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9"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x14ac:dyDescent="0.2">
      <c r="A10" s="24">
        <v>9</v>
      </c>
      <c r="B10" s="367"/>
      <c r="C10" s="368"/>
      <c r="D10" s="384"/>
      <c r="E10" s="358"/>
      <c r="F10" s="358"/>
      <c r="G10" s="358"/>
      <c r="H10" s="32">
        <f>IF(D10="",0,(COUNTIF(D2:G17,D10)))</f>
        <v>0</v>
      </c>
      <c r="I10" s="33" t="s">
        <v>34</v>
      </c>
      <c r="J10" s="34">
        <f>IFERROR((VLOOKUP($BP$1&amp;D10,Teams!D:M,10,0)),0)</f>
        <v>0</v>
      </c>
      <c r="K10" s="35">
        <f t="shared" ref="K10:L10" si="33">IFERROR(L69,0)</f>
        <v>0</v>
      </c>
      <c r="L10" s="35">
        <f t="shared" si="33"/>
        <v>0</v>
      </c>
      <c r="M10" s="35" t="str">
        <f t="shared" ref="M10:O10" si="34">IFERROR(N69&amp;"+",0)</f>
        <v>0+</v>
      </c>
      <c r="N10" s="35" t="str">
        <f t="shared" si="34"/>
        <v>0+</v>
      </c>
      <c r="O10" s="35" t="str">
        <f t="shared" si="34"/>
        <v>0+</v>
      </c>
      <c r="P10" s="387" t="str">
        <f>IFERROR((IF(AW10="YES",(VLOOKUP($BP$1&amp;D10,Teams!D:M,7,0)&amp;BG10),AX10)),"")</f>
        <v>0</v>
      </c>
      <c r="Q10" s="388"/>
      <c r="R10" s="388"/>
      <c r="S10" s="388"/>
      <c r="T10" s="388"/>
      <c r="U10" s="388"/>
      <c r="V10" s="388"/>
      <c r="W10" s="388"/>
      <c r="X10" s="388"/>
      <c r="Y10" s="388"/>
      <c r="Z10" s="389"/>
      <c r="AA10" s="82"/>
      <c r="AB10" s="82"/>
      <c r="AC10" s="83"/>
      <c r="AD10" s="83"/>
      <c r="AE10" s="83"/>
      <c r="AF10" s="84"/>
      <c r="AG10" s="84"/>
      <c r="AH10" s="84"/>
      <c r="AI10" s="84"/>
      <c r="AJ10" s="84"/>
      <c r="AK10" s="355">
        <f t="shared" si="12"/>
        <v>0</v>
      </c>
      <c r="AL10" s="356"/>
      <c r="AM10" s="355">
        <f t="shared" si="3"/>
        <v>0</v>
      </c>
      <c r="AN10" s="356"/>
      <c r="AO10" s="355">
        <f>IFERROR((VLOOKUP($BP$1&amp;D10,Teams!D:M,8,0)+AH45),0)</f>
        <v>0</v>
      </c>
      <c r="AP10" s="356"/>
      <c r="AQ10" s="432"/>
      <c r="AR10" s="27">
        <f>IFERROR((IF(AA10&lt;&gt;"",0,((VLOOKUP($BP$1&amp;D10,Teams!D:M,9,0)+(AH45/1000))))),0)</f>
        <v>0</v>
      </c>
      <c r="AS10" s="28">
        <f>IFERROR((VLOOKUP($BP$1&amp;D10,Teams!D:N,11,0)),0)</f>
        <v>0</v>
      </c>
      <c r="AT10" s="28" t="str">
        <f t="shared" si="4"/>
        <v/>
      </c>
      <c r="AU10" s="28" t="str">
        <f t="shared" si="5"/>
        <v/>
      </c>
      <c r="AV10" s="28" t="str">
        <f t="shared" si="6"/>
        <v/>
      </c>
      <c r="AW10" s="28" t="str">
        <f t="shared" si="7"/>
        <v>YES</v>
      </c>
      <c r="AX10" s="28" t="str">
        <f t="shared" si="8"/>
        <v/>
      </c>
      <c r="AY10" s="36" t="str">
        <f t="shared" si="13"/>
        <v/>
      </c>
      <c r="AZ10" s="36" t="str">
        <f t="shared" si="14"/>
        <v/>
      </c>
      <c r="BA10" s="36" t="str">
        <f t="shared" si="15"/>
        <v/>
      </c>
      <c r="BB10" s="36" t="str">
        <f t="shared" si="16"/>
        <v/>
      </c>
      <c r="BC10" s="36" t="str">
        <f t="shared" si="17"/>
        <v/>
      </c>
      <c r="BD10" s="36" t="str">
        <f t="shared" si="18"/>
        <v/>
      </c>
      <c r="BE10" s="36"/>
      <c r="BF10" s="36" t="str">
        <f t="shared" si="19"/>
        <v/>
      </c>
      <c r="BG10" s="37" t="str">
        <f t="shared" si="9"/>
        <v/>
      </c>
      <c r="BH10" s="30" t="str">
        <f>IFERROR((IF((VLOOKUP($BP$1&amp;D10,Teams!D:M,7,0))="","",", ")),"")</f>
        <v xml:space="preserve">, </v>
      </c>
      <c r="BI10" s="30"/>
      <c r="BJ10" s="28" t="str">
        <f>$BP$1&amp;9</f>
        <v>Amazon9</v>
      </c>
      <c r="BK10" s="30" t="str">
        <f>IFERROR(IF((VLOOKUP(BJ10,Teams!B:C,2,FALSE))=0,"",(VLOOKUP(BJ10,Teams!B:C,2,FALSE))),"")</f>
        <v/>
      </c>
      <c r="BL10" s="28"/>
      <c r="BM10" s="28" t="s">
        <v>81</v>
      </c>
      <c r="BN10" s="246"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9"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x14ac:dyDescent="0.2">
      <c r="A11" s="24">
        <v>10</v>
      </c>
      <c r="B11" s="367"/>
      <c r="C11" s="368"/>
      <c r="D11" s="386"/>
      <c r="E11" s="358"/>
      <c r="F11" s="358"/>
      <c r="G11" s="358"/>
      <c r="H11" s="32">
        <f>IF(D11="",0,(COUNTIF(D2:G17,D11)))</f>
        <v>0</v>
      </c>
      <c r="I11" s="33" t="s">
        <v>34</v>
      </c>
      <c r="J11" s="34">
        <f>IFERROR((VLOOKUP($BP$1&amp;D11,Teams!D:M,10,0)),0)</f>
        <v>0</v>
      </c>
      <c r="K11" s="35">
        <f t="shared" ref="K11:L11" si="35">IFERROR(L70,0)</f>
        <v>0</v>
      </c>
      <c r="L11" s="35">
        <f t="shared" si="35"/>
        <v>0</v>
      </c>
      <c r="M11" s="35" t="str">
        <f t="shared" ref="M11:O11" si="36">IFERROR(N70&amp;"+",0)</f>
        <v>0+</v>
      </c>
      <c r="N11" s="35" t="str">
        <f t="shared" si="36"/>
        <v>0+</v>
      </c>
      <c r="O11" s="35" t="str">
        <f t="shared" si="36"/>
        <v>0+</v>
      </c>
      <c r="P11" s="387" t="str">
        <f>IFERROR((IF(AW11="YES",(VLOOKUP($BP$1&amp;D11,Teams!D:M,7,0)&amp;BG11),AX11)),"")</f>
        <v>0</v>
      </c>
      <c r="Q11" s="388"/>
      <c r="R11" s="388"/>
      <c r="S11" s="388"/>
      <c r="T11" s="388"/>
      <c r="U11" s="388"/>
      <c r="V11" s="388"/>
      <c r="W11" s="388"/>
      <c r="X11" s="388"/>
      <c r="Y11" s="388"/>
      <c r="Z11" s="389"/>
      <c r="AA11" s="82"/>
      <c r="AB11" s="82"/>
      <c r="AC11" s="83"/>
      <c r="AD11" s="83"/>
      <c r="AE11" s="83"/>
      <c r="AF11" s="84"/>
      <c r="AG11" s="84"/>
      <c r="AH11" s="84"/>
      <c r="AI11" s="84"/>
      <c r="AJ11" s="84"/>
      <c r="AK11" s="355">
        <f t="shared" si="12"/>
        <v>0</v>
      </c>
      <c r="AL11" s="356"/>
      <c r="AM11" s="355">
        <f t="shared" si="3"/>
        <v>0</v>
      </c>
      <c r="AN11" s="356"/>
      <c r="AO11" s="355">
        <f>IFERROR((VLOOKUP($BP$1&amp;D11,Teams!D:M,8,0)+AH46),0)</f>
        <v>0</v>
      </c>
      <c r="AP11" s="356"/>
      <c r="AQ11" s="432"/>
      <c r="AR11" s="27">
        <f>IFERROR((IF(AA11&lt;&gt;"",0,((VLOOKUP($BP$1&amp;D11,Teams!D:M,9,0)+(AH46/1000))))),0)</f>
        <v>0</v>
      </c>
      <c r="AS11" s="28">
        <f>IFERROR((VLOOKUP($BP$1&amp;D11,Teams!D:N,11,0)),0)</f>
        <v>0</v>
      </c>
      <c r="AT11" s="28" t="str">
        <f t="shared" si="4"/>
        <v/>
      </c>
      <c r="AU11" s="28" t="str">
        <f t="shared" si="5"/>
        <v/>
      </c>
      <c r="AV11" s="28" t="str">
        <f t="shared" si="6"/>
        <v/>
      </c>
      <c r="AW11" s="28" t="str">
        <f t="shared" si="7"/>
        <v>YES</v>
      </c>
      <c r="AX11" s="28" t="str">
        <f t="shared" si="8"/>
        <v/>
      </c>
      <c r="AY11" s="36" t="str">
        <f t="shared" si="13"/>
        <v/>
      </c>
      <c r="AZ11" s="36" t="str">
        <f t="shared" si="14"/>
        <v/>
      </c>
      <c r="BA11" s="36" t="str">
        <f t="shared" si="15"/>
        <v/>
      </c>
      <c r="BB11" s="36" t="str">
        <f t="shared" si="16"/>
        <v/>
      </c>
      <c r="BC11" s="36" t="str">
        <f t="shared" si="17"/>
        <v/>
      </c>
      <c r="BD11" s="36" t="str">
        <f t="shared" si="18"/>
        <v/>
      </c>
      <c r="BE11" s="36"/>
      <c r="BF11" s="36" t="str">
        <f t="shared" si="19"/>
        <v/>
      </c>
      <c r="BG11" s="37" t="str">
        <f t="shared" si="9"/>
        <v/>
      </c>
      <c r="BH11" s="30" t="str">
        <f>IFERROR((IF((VLOOKUP($BP$1&amp;D11,Teams!D:M,7,0))="","",", ")),"")</f>
        <v xml:space="preserve">, </v>
      </c>
      <c r="BI11" s="30"/>
      <c r="BJ11" s="28" t="str">
        <f>$BP$1&amp;10</f>
        <v>Amazon10</v>
      </c>
      <c r="BK11" s="30" t="str">
        <f>IFERROR(IF((VLOOKUP(BJ11,Teams!B:C,2,FALSE))=0,"",(VLOOKUP(BJ11,Teams!B:C,2,FALSE))),"")</f>
        <v/>
      </c>
      <c r="BL11" s="28"/>
      <c r="BM11" s="28" t="s">
        <v>86</v>
      </c>
      <c r="BN11" s="246"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9"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x14ac:dyDescent="0.2">
      <c r="A12" s="24">
        <v>11</v>
      </c>
      <c r="B12" s="367"/>
      <c r="C12" s="368"/>
      <c r="D12" s="386"/>
      <c r="E12" s="358"/>
      <c r="F12" s="358"/>
      <c r="G12" s="358"/>
      <c r="H12" s="32">
        <f>IF(D12="",0,(COUNTIF(D2:G17,D12)))</f>
        <v>0</v>
      </c>
      <c r="I12" s="33" t="s">
        <v>34</v>
      </c>
      <c r="J12" s="34">
        <f>IFERROR((VLOOKUP($BP$1&amp;D12,Teams!D:M,10,0)),0)</f>
        <v>0</v>
      </c>
      <c r="K12" s="35">
        <f t="shared" ref="K12:L12" si="37">IFERROR(L71,0)</f>
        <v>0</v>
      </c>
      <c r="L12" s="35">
        <f t="shared" si="37"/>
        <v>0</v>
      </c>
      <c r="M12" s="35" t="str">
        <f t="shared" ref="M12:O12" si="38">IFERROR(N71&amp;"+",0)</f>
        <v>0+</v>
      </c>
      <c r="N12" s="35" t="str">
        <f t="shared" si="38"/>
        <v>0+</v>
      </c>
      <c r="O12" s="35" t="str">
        <f t="shared" si="38"/>
        <v>0+</v>
      </c>
      <c r="P12" s="387" t="str">
        <f>IFERROR((IF(AW12="YES",(VLOOKUP($BP$1&amp;D12,Teams!D:M,7,0)&amp;BG12),AX12)),"")</f>
        <v>0</v>
      </c>
      <c r="Q12" s="388"/>
      <c r="R12" s="388"/>
      <c r="S12" s="388"/>
      <c r="T12" s="388"/>
      <c r="U12" s="388"/>
      <c r="V12" s="388"/>
      <c r="W12" s="388"/>
      <c r="X12" s="388"/>
      <c r="Y12" s="388"/>
      <c r="Z12" s="389"/>
      <c r="AA12" s="82"/>
      <c r="AB12" s="82"/>
      <c r="AC12" s="83"/>
      <c r="AD12" s="83"/>
      <c r="AE12" s="83"/>
      <c r="AF12" s="84"/>
      <c r="AG12" s="84"/>
      <c r="AH12" s="84"/>
      <c r="AI12" s="84"/>
      <c r="AJ12" s="84"/>
      <c r="AK12" s="355">
        <f t="shared" si="12"/>
        <v>0</v>
      </c>
      <c r="AL12" s="356"/>
      <c r="AM12" s="355">
        <f t="shared" si="3"/>
        <v>0</v>
      </c>
      <c r="AN12" s="356"/>
      <c r="AO12" s="355">
        <f>IFERROR((VLOOKUP($BP$1&amp;D12,Teams!D:M,8,0)+AH47),0)</f>
        <v>0</v>
      </c>
      <c r="AP12" s="356"/>
      <c r="AQ12" s="432"/>
      <c r="AR12" s="27">
        <f>IFERROR((IF(AA12&lt;&gt;"",0,((VLOOKUP($BP$1&amp;D12,Teams!D:M,9,0)+(AH47/1000))))),0)</f>
        <v>0</v>
      </c>
      <c r="AS12" s="28">
        <f>IFERROR((VLOOKUP($BP$1&amp;D12,Teams!D:N,11,0)),0)</f>
        <v>0</v>
      </c>
      <c r="AT12" s="28" t="str">
        <f t="shared" si="4"/>
        <v/>
      </c>
      <c r="AU12" s="28" t="str">
        <f t="shared" si="5"/>
        <v/>
      </c>
      <c r="AV12" s="28" t="str">
        <f t="shared" si="6"/>
        <v/>
      </c>
      <c r="AW12" s="28" t="str">
        <f t="shared" si="7"/>
        <v>YES</v>
      </c>
      <c r="AX12" s="28" t="str">
        <f t="shared" si="8"/>
        <v/>
      </c>
      <c r="AY12" s="36" t="str">
        <f t="shared" si="13"/>
        <v/>
      </c>
      <c r="AZ12" s="36" t="str">
        <f t="shared" si="14"/>
        <v/>
      </c>
      <c r="BA12" s="36" t="str">
        <f t="shared" si="15"/>
        <v/>
      </c>
      <c r="BB12" s="36" t="str">
        <f t="shared" si="16"/>
        <v/>
      </c>
      <c r="BC12" s="36" t="str">
        <f t="shared" si="17"/>
        <v/>
      </c>
      <c r="BD12" s="36" t="str">
        <f t="shared" si="18"/>
        <v/>
      </c>
      <c r="BE12" s="36"/>
      <c r="BF12" s="36" t="str">
        <f t="shared" si="19"/>
        <v/>
      </c>
      <c r="BG12" s="37" t="str">
        <f t="shared" si="9"/>
        <v/>
      </c>
      <c r="BH12" s="30" t="str">
        <f>IFERROR((IF((VLOOKUP($BP$1&amp;D12,Teams!D:M,7,0))="","",", ")),"")</f>
        <v xml:space="preserve">, </v>
      </c>
      <c r="BI12" s="30"/>
      <c r="BJ12" s="28" t="str">
        <f>$BP$1&amp;11</f>
        <v>Amazon11</v>
      </c>
      <c r="BK12" s="30" t="str">
        <f>IFERROR(IF((VLOOKUP(BJ12,Teams!B:C,2,FALSE))=0,"",(VLOOKUP(BJ12,Teams!B:C,2,FALSE))),"")</f>
        <v/>
      </c>
      <c r="BL12" s="28"/>
      <c r="BM12" s="28" t="s">
        <v>91</v>
      </c>
      <c r="BN12" s="246"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9"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x14ac:dyDescent="0.2">
      <c r="A13" s="24">
        <v>12</v>
      </c>
      <c r="B13" s="367"/>
      <c r="C13" s="368"/>
      <c r="D13" s="386"/>
      <c r="E13" s="358"/>
      <c r="F13" s="358"/>
      <c r="G13" s="358"/>
      <c r="H13" s="32">
        <f>IF(D13="",0,(COUNTIF(D2:G17,D13)))</f>
        <v>0</v>
      </c>
      <c r="I13" s="33" t="s">
        <v>34</v>
      </c>
      <c r="J13" s="34">
        <f>IFERROR((VLOOKUP($BP$1&amp;D13,Teams!D:M,10,0)),0)</f>
        <v>0</v>
      </c>
      <c r="K13" s="35">
        <f t="shared" ref="K13:L13" si="39">IFERROR(L72,0)</f>
        <v>0</v>
      </c>
      <c r="L13" s="35">
        <f t="shared" si="39"/>
        <v>0</v>
      </c>
      <c r="M13" s="35" t="str">
        <f t="shared" ref="M13:O13" si="40">IFERROR(N72&amp;"+",0)</f>
        <v>0+</v>
      </c>
      <c r="N13" s="35" t="str">
        <f t="shared" si="40"/>
        <v>0+</v>
      </c>
      <c r="O13" s="35" t="str">
        <f t="shared" si="40"/>
        <v>0+</v>
      </c>
      <c r="P13" s="387" t="str">
        <f>IFERROR((IF(AW13="YES",(VLOOKUP($BP$1&amp;D13,Teams!D:M,7,0)&amp;BG13),AX13)),"")</f>
        <v>0</v>
      </c>
      <c r="Q13" s="388"/>
      <c r="R13" s="388"/>
      <c r="S13" s="388"/>
      <c r="T13" s="388"/>
      <c r="U13" s="388"/>
      <c r="V13" s="388"/>
      <c r="W13" s="388"/>
      <c r="X13" s="388"/>
      <c r="Y13" s="388"/>
      <c r="Z13" s="389"/>
      <c r="AA13" s="82"/>
      <c r="AB13" s="82"/>
      <c r="AC13" s="83"/>
      <c r="AD13" s="83"/>
      <c r="AE13" s="83"/>
      <c r="AF13" s="84"/>
      <c r="AG13" s="84"/>
      <c r="AH13" s="84"/>
      <c r="AI13" s="84"/>
      <c r="AJ13" s="84"/>
      <c r="AK13" s="355">
        <f t="shared" si="12"/>
        <v>0</v>
      </c>
      <c r="AL13" s="356"/>
      <c r="AM13" s="355">
        <f t="shared" si="3"/>
        <v>0</v>
      </c>
      <c r="AN13" s="356"/>
      <c r="AO13" s="355">
        <f>IFERROR((VLOOKUP($BP$1&amp;D13,Teams!D:M,8,0)+AH48),0)</f>
        <v>0</v>
      </c>
      <c r="AP13" s="356"/>
      <c r="AQ13" s="432"/>
      <c r="AR13" s="27">
        <f>IFERROR((IF(AA13&lt;&gt;"",0,((VLOOKUP($BP$1&amp;D13,Teams!D:M,9,0)+(AH48/1000))))),0)</f>
        <v>0</v>
      </c>
      <c r="AS13" s="28">
        <f>IFERROR((VLOOKUP($BP$1&amp;D13,Teams!D:N,11,0)),0)</f>
        <v>0</v>
      </c>
      <c r="AT13" s="28" t="str">
        <f t="shared" si="4"/>
        <v/>
      </c>
      <c r="AU13" s="28" t="str">
        <f t="shared" si="5"/>
        <v/>
      </c>
      <c r="AV13" s="28" t="str">
        <f t="shared" si="6"/>
        <v/>
      </c>
      <c r="AW13" s="28" t="str">
        <f t="shared" si="7"/>
        <v>YES</v>
      </c>
      <c r="AX13" s="28" t="str">
        <f t="shared" si="8"/>
        <v/>
      </c>
      <c r="AY13" s="36" t="str">
        <f t="shared" si="13"/>
        <v/>
      </c>
      <c r="AZ13" s="36" t="str">
        <f t="shared" si="14"/>
        <v/>
      </c>
      <c r="BA13" s="36" t="str">
        <f t="shared" si="15"/>
        <v/>
      </c>
      <c r="BB13" s="36" t="str">
        <f t="shared" si="16"/>
        <v/>
      </c>
      <c r="BC13" s="36" t="str">
        <f t="shared" si="17"/>
        <v/>
      </c>
      <c r="BD13" s="36" t="str">
        <f t="shared" si="18"/>
        <v/>
      </c>
      <c r="BE13" s="36"/>
      <c r="BF13" s="36" t="str">
        <f t="shared" si="19"/>
        <v/>
      </c>
      <c r="BG13" s="37" t="str">
        <f t="shared" si="9"/>
        <v/>
      </c>
      <c r="BH13" s="30" t="str">
        <f>IFERROR((IF((VLOOKUP($BP$1&amp;D13,Teams!D:M,7,0))="","",", ")),"")</f>
        <v xml:space="preserve">, </v>
      </c>
      <c r="BI13" s="30"/>
      <c r="BJ13" s="28" t="str">
        <f>$BP$1&amp;12</f>
        <v>Amazon12</v>
      </c>
      <c r="BK13" s="30" t="str">
        <f>IFERROR(IF((VLOOKUP(BJ13,Teams!B:C,2,FALSE))=0,"",(VLOOKUP(BJ13,Teams!B:C,2,FALSE))),"")</f>
        <v/>
      </c>
      <c r="BL13" s="28"/>
      <c r="BM13" s="28" t="s">
        <v>96</v>
      </c>
      <c r="BN13" s="246"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x14ac:dyDescent="0.2">
      <c r="A14" s="24">
        <v>13</v>
      </c>
      <c r="B14" s="367"/>
      <c r="C14" s="368"/>
      <c r="D14" s="386"/>
      <c r="E14" s="358"/>
      <c r="F14" s="358"/>
      <c r="G14" s="358"/>
      <c r="H14" s="32">
        <f>IF(D14="",0,(COUNTIF(D2:G17,D14)))</f>
        <v>0</v>
      </c>
      <c r="I14" s="33" t="s">
        <v>34</v>
      </c>
      <c r="J14" s="34">
        <f>IFERROR((VLOOKUP($BP$1&amp;D14,Teams!D:M,10,0)),0)</f>
        <v>0</v>
      </c>
      <c r="K14" s="35">
        <f t="shared" ref="K14:L14" si="41">IFERROR(L73,0)</f>
        <v>0</v>
      </c>
      <c r="L14" s="35">
        <f t="shared" si="41"/>
        <v>0</v>
      </c>
      <c r="M14" s="35" t="str">
        <f t="shared" ref="M14:O14" si="42">IFERROR(N73&amp;"+",0)</f>
        <v>0+</v>
      </c>
      <c r="N14" s="35" t="str">
        <f t="shared" si="42"/>
        <v>0+</v>
      </c>
      <c r="O14" s="35" t="str">
        <f t="shared" si="42"/>
        <v>0+</v>
      </c>
      <c r="P14" s="387" t="str">
        <f>IFERROR((IF(AW14="YES",(VLOOKUP($BP$1&amp;D14,Teams!D:M,7,0)&amp;BG14),AX14)),"")</f>
        <v>0</v>
      </c>
      <c r="Q14" s="388"/>
      <c r="R14" s="388"/>
      <c r="S14" s="388"/>
      <c r="T14" s="388"/>
      <c r="U14" s="388"/>
      <c r="V14" s="388"/>
      <c r="W14" s="388"/>
      <c r="X14" s="388"/>
      <c r="Y14" s="388"/>
      <c r="Z14" s="389"/>
      <c r="AA14" s="82"/>
      <c r="AB14" s="82"/>
      <c r="AC14" s="83"/>
      <c r="AD14" s="83"/>
      <c r="AE14" s="83"/>
      <c r="AF14" s="84"/>
      <c r="AG14" s="84"/>
      <c r="AH14" s="84"/>
      <c r="AI14" s="84"/>
      <c r="AJ14" s="84"/>
      <c r="AK14" s="355">
        <f t="shared" si="12"/>
        <v>0</v>
      </c>
      <c r="AL14" s="356"/>
      <c r="AM14" s="355">
        <f t="shared" si="3"/>
        <v>0</v>
      </c>
      <c r="AN14" s="356"/>
      <c r="AO14" s="355">
        <f>IFERROR((VLOOKUP($BP$1&amp;D14,Teams!D:M,8,0)+AH49),0)</f>
        <v>0</v>
      </c>
      <c r="AP14" s="356"/>
      <c r="AQ14" s="432"/>
      <c r="AR14" s="27">
        <f>IFERROR((IF(AA14&lt;&gt;"",0,((VLOOKUP($BP$1&amp;D14,Teams!D:M,9,0)+(AH49/1000))))),0)</f>
        <v>0</v>
      </c>
      <c r="AS14" s="28">
        <f>IFERROR((VLOOKUP($BP$1&amp;D14,Teams!D:N,11,0)),0)</f>
        <v>0</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xml:space="preserve">, </v>
      </c>
      <c r="BI14" s="30"/>
      <c r="BJ14" s="28" t="str">
        <f>$BP$1&amp;13</f>
        <v>Amazon13</v>
      </c>
      <c r="BK14" s="30" t="str">
        <f>IFERROR(IF((VLOOKUP(BJ14,Teams!B:C,2,FALSE))=0,"",(VLOOKUP(BJ14,Teams!B:C,2,FALSE))),"")</f>
        <v/>
      </c>
      <c r="BL14" s="28"/>
      <c r="BM14" s="28" t="s">
        <v>101</v>
      </c>
      <c r="BN14" s="246"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x14ac:dyDescent="0.2">
      <c r="A15" s="24">
        <v>14</v>
      </c>
      <c r="B15" s="367"/>
      <c r="C15" s="368"/>
      <c r="D15" s="386"/>
      <c r="E15" s="358"/>
      <c r="F15" s="358"/>
      <c r="G15" s="358"/>
      <c r="H15" s="32">
        <f>IF(D15="",0,(COUNTIF(D2:G17,D15)))</f>
        <v>0</v>
      </c>
      <c r="I15" s="33" t="s">
        <v>34</v>
      </c>
      <c r="J15" s="34">
        <f>IFERROR((VLOOKUP($BP$1&amp;D15,Teams!D:M,10,0)),0)</f>
        <v>0</v>
      </c>
      <c r="K15" s="35">
        <f t="shared" ref="K15:L15" si="43">IFERROR(L74,0)</f>
        <v>0</v>
      </c>
      <c r="L15" s="35">
        <f t="shared" si="43"/>
        <v>0</v>
      </c>
      <c r="M15" s="35" t="str">
        <f t="shared" ref="M15:O15" si="44">IFERROR(N74&amp;"+",0)</f>
        <v>0+</v>
      </c>
      <c r="N15" s="35" t="str">
        <f t="shared" si="44"/>
        <v>0+</v>
      </c>
      <c r="O15" s="35" t="str">
        <f t="shared" si="44"/>
        <v>0+</v>
      </c>
      <c r="P15" s="387" t="str">
        <f>IFERROR((IF(AW15="YES",(VLOOKUP($BP$1&amp;D15,Teams!D:M,7,0)&amp;BG15),AX15)),"")</f>
        <v>0</v>
      </c>
      <c r="Q15" s="388"/>
      <c r="R15" s="388"/>
      <c r="S15" s="388"/>
      <c r="T15" s="388"/>
      <c r="U15" s="388"/>
      <c r="V15" s="388"/>
      <c r="W15" s="388"/>
      <c r="X15" s="388"/>
      <c r="Y15" s="388"/>
      <c r="Z15" s="389"/>
      <c r="AA15" s="82"/>
      <c r="AB15" s="82"/>
      <c r="AC15" s="83"/>
      <c r="AD15" s="83"/>
      <c r="AE15" s="83"/>
      <c r="AF15" s="84"/>
      <c r="AG15" s="84"/>
      <c r="AH15" s="84"/>
      <c r="AI15" s="84"/>
      <c r="AJ15" s="84"/>
      <c r="AK15" s="355">
        <f t="shared" si="12"/>
        <v>0</v>
      </c>
      <c r="AL15" s="356"/>
      <c r="AM15" s="355">
        <f t="shared" si="3"/>
        <v>0</v>
      </c>
      <c r="AN15" s="356"/>
      <c r="AO15" s="355">
        <f>IFERROR((VLOOKUP($BP$1&amp;D15,Teams!D:M,8,0)+AH50),0)</f>
        <v>0</v>
      </c>
      <c r="AP15" s="356"/>
      <c r="AQ15" s="432"/>
      <c r="AR15" s="27">
        <f>IFERROR((IF(AA15&lt;&gt;"",0,((VLOOKUP($BP$1&amp;D15,Teams!D:M,9,0)+(AH50/1000))))),0)</f>
        <v>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6"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x14ac:dyDescent="0.2">
      <c r="A16" s="24">
        <v>15</v>
      </c>
      <c r="B16" s="367"/>
      <c r="C16" s="368"/>
      <c r="D16" s="386"/>
      <c r="E16" s="358"/>
      <c r="F16" s="358"/>
      <c r="G16" s="358"/>
      <c r="H16" s="32">
        <f t="shared" ref="H16:H17" si="45">IF(D16="",0,(COUNTIF(D2:G17,D16)))</f>
        <v>0</v>
      </c>
      <c r="I16" s="33" t="s">
        <v>34</v>
      </c>
      <c r="J16" s="34">
        <f>IFERROR((VLOOKUP($BP$1&amp;D16,Teams!D:M,10,0)),0)</f>
        <v>0</v>
      </c>
      <c r="K16" s="35">
        <f t="shared" ref="K16:L16" si="46">IFERROR(L75,0)</f>
        <v>0</v>
      </c>
      <c r="L16" s="35">
        <f t="shared" si="46"/>
        <v>0</v>
      </c>
      <c r="M16" s="35" t="str">
        <f t="shared" ref="M16:O16" si="47">IFERROR(N75&amp;"+",0)</f>
        <v>0+</v>
      </c>
      <c r="N16" s="35" t="str">
        <f t="shared" si="47"/>
        <v>0+</v>
      </c>
      <c r="O16" s="35" t="str">
        <f t="shared" si="47"/>
        <v>0+</v>
      </c>
      <c r="P16" s="387" t="str">
        <f>IFERROR((IF(AW16="YES",(VLOOKUP($BP$1&amp;D16,Teams!D:M,7,0)&amp;BG16),AX16)),"")</f>
        <v>0</v>
      </c>
      <c r="Q16" s="388"/>
      <c r="R16" s="388"/>
      <c r="S16" s="388"/>
      <c r="T16" s="388"/>
      <c r="U16" s="388"/>
      <c r="V16" s="388"/>
      <c r="W16" s="388"/>
      <c r="X16" s="388"/>
      <c r="Y16" s="388"/>
      <c r="Z16" s="389"/>
      <c r="AA16" s="82"/>
      <c r="AB16" s="82"/>
      <c r="AC16" s="83"/>
      <c r="AD16" s="83"/>
      <c r="AE16" s="83"/>
      <c r="AF16" s="84"/>
      <c r="AG16" s="84"/>
      <c r="AH16" s="84"/>
      <c r="AI16" s="84"/>
      <c r="AJ16" s="84"/>
      <c r="AK16" s="355">
        <f t="shared" si="12"/>
        <v>0</v>
      </c>
      <c r="AL16" s="356"/>
      <c r="AM16" s="355">
        <f t="shared" si="3"/>
        <v>0</v>
      </c>
      <c r="AN16" s="356"/>
      <c r="AO16" s="355">
        <f>IFERROR((VLOOKUP($BP$1&amp;D16,Teams!D:M,8,0)+AH51),0)</f>
        <v>0</v>
      </c>
      <c r="AP16" s="356"/>
      <c r="AQ16" s="432"/>
      <c r="AR16" s="27">
        <f>IFERROR((IF(AA16&lt;&gt;"",0,((VLOOKUP($BP$1&amp;D16,Teams!D:M,9,0)+(AH51/1000))))),0)</f>
        <v>0</v>
      </c>
      <c r="AS16" s="28">
        <f>IFERROR((VLOOKUP($BP$1&amp;D16,Teams!D:N,11,0)),0)</f>
        <v>0</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6"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31" t="s">
        <v>113</v>
      </c>
      <c r="CC16" s="261" t="s">
        <v>114</v>
      </c>
      <c r="CD16" s="261"/>
      <c r="CE16" s="261"/>
      <c r="CF16" s="261" t="s">
        <v>111</v>
      </c>
      <c r="CG16" s="261" t="s">
        <v>177</v>
      </c>
      <c r="CH16" s="261" t="s">
        <v>104</v>
      </c>
      <c r="CI16" s="261"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x14ac:dyDescent="0.2">
      <c r="A17" s="24">
        <v>16</v>
      </c>
      <c r="B17" s="367"/>
      <c r="C17" s="368"/>
      <c r="D17" s="446"/>
      <c r="E17" s="358"/>
      <c r="F17" s="358"/>
      <c r="G17" s="358"/>
      <c r="H17" s="32">
        <f t="shared" si="45"/>
        <v>0</v>
      </c>
      <c r="I17" s="33" t="s">
        <v>34</v>
      </c>
      <c r="J17" s="34">
        <f>IFERROR((VLOOKUP($BP$1&amp;D17,Teams!D:M,10,0)),0)</f>
        <v>0</v>
      </c>
      <c r="K17" s="35">
        <f t="shared" ref="K17:L17" si="48">IFERROR(L76,0)</f>
        <v>0</v>
      </c>
      <c r="L17" s="35">
        <f t="shared" si="48"/>
        <v>0</v>
      </c>
      <c r="M17" s="35" t="str">
        <f t="shared" ref="M17:O17" si="49">IFERROR(N76&amp;"+",0)</f>
        <v>0+</v>
      </c>
      <c r="N17" s="35" t="str">
        <f t="shared" si="49"/>
        <v>0+</v>
      </c>
      <c r="O17" s="35" t="str">
        <f t="shared" si="49"/>
        <v>0+</v>
      </c>
      <c r="P17" s="387" t="str">
        <f>IFERROR((IF(AW17="YES",(VLOOKUP($BP$1&amp;D17,Teams!D:M,7,0)&amp;BG17),AX17)),"")</f>
        <v>0</v>
      </c>
      <c r="Q17" s="388"/>
      <c r="R17" s="388"/>
      <c r="S17" s="388"/>
      <c r="T17" s="388"/>
      <c r="U17" s="388"/>
      <c r="V17" s="388"/>
      <c r="W17" s="388"/>
      <c r="X17" s="388"/>
      <c r="Y17" s="388"/>
      <c r="Z17" s="389"/>
      <c r="AA17" s="82"/>
      <c r="AB17" s="82"/>
      <c r="AC17" s="83"/>
      <c r="AD17" s="83"/>
      <c r="AE17" s="83"/>
      <c r="AF17" s="84"/>
      <c r="AG17" s="84"/>
      <c r="AH17" s="84"/>
      <c r="AI17" s="84"/>
      <c r="AJ17" s="84"/>
      <c r="AK17" s="355">
        <f>AB17+AC17+(AD17*3)+AE17+(AF17*2)+(AG17*2)+(AH17*2)+(AI17*2)+(AJ17*4)</f>
        <v>0</v>
      </c>
      <c r="AL17" s="356"/>
      <c r="AM17" s="355">
        <f>AK17-AJ52</f>
        <v>0</v>
      </c>
      <c r="AN17" s="356"/>
      <c r="AO17" s="355">
        <f>IFERROR((VLOOKUP($BP$1&amp;D17,Teams!D:M,8,0)+AH52),0)</f>
        <v>0</v>
      </c>
      <c r="AP17" s="356"/>
      <c r="AQ17" s="432"/>
      <c r="AR17" s="27">
        <f>IFERROR((IF(AA17&lt;&gt;"",0,((VLOOKUP($BP$1&amp;D17,Teams!D:M,9,0)+(AH52/1000)-(AB52/1000))))),0)</f>
        <v>0</v>
      </c>
      <c r="AS17" s="28">
        <f>IFERROR((VLOOKUP($BP$1&amp;D17,Teams!D:N,11,0)),0)</f>
        <v>0</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6"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31" t="s">
        <v>118</v>
      </c>
      <c r="CC17" s="261" t="s">
        <v>119</v>
      </c>
      <c r="CD17" s="332"/>
      <c r="CE17" s="261"/>
      <c r="CF17" s="261" t="s">
        <v>116</v>
      </c>
      <c r="CG17" s="261" t="s">
        <v>112</v>
      </c>
      <c r="CH17" s="261" t="s">
        <v>124</v>
      </c>
      <c r="CI17" s="261"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x14ac:dyDescent="0.2">
      <c r="A18" s="24" t="s">
        <v>115</v>
      </c>
      <c r="B18" s="452" t="str">
        <f>IF($K$25="Italiano","Star Player &amp; Mercenario",(IF($K$25="Español","Jugadores Estrella &amp; Mercenario",(IF($K$25="Français","Star Player &amp; Mercenaire",(IF($K$25="Deutsch","Starspielers &amp; Mercenary","Star Player &amp; Mercenary")))))))</f>
        <v>Star Player &amp; Mercenary</v>
      </c>
      <c r="C18" s="453"/>
      <c r="D18" s="447"/>
      <c r="E18" s="448"/>
      <c r="F18" s="448"/>
      <c r="G18" s="449"/>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390">
        <f>IFERROR((IF(H18&gt;J18,AT18,VLOOKUP(D18,StarPlayers!B:K,7,0))),0)</f>
        <v>0</v>
      </c>
      <c r="Q18" s="391"/>
      <c r="R18" s="391"/>
      <c r="S18" s="391"/>
      <c r="T18" s="391"/>
      <c r="U18" s="391"/>
      <c r="V18" s="391"/>
      <c r="W18" s="391"/>
      <c r="X18" s="391"/>
      <c r="Y18" s="391"/>
      <c r="Z18" s="356"/>
      <c r="AA18" s="390">
        <f>IFERROR((IF(H18&gt;J18,AT18,VLOOKUP(D18,StarPlayers!B:K,8,0))),0)</f>
        <v>0</v>
      </c>
      <c r="AB18" s="391"/>
      <c r="AC18" s="391"/>
      <c r="AD18" s="391"/>
      <c r="AE18" s="391"/>
      <c r="AF18" s="391"/>
      <c r="AG18" s="391"/>
      <c r="AH18" s="391"/>
      <c r="AI18" s="391"/>
      <c r="AJ18" s="391"/>
      <c r="AK18" s="391"/>
      <c r="AL18" s="391"/>
      <c r="AM18" s="391"/>
      <c r="AN18" s="356"/>
      <c r="AO18" s="355">
        <f>IFERROR((VLOOKUP(D18,StarPlayers!B:K,9,0)),0)</f>
        <v>0</v>
      </c>
      <c r="AP18" s="356"/>
      <c r="AQ18" s="432"/>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6"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31" t="s">
        <v>124</v>
      </c>
      <c r="CC18" s="261" t="s">
        <v>125</v>
      </c>
      <c r="CD18" s="224"/>
      <c r="CE18" s="261"/>
      <c r="CF18" s="261" t="s">
        <v>120</v>
      </c>
      <c r="CG18" s="261" t="s">
        <v>117</v>
      </c>
      <c r="CH18" s="261" t="s">
        <v>131</v>
      </c>
      <c r="CI18" s="261"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x14ac:dyDescent="0.2">
      <c r="A19" s="42" t="s">
        <v>115</v>
      </c>
      <c r="B19" s="452" t="str">
        <f>IF($K$25="Italiano","Star Player &amp; Mercenario",(IF($K$25="Español","Jugadores Estrella &amp; Mercenario",(IF($K$25="Français","Star Player &amp; Mercenaire",(IF($K$25="Deutsch","Starspielers &amp; Mercenary","Star Player &amp; Mercenary")))))))</f>
        <v>Star Player &amp; Mercenary</v>
      </c>
      <c r="C19" s="453"/>
      <c r="D19" s="447"/>
      <c r="E19" s="448"/>
      <c r="F19" s="448"/>
      <c r="G19" s="449"/>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390">
        <f>IFERROR((IF(H19&gt;J19,AT19,VLOOKUP(D19,StarPlayers!B:K,7,0))),0)</f>
        <v>0</v>
      </c>
      <c r="Q19" s="391"/>
      <c r="R19" s="391"/>
      <c r="S19" s="391"/>
      <c r="T19" s="391"/>
      <c r="U19" s="391"/>
      <c r="V19" s="391"/>
      <c r="W19" s="391"/>
      <c r="X19" s="391"/>
      <c r="Y19" s="391"/>
      <c r="Z19" s="356"/>
      <c r="AA19" s="390">
        <f>IFERROR((IF(H19&gt;J19,AT19,VLOOKUP(D19,StarPlayers!B:K,8,0))),0)</f>
        <v>0</v>
      </c>
      <c r="AB19" s="391"/>
      <c r="AC19" s="391"/>
      <c r="AD19" s="391"/>
      <c r="AE19" s="391"/>
      <c r="AF19" s="391"/>
      <c r="AG19" s="391"/>
      <c r="AH19" s="391"/>
      <c r="AI19" s="391"/>
      <c r="AJ19" s="391"/>
      <c r="AK19" s="391"/>
      <c r="AL19" s="391"/>
      <c r="AM19" s="391"/>
      <c r="AN19" s="356"/>
      <c r="AO19" s="355">
        <f>IFERROR((VLOOKUP(D19,StarPlayers!B:K,9,0)),0)</f>
        <v>0</v>
      </c>
      <c r="AP19" s="356"/>
      <c r="AQ19" s="432"/>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8"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9" t="s">
        <v>129</v>
      </c>
      <c r="BV19" s="29"/>
      <c r="BW19" s="29"/>
      <c r="BX19" s="29"/>
      <c r="BY19" s="29"/>
      <c r="BZ19" s="224" t="s">
        <v>128</v>
      </c>
      <c r="CA19" s="224" t="s">
        <v>130</v>
      </c>
      <c r="CB19" s="331" t="s">
        <v>131</v>
      </c>
      <c r="CC19" s="261" t="s">
        <v>132</v>
      </c>
      <c r="CD19" s="224"/>
      <c r="CE19" s="261"/>
      <c r="CF19" s="261" t="s">
        <v>128</v>
      </c>
      <c r="CG19" s="261" t="s">
        <v>123</v>
      </c>
      <c r="CH19" s="331" t="s">
        <v>1400</v>
      </c>
      <c r="CI19" s="261" t="s">
        <v>110</v>
      </c>
      <c r="CJ19" s="28"/>
      <c r="CK19" s="28"/>
      <c r="CL19" s="28"/>
      <c r="CM19" s="28"/>
      <c r="CN19" s="28"/>
      <c r="CO19" s="28"/>
      <c r="CP19" s="28"/>
      <c r="CQ19" s="28"/>
      <c r="CR19" s="28"/>
      <c r="CS19" s="28"/>
      <c r="CT19" s="28"/>
      <c r="CU19" s="28"/>
      <c r="CV19" s="28"/>
      <c r="CW19" s="28"/>
      <c r="CX19" s="28"/>
      <c r="CY19" s="28"/>
      <c r="CZ19" s="28"/>
      <c r="DA19" s="28"/>
      <c r="DB19" s="28"/>
      <c r="DC19" s="30"/>
    </row>
    <row r="20" spans="1:107" s="252" customFormat="1" ht="45" customHeight="1" x14ac:dyDescent="0.2">
      <c r="A20" s="42" t="s">
        <v>115</v>
      </c>
      <c r="B20" s="452" t="str">
        <f>IF($K$25="Italiano","Mercenario",(IF($K$25="Español","Mercenario",(IF($K$25="Français","Mercenaire","Mercenary")))))</f>
        <v>Mercenary</v>
      </c>
      <c r="C20" s="453"/>
      <c r="D20" s="454"/>
      <c r="E20" s="455"/>
      <c r="F20" s="455"/>
      <c r="G20" s="456"/>
      <c r="H20" s="321">
        <f>IF(D20=" ",0,(COUNTIF(D18:G20,D20)))</f>
        <v>0</v>
      </c>
      <c r="I20" s="322" t="s">
        <v>34</v>
      </c>
      <c r="J20" s="323">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390">
        <f>IFERROR((IF(H20&gt;J20,AT20,VLOOKUP(D20,StarPlayers!B:K,7,0))),0)</f>
        <v>0</v>
      </c>
      <c r="Q20" s="391"/>
      <c r="R20" s="391"/>
      <c r="S20" s="391"/>
      <c r="T20" s="391"/>
      <c r="U20" s="391"/>
      <c r="V20" s="391"/>
      <c r="W20" s="391"/>
      <c r="X20" s="391"/>
      <c r="Y20" s="391"/>
      <c r="Z20" s="356"/>
      <c r="AA20" s="390">
        <f>IFERROR((IF(H20&gt;J20,AT20,VLOOKUP(D20,StarPlayers!B:K,8,0))),0)</f>
        <v>0</v>
      </c>
      <c r="AB20" s="391"/>
      <c r="AC20" s="391"/>
      <c r="AD20" s="391"/>
      <c r="AE20" s="391"/>
      <c r="AF20" s="391"/>
      <c r="AG20" s="391"/>
      <c r="AH20" s="391"/>
      <c r="AI20" s="391"/>
      <c r="AJ20" s="391"/>
      <c r="AK20" s="391"/>
      <c r="AL20" s="391"/>
      <c r="AM20" s="391"/>
      <c r="AN20" s="356"/>
      <c r="AO20" s="355">
        <f>IFERROR((VLOOKUP(D20,StarPlayers!B:K,9,0)),0)</f>
        <v>0</v>
      </c>
      <c r="AP20" s="356"/>
      <c r="AQ20" s="432"/>
      <c r="AR20" s="27">
        <f t="shared" si="50"/>
        <v>0</v>
      </c>
      <c r="AS20" s="27"/>
      <c r="AT20" s="251"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1"/>
      <c r="AZ20" s="251"/>
      <c r="BA20" s="251"/>
      <c r="BB20" s="251"/>
      <c r="BC20" s="251"/>
      <c r="BD20" s="251"/>
      <c r="BE20" s="251"/>
      <c r="BF20" s="251"/>
      <c r="BG20" s="30"/>
      <c r="BH20" s="30"/>
      <c r="BI20" s="30"/>
      <c r="BJ20" s="30"/>
      <c r="BK20" s="30"/>
      <c r="BL20" s="251"/>
      <c r="BM20" s="224" t="s">
        <v>1383</v>
      </c>
      <c r="BN20" s="328" t="str">
        <f t="shared" si="20"/>
        <v>Norse GW</v>
      </c>
      <c r="BO20" s="224" t="s">
        <v>1383</v>
      </c>
      <c r="BP20" s="329"/>
      <c r="BQ20" s="224">
        <v>60000</v>
      </c>
      <c r="BR20" s="224">
        <v>50000</v>
      </c>
      <c r="BS20" s="224">
        <v>1</v>
      </c>
      <c r="BT20" s="316"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6" t="s">
        <v>1436</v>
      </c>
      <c r="BV20" s="316"/>
      <c r="BX20" s="29"/>
      <c r="BY20" s="29"/>
      <c r="BZ20" s="224" t="s">
        <v>1383</v>
      </c>
      <c r="CA20" s="224" t="s">
        <v>1401</v>
      </c>
      <c r="CB20" s="331" t="s">
        <v>1400</v>
      </c>
      <c r="CC20" s="261" t="s">
        <v>1402</v>
      </c>
      <c r="CD20" s="329"/>
      <c r="CE20" s="329"/>
      <c r="CF20" s="224" t="s">
        <v>1383</v>
      </c>
      <c r="CG20" s="261" t="s">
        <v>157</v>
      </c>
      <c r="CH20" s="261" t="s">
        <v>134</v>
      </c>
      <c r="CI20" s="261"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x14ac:dyDescent="0.2">
      <c r="A21" s="437"/>
      <c r="B21" s="438"/>
      <c r="C21" s="438"/>
      <c r="D21" s="404" t="str">
        <f>IF($K$25="Español","ESPÓNSOR","SPONSORS")</f>
        <v>SPONSORS</v>
      </c>
      <c r="E21" s="405"/>
      <c r="F21" s="405"/>
      <c r="G21" s="405"/>
      <c r="H21" s="405"/>
      <c r="I21" s="405"/>
      <c r="J21" s="405"/>
      <c r="K21" s="357" t="s">
        <v>126</v>
      </c>
      <c r="L21" s="358"/>
      <c r="M21" s="358"/>
      <c r="N21" s="358"/>
      <c r="O21" s="358"/>
      <c r="P21" s="358"/>
      <c r="Q21" s="358"/>
      <c r="R21" s="359"/>
      <c r="S21" s="360" t="str">
        <f>IF($K$25="Italiano","TIFOSI SFEGATAZI INIZIALI",(IF($K$25="Español","FANS DEVOTOS INICIALES",(IF($K$25="Deutsch","INITIAL TREUE FANS",(IF($K$25="Français","FANS DÉVOUÉS INITIAUX","INITIAL DEDICATED FANS")))))))</f>
        <v>INITIAL DEDICATED FANS</v>
      </c>
      <c r="T21" s="361"/>
      <c r="U21" s="361"/>
      <c r="V21" s="361"/>
      <c r="W21" s="362"/>
      <c r="X21" s="86">
        <v>1</v>
      </c>
      <c r="Y21" s="47" t="s">
        <v>127</v>
      </c>
      <c r="Z21" s="363">
        <v>10000</v>
      </c>
      <c r="AA21" s="364"/>
      <c r="AB21" s="48" t="str">
        <f t="shared" ref="AB21:AB31" si="51">IF($K$25="Español","mo",(IF($K$25="Deutsch","gm",(IF($K$25="Français","po","gp")))))</f>
        <v>gp</v>
      </c>
      <c r="AC21" s="365">
        <f>IFERROR(((IF(X21=0,0,(IF(X21=1,0,X21-1))))*Z21),0)</f>
        <v>0</v>
      </c>
      <c r="AD21" s="362"/>
      <c r="AE21" s="360" t="str">
        <f>IF($K$25="Italiano","REROLLS TOTALI",(IF($K$25="Español","SEGUNDAS OPORTUNIDADES TOTALES",(IF($K$25="Deutsch","TOTAL WIEDERHOLUNGSWÜRFE",(IF($K$25="Français","RELANCES TOTALES","TOTAL REROLLS")))))))</f>
        <v>TOTAL REROLLS</v>
      </c>
      <c r="AF21" s="361"/>
      <c r="AG21" s="361"/>
      <c r="AH21" s="361"/>
      <c r="AI21" s="362"/>
      <c r="AJ21" s="366">
        <f>AJ22+AJ23</f>
        <v>0</v>
      </c>
      <c r="AK21" s="361"/>
      <c r="AL21" s="361"/>
      <c r="AM21" s="361"/>
      <c r="AN21" s="361"/>
      <c r="AO21" s="361"/>
      <c r="AP21" s="362"/>
      <c r="AQ21" s="432"/>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8"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31" t="s">
        <v>135</v>
      </c>
      <c r="CC21" s="261" t="s">
        <v>136</v>
      </c>
      <c r="CD21" s="224"/>
      <c r="CE21" s="261"/>
      <c r="CF21" s="261" t="s">
        <v>133</v>
      </c>
      <c r="CG21" s="261" t="s">
        <v>108</v>
      </c>
      <c r="CH21" s="261" t="s">
        <v>141</v>
      </c>
      <c r="CI21" s="261"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x14ac:dyDescent="0.2">
      <c r="A22" s="439"/>
      <c r="B22" s="440"/>
      <c r="C22" s="440"/>
      <c r="D22" s="404" t="str">
        <f>IF($K$25="Italiano","STADIO",(IF($K$25="Español","ESTADIO",(IF($K$25="Deutsch","STADION",(IF($K$25="Français","STADE","STADIUM")))))))</f>
        <v>STADIUM</v>
      </c>
      <c r="E22" s="405"/>
      <c r="F22" s="405"/>
      <c r="G22" s="405"/>
      <c r="H22" s="405"/>
      <c r="I22" s="405"/>
      <c r="J22" s="405"/>
      <c r="K22" s="357" t="s">
        <v>1357</v>
      </c>
      <c r="L22" s="358"/>
      <c r="M22" s="358"/>
      <c r="N22" s="358"/>
      <c r="O22" s="358"/>
      <c r="P22" s="358"/>
      <c r="Q22" s="358"/>
      <c r="R22" s="359"/>
      <c r="S22" s="360"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APOTHECARY</v>
      </c>
      <c r="T22" s="361"/>
      <c r="U22" s="361"/>
      <c r="V22" s="361"/>
      <c r="W22" s="362"/>
      <c r="X22" s="86">
        <v>0</v>
      </c>
      <c r="Y22" s="47" t="s">
        <v>127</v>
      </c>
      <c r="Z22" s="363">
        <f>IFERROR(IF(OR(BP1="Necromantic",BP1="Shambling Undead",BP1="Nurgle"),100000,(VLOOKUP(BP1,BM:BR,6,0))),0)</f>
        <v>50000</v>
      </c>
      <c r="AA22" s="364"/>
      <c r="AB22" s="48" t="str">
        <f t="shared" si="51"/>
        <v>gp</v>
      </c>
      <c r="AC22" s="365">
        <f>IFERROR(X22*Z22,0)</f>
        <v>0</v>
      </c>
      <c r="AD22" s="362"/>
      <c r="AE22" s="360" t="str">
        <f>IF($K$25="Italiano","REROLLS INIZIALI",(IF($K$25="Español","SEGUNDAS OPORTUNIDADES INICIALES",(IF($K$25="Deutsch","INITIAL WIEDERHOLUNGSWÜRFE",(IF($K$25="Français","RELANCES INITIALES","INITIAL REROLLS")))))))</f>
        <v>INITIAL REROLLS</v>
      </c>
      <c r="AF22" s="361"/>
      <c r="AG22" s="361"/>
      <c r="AH22" s="361"/>
      <c r="AI22" s="362"/>
      <c r="AJ22" s="86">
        <v>0</v>
      </c>
      <c r="AK22" s="47" t="s">
        <v>127</v>
      </c>
      <c r="AL22" s="363">
        <f>IFERROR(VLOOKUP(BP1,BM:BQ,5,0),0)</f>
        <v>50000</v>
      </c>
      <c r="AM22" s="364"/>
      <c r="AN22" s="49" t="str">
        <f t="shared" ref="AN22:AN31" si="52">IF($K$25="Español","mo",(IF($K$25="Deutsch","gm",(IF($K$25="Français","po","gp")))))</f>
        <v>gp</v>
      </c>
      <c r="AO22" s="365">
        <f t="shared" ref="AO22:AO31" si="53">IFERROR(AJ22*AL22,0)</f>
        <v>0</v>
      </c>
      <c r="AP22" s="362"/>
      <c r="AQ22" s="432"/>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8"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9" t="s">
        <v>138</v>
      </c>
      <c r="BV22" s="29"/>
      <c r="BW22" s="29" t="s">
        <v>139</v>
      </c>
      <c r="BX22" s="29"/>
      <c r="BY22" s="29"/>
      <c r="BZ22" s="224" t="s">
        <v>137</v>
      </c>
      <c r="CA22" s="224" t="s">
        <v>140</v>
      </c>
      <c r="CB22" s="331" t="s">
        <v>141</v>
      </c>
      <c r="CC22" s="261" t="s">
        <v>142</v>
      </c>
      <c r="CD22" s="224"/>
      <c r="CE22" s="261"/>
      <c r="CF22" s="261" t="s">
        <v>137</v>
      </c>
      <c r="CG22" s="261" t="s">
        <v>130</v>
      </c>
      <c r="CH22" s="261" t="s">
        <v>146</v>
      </c>
      <c r="CI22" s="261"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x14ac:dyDescent="0.2">
      <c r="A23" s="439"/>
      <c r="B23" s="440"/>
      <c r="C23" s="440"/>
      <c r="D23" s="404" t="str">
        <f>IF($K$25="Italiano","RAZZA",(IF($K$25="Español","RAZA",(IF($K$25="Deutsch","RASSE",(IF($K$25="Français","TYPE D’ÉQUIPE","RACE")))))))</f>
        <v>RACE</v>
      </c>
      <c r="E23" s="405"/>
      <c r="F23" s="405"/>
      <c r="G23" s="405"/>
      <c r="H23" s="405"/>
      <c r="I23" s="405"/>
      <c r="J23" s="405"/>
      <c r="K23" s="410" t="s">
        <v>41</v>
      </c>
      <c r="L23" s="358"/>
      <c r="M23" s="358"/>
      <c r="N23" s="358"/>
      <c r="O23" s="358"/>
      <c r="P23" s="358"/>
      <c r="Q23" s="358"/>
      <c r="R23" s="359"/>
      <c r="S23" s="360" t="str">
        <f>IF($K$25="Español","ANIMADORAS",(IF($K$25="Deutsch","CHEERLEADER","CHEERLEADERS")))</f>
        <v>CHEERLEADERS</v>
      </c>
      <c r="T23" s="361"/>
      <c r="U23" s="361"/>
      <c r="V23" s="361"/>
      <c r="W23" s="362"/>
      <c r="X23" s="86">
        <v>0</v>
      </c>
      <c r="Y23" s="47" t="s">
        <v>127</v>
      </c>
      <c r="Z23" s="363">
        <v>10000</v>
      </c>
      <c r="AA23" s="364"/>
      <c r="AB23" s="48" t="str">
        <f t="shared" si="51"/>
        <v>gp</v>
      </c>
      <c r="AC23" s="365">
        <f t="shared" ref="AC23:AC31" si="54">IFERROR(X23*Z23,0)</f>
        <v>0</v>
      </c>
      <c r="AD23" s="362"/>
      <c r="AE23" s="360" t="str">
        <f>IF($K$25="Italiano","REROLLS ACQUISITI",(IF($K$25="Español","SEGUNDAS OPORTUNIDADES ADQUIRIDAS",(IF($K$25="Deutsch","GEKAUFTE WIEDERHOLUNGSWÜRFE",(IF($K$25="Français","RELANCES ACHETÉES","ACQUIRED REROLLS")))))))</f>
        <v>ACQUIRED REROLLS</v>
      </c>
      <c r="AF23" s="361"/>
      <c r="AG23" s="361"/>
      <c r="AH23" s="361"/>
      <c r="AI23" s="362"/>
      <c r="AJ23" s="86">
        <v>0</v>
      </c>
      <c r="AK23" s="47" t="s">
        <v>127</v>
      </c>
      <c r="AL23" s="363">
        <f>IFERROR((VLOOKUP(BP1,BM:BQ,5,0))*2,0)</f>
        <v>100000</v>
      </c>
      <c r="AM23" s="364"/>
      <c r="AN23" s="49" t="str">
        <f t="shared" si="52"/>
        <v>gp</v>
      </c>
      <c r="AO23" s="365">
        <f t="shared" si="53"/>
        <v>0</v>
      </c>
      <c r="AP23" s="362"/>
      <c r="AQ23" s="432"/>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8"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31" t="s">
        <v>146</v>
      </c>
      <c r="CC23" s="261" t="s">
        <v>147</v>
      </c>
      <c r="CD23" s="224"/>
      <c r="CE23" s="261"/>
      <c r="CF23" s="261" t="s">
        <v>143</v>
      </c>
      <c r="CG23" s="224" t="s">
        <v>1401</v>
      </c>
      <c r="CH23" s="261" t="s">
        <v>152</v>
      </c>
      <c r="CI23" s="261"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x14ac:dyDescent="0.2">
      <c r="A24" s="439"/>
      <c r="B24" s="440"/>
      <c r="C24" s="440"/>
      <c r="D24" s="404" t="str">
        <f>IF($K$25="Italiano","ALLENATORE CAPO",(IF($K$25="Español","ENTRENADOR",(IF($K$25="Deutsch","CHEFTRAINER",(IF($K$25="Français","COACH","HEAD COACH")))))))</f>
        <v>HEAD COACH</v>
      </c>
      <c r="E24" s="405"/>
      <c r="F24" s="405"/>
      <c r="G24" s="405"/>
      <c r="H24" s="405"/>
      <c r="I24" s="405"/>
      <c r="J24" s="405"/>
      <c r="K24" s="357"/>
      <c r="L24" s="358"/>
      <c r="M24" s="358"/>
      <c r="N24" s="358"/>
      <c r="O24" s="358"/>
      <c r="P24" s="358"/>
      <c r="Q24" s="358"/>
      <c r="R24" s="359"/>
      <c r="S24" s="360" t="str">
        <f>IF($K$25="Italiano","ASSISTENTI ALLENATORI",(IF($K$25="Español","AYUDANTES ENTRENADOR",(IF($K$25="Deutsch","TRAINERASSISTENTEN",(IF($K$25="Français","COACHS ASSIST","ASSISTANT COACHES")))))))</f>
        <v>ASSISTANT COACHES</v>
      </c>
      <c r="T24" s="361"/>
      <c r="U24" s="361"/>
      <c r="V24" s="361"/>
      <c r="W24" s="362"/>
      <c r="X24" s="86">
        <v>0</v>
      </c>
      <c r="Y24" s="47" t="s">
        <v>127</v>
      </c>
      <c r="Z24" s="363">
        <v>10000</v>
      </c>
      <c r="AA24" s="364"/>
      <c r="AB24" s="48" t="str">
        <f t="shared" si="51"/>
        <v>gp</v>
      </c>
      <c r="AC24" s="365">
        <f t="shared" si="54"/>
        <v>0</v>
      </c>
      <c r="AD24" s="362"/>
      <c r="AE24" s="426" t="str">
        <f>IF($K$25="Italiano","MAGO DEL CLIMA",(IF($K$25="Español","MAGO DEL TIEMPO",(IF($K$25="Deutsch","WETTERMAGIER",(IF($K$25="Français","MAGE MÉTÉO","WEATHER MAGE")))))))</f>
        <v>WEATHER MAGE</v>
      </c>
      <c r="AF24" s="361"/>
      <c r="AG24" s="361"/>
      <c r="AH24" s="361"/>
      <c r="AI24" s="362"/>
      <c r="AJ24" s="86">
        <v>0</v>
      </c>
      <c r="AK24" s="47" t="s">
        <v>127</v>
      </c>
      <c r="AL24" s="363">
        <v>30000</v>
      </c>
      <c r="AM24" s="364"/>
      <c r="AN24" s="48" t="str">
        <f t="shared" si="52"/>
        <v>gp</v>
      </c>
      <c r="AO24" s="365">
        <f t="shared" si="53"/>
        <v>0</v>
      </c>
      <c r="AP24" s="362"/>
      <c r="AQ24" s="432"/>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8"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31" t="s">
        <v>152</v>
      </c>
      <c r="CC24" s="261" t="s">
        <v>153</v>
      </c>
      <c r="CD24" s="224"/>
      <c r="CE24" s="333"/>
      <c r="CF24" s="261" t="s">
        <v>150</v>
      </c>
      <c r="CG24" s="261" t="s">
        <v>134</v>
      </c>
      <c r="CH24" s="261" t="s">
        <v>158</v>
      </c>
      <c r="CI24" s="261"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x14ac:dyDescent="0.2">
      <c r="A25" s="439"/>
      <c r="B25" s="440"/>
      <c r="C25" s="440"/>
      <c r="D25" s="404" t="str">
        <f>IF($K$25="Italiano","LINGUA",(IF($K$25="Español","IDIOMA",(IF($K$25="Deutsch","SPRACHE",(IF($K$25="Français","LANGUE","LANGUAGE")))))))</f>
        <v>LANGUAGE</v>
      </c>
      <c r="E25" s="405"/>
      <c r="F25" s="405"/>
      <c r="G25" s="405"/>
      <c r="H25" s="405"/>
      <c r="I25" s="405"/>
      <c r="J25" s="405"/>
      <c r="K25" s="430" t="s">
        <v>148</v>
      </c>
      <c r="L25" s="358"/>
      <c r="M25" s="358"/>
      <c r="N25" s="358"/>
      <c r="O25" s="358"/>
      <c r="P25" s="358"/>
      <c r="Q25" s="358"/>
      <c r="R25" s="359"/>
      <c r="S25" s="426" t="str">
        <f>IF($K$25="Italiano","FUSTI DI BLOODWEISER",(IF($K$25="Español","BARRILES BLOODWEISER",(IF($K$25="Français","FÛTS DE BLOODWEISER","BLOODWEISER KEGS")))))</f>
        <v>BLOODWEISER KEGS</v>
      </c>
      <c r="T25" s="361"/>
      <c r="U25" s="361"/>
      <c r="V25" s="361"/>
      <c r="W25" s="362"/>
      <c r="X25" s="86">
        <v>0</v>
      </c>
      <c r="Y25" s="47" t="s">
        <v>127</v>
      </c>
      <c r="Z25" s="363">
        <v>50000</v>
      </c>
      <c r="AA25" s="364"/>
      <c r="AB25" s="48" t="str">
        <f t="shared" si="51"/>
        <v>gp</v>
      </c>
      <c r="AC25" s="365">
        <f t="shared" si="54"/>
        <v>0</v>
      </c>
      <c r="AD25" s="362"/>
      <c r="AE25" s="377" t="s">
        <v>149</v>
      </c>
      <c r="AF25" s="358"/>
      <c r="AG25" s="358"/>
      <c r="AH25" s="358"/>
      <c r="AI25" s="359"/>
      <c r="AJ25" s="86">
        <v>0</v>
      </c>
      <c r="AK25" s="47" t="s">
        <v>127</v>
      </c>
      <c r="AL25" s="363">
        <f>IFERROR((VLOOKUP(AE25,BI59:BJ85,2,FALSE)),0)</f>
        <v>0</v>
      </c>
      <c r="AM25" s="364"/>
      <c r="AN25" s="48" t="str">
        <f t="shared" si="52"/>
        <v>gp</v>
      </c>
      <c r="AO25" s="365">
        <f t="shared" si="53"/>
        <v>0</v>
      </c>
      <c r="AP25" s="362"/>
      <c r="AQ25" s="432"/>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8"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31" t="s">
        <v>158</v>
      </c>
      <c r="CC25" s="261" t="s">
        <v>159</v>
      </c>
      <c r="CD25" s="224"/>
      <c r="CE25" s="261"/>
      <c r="CF25" s="261" t="s">
        <v>155</v>
      </c>
      <c r="CG25" s="261" t="s">
        <v>140</v>
      </c>
      <c r="CH25" s="261" t="s">
        <v>162</v>
      </c>
      <c r="CI25" s="261"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x14ac:dyDescent="0.2">
      <c r="A26" s="439"/>
      <c r="B26" s="440"/>
      <c r="C26" s="440"/>
      <c r="D26" s="404" t="str">
        <f>IF($K$25="Italiano","NOME SQUADRA",(IF($K$25="Español","NOMBRE DEL EQUIPO",(IF($K$25="Français","NOM D’ÉQUIPE","TEAM NAME")))))</f>
        <v>TEAM NAME</v>
      </c>
      <c r="E26" s="405"/>
      <c r="F26" s="405"/>
      <c r="G26" s="405"/>
      <c r="H26" s="405"/>
      <c r="I26" s="405"/>
      <c r="J26" s="405"/>
      <c r="K26" s="369"/>
      <c r="L26" s="361"/>
      <c r="M26" s="361"/>
      <c r="N26" s="361"/>
      <c r="O26" s="361"/>
      <c r="P26" s="361"/>
      <c r="Q26" s="361"/>
      <c r="R26" s="362"/>
      <c r="S26" s="360" t="str">
        <f>IF($K$25="Italiano","CARTE SPECIALI",(IF($K$25="Español","CARTA ESPECIAL",(IF($K$25="Deutsch","SONDERKARTEN",(IF($K$25="Français","CARTE SPECIALE","SPECIAL CARD")))))))</f>
        <v>SPECIAL CARD</v>
      </c>
      <c r="T26" s="361"/>
      <c r="U26" s="361"/>
      <c r="V26" s="361"/>
      <c r="W26" s="362"/>
      <c r="X26" s="86">
        <v>0</v>
      </c>
      <c r="Y26" s="47" t="s">
        <v>127</v>
      </c>
      <c r="Z26" s="363">
        <v>100000</v>
      </c>
      <c r="AA26" s="364"/>
      <c r="AB26" s="48" t="str">
        <f t="shared" si="51"/>
        <v>gp</v>
      </c>
      <c r="AC26" s="365">
        <f t="shared" si="54"/>
        <v>0</v>
      </c>
      <c r="AD26" s="362"/>
      <c r="AE26" s="377" t="s">
        <v>154</v>
      </c>
      <c r="AF26" s="358"/>
      <c r="AG26" s="358"/>
      <c r="AH26" s="358"/>
      <c r="AI26" s="359"/>
      <c r="AJ26" s="86">
        <v>0</v>
      </c>
      <c r="AK26" s="47" t="s">
        <v>127</v>
      </c>
      <c r="AL26" s="363">
        <f>IFERROR(VLOOKUP(AE26,BE59:BF85,2,FALSE),0)</f>
        <v>0</v>
      </c>
      <c r="AM26" s="364"/>
      <c r="AN26" s="48" t="str">
        <f t="shared" si="52"/>
        <v>gp</v>
      </c>
      <c r="AO26" s="365">
        <f t="shared" si="53"/>
        <v>0</v>
      </c>
      <c r="AP26" s="362"/>
      <c r="AQ26" s="432"/>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8"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31" t="s">
        <v>162</v>
      </c>
      <c r="CC26" s="261" t="s">
        <v>163</v>
      </c>
      <c r="CD26" s="224"/>
      <c r="CE26" s="261"/>
      <c r="CF26" s="261" t="s">
        <v>160</v>
      </c>
      <c r="CG26" s="261" t="s">
        <v>151</v>
      </c>
      <c r="CH26" s="261" t="s">
        <v>168</v>
      </c>
      <c r="CI26" s="261"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x14ac:dyDescent="0.2">
      <c r="A27" s="439"/>
      <c r="B27" s="440"/>
      <c r="C27" s="440"/>
      <c r="D27" s="404" t="str">
        <f>IF($K$25="Italiano","TIFOSI SFEGATATI",(IF($K$25="Español","FANS DEDICADOS",(IF($K$25="Deutsch","TREUE FANS",(IF($K$25="Français","FANS DÉVOUÉS","DEDICATED FANS")))))))</f>
        <v>DEDICATED FANS</v>
      </c>
      <c r="E27" s="405"/>
      <c r="F27" s="405"/>
      <c r="G27" s="405"/>
      <c r="H27" s="405"/>
      <c r="I27" s="405"/>
      <c r="J27" s="405"/>
      <c r="K27" s="450">
        <f>X21+Games!X2+Games!AC2</f>
        <v>1</v>
      </c>
      <c r="L27" s="403"/>
      <c r="M27" s="403"/>
      <c r="N27" s="403"/>
      <c r="O27" s="403"/>
      <c r="P27" s="403"/>
      <c r="Q27" s="403"/>
      <c r="R27" s="451"/>
      <c r="S27" s="427" t="str">
        <f>IF($K$25="Italiano","CHEERLEADERS AG. INT.",(IF($K$25="Español","ANIMADORAS TEMP.",(IF($K$25="Deutsch","ZEITARBEITS-CHEERLEADER",(IF($K$25="Français","CHEERLEADERS INTERIM.","TEMP. CHEERLEADERS")))))))</f>
        <v>TEMP. CHEERLEADERS</v>
      </c>
      <c r="T27" s="375"/>
      <c r="U27" s="375"/>
      <c r="V27" s="375"/>
      <c r="W27" s="428"/>
      <c r="X27" s="87">
        <v>0</v>
      </c>
      <c r="Y27" s="50" t="s">
        <v>127</v>
      </c>
      <c r="Z27" s="429">
        <v>20000</v>
      </c>
      <c r="AA27" s="376"/>
      <c r="AB27" s="51" t="str">
        <f t="shared" si="51"/>
        <v>gp</v>
      </c>
      <c r="AC27" s="365">
        <f t="shared" si="54"/>
        <v>0</v>
      </c>
      <c r="AD27" s="362"/>
      <c r="AE27" s="424" t="str">
        <f>BE59</f>
        <v>(IN)FAMOUS COACHES</v>
      </c>
      <c r="AF27" s="358"/>
      <c r="AG27" s="358"/>
      <c r="AH27" s="358"/>
      <c r="AI27" s="359"/>
      <c r="AJ27" s="86">
        <v>0</v>
      </c>
      <c r="AK27" s="47" t="s">
        <v>127</v>
      </c>
      <c r="AL27" s="363">
        <f>IFERROR(VLOOKUP(AE27,BE59:BF85,2,FALSE),0)</f>
        <v>0</v>
      </c>
      <c r="AM27" s="364"/>
      <c r="AN27" s="48" t="str">
        <f t="shared" si="52"/>
        <v>gp</v>
      </c>
      <c r="AO27" s="365">
        <f t="shared" si="53"/>
        <v>0</v>
      </c>
      <c r="AP27" s="362"/>
      <c r="AQ27" s="432"/>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8"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9" t="s">
        <v>166</v>
      </c>
      <c r="BV27" s="29"/>
      <c r="BW27" s="29"/>
      <c r="BX27" s="29"/>
      <c r="BY27" s="29"/>
      <c r="BZ27" s="224" t="s">
        <v>165</v>
      </c>
      <c r="CA27" s="224" t="s">
        <v>167</v>
      </c>
      <c r="CB27" s="331" t="s">
        <v>168</v>
      </c>
      <c r="CC27" s="261" t="s">
        <v>169</v>
      </c>
      <c r="CD27" s="224"/>
      <c r="CE27" s="261"/>
      <c r="CF27" s="261" t="s">
        <v>165</v>
      </c>
      <c r="CG27" s="261" t="s">
        <v>50</v>
      </c>
      <c r="CH27" s="261" t="s">
        <v>173</v>
      </c>
      <c r="CI27" s="261"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x14ac:dyDescent="0.2">
      <c r="A28" s="439"/>
      <c r="B28" s="440"/>
      <c r="C28" s="440"/>
      <c r="D28" s="404" t="str">
        <f>IF($K$25="Italiano","COSTI INCENTIVI &amp; EXTRA",(IF($K$25="Español","COSTE INCENTIVOS Y EXTRAS",(IF($K$25="Deutsch","GESAMTER TEAMWERT &amp; EXTRAS",(IF($K$25="Français","COUPS DE POUCES &amp; STAFF","COST INDUCEMENTS &amp; EXTRAS")))))))</f>
        <v>COST INDUCEMENTS &amp; EXTRAS</v>
      </c>
      <c r="E28" s="405"/>
      <c r="F28" s="405"/>
      <c r="G28" s="405"/>
      <c r="H28" s="405"/>
      <c r="I28" s="405"/>
      <c r="J28" s="405"/>
      <c r="K28" s="400">
        <f>(SUM(AC21:AD31,AO22:AP31,AO18:AP20))/1000</f>
        <v>0</v>
      </c>
      <c r="L28" s="361"/>
      <c r="M28" s="361"/>
      <c r="N28" s="364"/>
      <c r="O28" s="52" t="str">
        <f>IF($K$25="Español","k mo",(IF($K$25="Deutsch","k gm",(IF($K$25="Français","k po","k gp")))))</f>
        <v>k gp</v>
      </c>
      <c r="P28" s="52"/>
      <c r="Q28" s="52"/>
      <c r="R28" s="53"/>
      <c r="S28" s="360" t="str">
        <f>IF($K$25="Italiano","ASSISTENTI ALLENATORI P.T.",(IF($K$25="Español","AYUDANTES ENTRENADOR T.P.",(IF($K$25="Deutsch","TEILZEIT-TRAINERASSISTENTEN",(IF($K$25="Français","COACHS ASSIST INTERIM.","P.T. ASSISTANT COACHES")))))))</f>
        <v>P.T. ASSISTANT COACHES</v>
      </c>
      <c r="T28" s="361"/>
      <c r="U28" s="361"/>
      <c r="V28" s="361"/>
      <c r="W28" s="362"/>
      <c r="X28" s="86">
        <v>0</v>
      </c>
      <c r="Y28" s="47" t="s">
        <v>127</v>
      </c>
      <c r="Z28" s="363">
        <v>20000</v>
      </c>
      <c r="AA28" s="364"/>
      <c r="AB28" s="48" t="str">
        <f t="shared" si="51"/>
        <v>gp</v>
      </c>
      <c r="AC28" s="365">
        <f t="shared" si="54"/>
        <v>0</v>
      </c>
      <c r="AD28" s="362"/>
      <c r="AE28" s="424" t="s">
        <v>164</v>
      </c>
      <c r="AF28" s="358"/>
      <c r="AG28" s="358"/>
      <c r="AH28" s="358"/>
      <c r="AI28" s="359"/>
      <c r="AJ28" s="86">
        <v>0</v>
      </c>
      <c r="AK28" s="47" t="s">
        <v>127</v>
      </c>
      <c r="AL28" s="363">
        <f>IFERROR(VLOOKUP(AE28,BM59:BN85,2,FALSE),0)</f>
        <v>0</v>
      </c>
      <c r="AM28" s="364"/>
      <c r="AN28" s="48" t="str">
        <f t="shared" si="52"/>
        <v>gp</v>
      </c>
      <c r="AO28" s="365">
        <f t="shared" si="53"/>
        <v>0</v>
      </c>
      <c r="AP28" s="362"/>
      <c r="AQ28" s="432"/>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8"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31" t="s">
        <v>173</v>
      </c>
      <c r="CC28" s="261" t="s">
        <v>174</v>
      </c>
      <c r="CD28" s="261"/>
      <c r="CE28" s="261"/>
      <c r="CF28" s="261" t="s">
        <v>171</v>
      </c>
      <c r="CG28" s="261" t="s">
        <v>67</v>
      </c>
      <c r="CH28" s="261" t="s">
        <v>178</v>
      </c>
      <c r="CI28" s="261"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x14ac:dyDescent="0.2">
      <c r="A29" s="439"/>
      <c r="B29" s="440"/>
      <c r="C29" s="440"/>
      <c r="D29" s="404" t="str">
        <f>IF($K$25="Italiano","COSTO GIOCATORI",(IF($K$25="Español","PRECIO JUGADORES",(IF($K$25="Deutsch","WERT SPIELER",(IF($K$25="Français","VALEUR DES JOUEURS","COST PLAYERS")))))))</f>
        <v>COST PLAYERS</v>
      </c>
      <c r="E29" s="405"/>
      <c r="F29" s="405"/>
      <c r="G29" s="405"/>
      <c r="H29" s="405"/>
      <c r="I29" s="405"/>
      <c r="J29" s="405"/>
      <c r="K29" s="400">
        <f>(SUM(AO2:AP17))/1000</f>
        <v>0</v>
      </c>
      <c r="L29" s="361"/>
      <c r="M29" s="361"/>
      <c r="N29" s="364"/>
      <c r="O29" s="401" t="str">
        <f>IF($K$25="Español","k mo",(IF($K$25="Deutsch","k gm",(IF($K$25="Français","k po","k gp")))))</f>
        <v>k gp</v>
      </c>
      <c r="P29" s="361"/>
      <c r="Q29" s="361"/>
      <c r="R29" s="362"/>
      <c r="S29" s="360" t="str">
        <f>IF($K$25="Italiano","MAZZETTE",(IF($K$25="Español","SOBORNOS",(IF($K$25="Deutsch","BESTECHUNGEN",(IF($K$25="Français","POTS-DE-VIN","BRIBES")))))))</f>
        <v>BRIBES</v>
      </c>
      <c r="T29" s="361"/>
      <c r="U29" s="361"/>
      <c r="V29" s="361"/>
      <c r="W29" s="362"/>
      <c r="X29" s="86">
        <v>0</v>
      </c>
      <c r="Y29" s="47" t="s">
        <v>127</v>
      </c>
      <c r="Z29" s="363">
        <f>IFERROR(IF(BW2="Bribery and Corruption",50000,100000),100000)</f>
        <v>100000</v>
      </c>
      <c r="AA29" s="364"/>
      <c r="AB29" s="48" t="str">
        <f t="shared" si="51"/>
        <v>gp</v>
      </c>
      <c r="AC29" s="365">
        <f t="shared" si="54"/>
        <v>0</v>
      </c>
      <c r="AD29" s="362"/>
      <c r="AE29" s="424" t="s">
        <v>170</v>
      </c>
      <c r="AF29" s="358"/>
      <c r="AG29" s="358"/>
      <c r="AH29" s="358"/>
      <c r="AI29" s="359"/>
      <c r="AJ29" s="86">
        <v>0</v>
      </c>
      <c r="AK29" s="47" t="s">
        <v>127</v>
      </c>
      <c r="AL29" s="363">
        <f>IFERROR(VLOOKUP(AE29,BP60:BQ86,2,FALSE),0)</f>
        <v>0</v>
      </c>
      <c r="AM29" s="364"/>
      <c r="AN29" s="48" t="str">
        <f t="shared" si="52"/>
        <v>gp</v>
      </c>
      <c r="AO29" s="365">
        <f t="shared" si="53"/>
        <v>0</v>
      </c>
      <c r="AP29" s="362"/>
      <c r="AQ29" s="432"/>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8"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31" t="s">
        <v>178</v>
      </c>
      <c r="CC29" s="261" t="s">
        <v>179</v>
      </c>
      <c r="CD29" s="261"/>
      <c r="CE29" s="261"/>
      <c r="CF29" s="261" t="s">
        <v>175</v>
      </c>
      <c r="CG29" s="261" t="s">
        <v>167</v>
      </c>
      <c r="CH29" s="261" t="s">
        <v>183</v>
      </c>
      <c r="CI29" s="261"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x14ac:dyDescent="0.2">
      <c r="A30" s="439"/>
      <c r="B30" s="440"/>
      <c r="C30" s="440"/>
      <c r="D30" s="404" t="str">
        <f>IF($K$25="Italiano","COSTO TOTALE SQUADRA",(IF($K$25="Español","PRECIO TOTAL EQUIPO",(IF($K$25="Deutsch","GESAMTER TEAMWERT",(IF($K$25="Français","VALEUR D’ÉQUIPE","TOTAL TEAM COST")))))))</f>
        <v>TOTAL TEAM COST</v>
      </c>
      <c r="E30" s="405"/>
      <c r="F30" s="405"/>
      <c r="G30" s="405"/>
      <c r="H30" s="405"/>
      <c r="I30" s="405"/>
      <c r="J30" s="405"/>
      <c r="K30" s="400">
        <f>K28+K29</f>
        <v>0</v>
      </c>
      <c r="L30" s="361"/>
      <c r="M30" s="361"/>
      <c r="N30" s="364"/>
      <c r="O30" s="401" t="str">
        <f>IF($K$25="Español","k mo",(IF($K$25="Deutsch","k gm",(IF($K$25="Français","k po","k gp")))))</f>
        <v>k gp</v>
      </c>
      <c r="P30" s="361"/>
      <c r="Q30" s="361"/>
      <c r="R30" s="362"/>
      <c r="S30" s="360" t="str">
        <f>IF($K$25="Italiano","CAPOCUOCO",(IF($K$25="Español","MASTER CHEF",(IF($K$25="Deutsch","HALBLING-MEISTERKOCH",(IF($K$25="Français","CHEF CUISTOT","MASTER CHEF")))))))</f>
        <v>MASTER CHEF</v>
      </c>
      <c r="T30" s="361"/>
      <c r="U30" s="361"/>
      <c r="V30" s="361"/>
      <c r="W30" s="362"/>
      <c r="X30" s="86">
        <v>0</v>
      </c>
      <c r="Y30" s="47" t="s">
        <v>127</v>
      </c>
      <c r="Z30" s="363">
        <f>IFERROR(IF(OR(BP1="Halfling",BP1="Halflings",BP1="Halflinge"),100000,300000),300000)</f>
        <v>300000</v>
      </c>
      <c r="AA30" s="364"/>
      <c r="AB30" s="49" t="str">
        <f t="shared" si="51"/>
        <v>gp</v>
      </c>
      <c r="AC30" s="365">
        <f t="shared" si="54"/>
        <v>0</v>
      </c>
      <c r="AD30" s="362"/>
      <c r="AE30" s="360" t="str">
        <f>IF($K$25="Italiano","ALLENAMIENTO INTENSIVO",(IF($K$25="Español","ENTRENAMIENTO EXTRA",(IF($K$25="Deutsch","ZUSÄTZLICHES TRAINING",(IF($K$25="Français","ENTRAÎNEMENT SUPP.","EXTRA TEAM TRAINING")))))))</f>
        <v>EXTRA TEAM TRAINING</v>
      </c>
      <c r="AF30" s="361"/>
      <c r="AG30" s="361"/>
      <c r="AH30" s="361"/>
      <c r="AI30" s="362"/>
      <c r="AJ30" s="86">
        <v>0</v>
      </c>
      <c r="AK30" s="47" t="s">
        <v>127</v>
      </c>
      <c r="AL30" s="363">
        <v>100000</v>
      </c>
      <c r="AM30" s="364"/>
      <c r="AN30" s="49" t="str">
        <f t="shared" si="52"/>
        <v>gp</v>
      </c>
      <c r="AO30" s="365">
        <f t="shared" si="53"/>
        <v>0</v>
      </c>
      <c r="AP30" s="362"/>
      <c r="AQ30" s="432"/>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8"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31" t="s">
        <v>183</v>
      </c>
      <c r="CC30" s="261" t="s">
        <v>184</v>
      </c>
      <c r="CD30" s="261"/>
      <c r="CE30" s="261"/>
      <c r="CF30" s="261" t="s">
        <v>180</v>
      </c>
      <c r="CG30" s="261" t="s">
        <v>161</v>
      </c>
      <c r="CH30" s="261" t="s">
        <v>188</v>
      </c>
      <c r="CI30" s="261"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x14ac:dyDescent="0.2">
      <c r="A31" s="439"/>
      <c r="B31" s="440"/>
      <c r="C31" s="440"/>
      <c r="D31" s="404" t="str">
        <f>IF($K$25="Italiano","TESORERIA",(IF($K$25="Español","TESORERÍA",(IF($K$25="Deutsch","TEAMKASSE",(IF($K$25="Français","TRÉSORERIE","TREASURY")))))))</f>
        <v>TREASURY</v>
      </c>
      <c r="E31" s="405"/>
      <c r="F31" s="405"/>
      <c r="G31" s="405"/>
      <c r="H31" s="405"/>
      <c r="I31" s="405"/>
      <c r="J31" s="405"/>
      <c r="K31" s="400">
        <f>(((Games!AC3+Games!Z2-Games!Y2)+(SUM(AH37:AI52))-(SUM(AB37:AC52))-(SUM('Dead &amp; Retired Players'!AJ3:AK32)))/1000)-K30</f>
        <v>1000</v>
      </c>
      <c r="L31" s="361"/>
      <c r="M31" s="361"/>
      <c r="N31" s="364"/>
      <c r="O31" s="401" t="str">
        <f>IF($K$25="Español","k mo",(IF($K$25="Deutsch","k gm",(IF($K$25="Français","k po","k gp")))))</f>
        <v>k gp</v>
      </c>
      <c r="P31" s="361"/>
      <c r="Q31" s="361"/>
      <c r="R31" s="362"/>
      <c r="S31" s="402" t="str">
        <f>IF($K$25="Italiano","ESORDIENTI RIBELLI",(IF($K$25="Español","NOVATOS ALBOROTADORES",(IF($K$25="Deutsch","RANDALIERENDE NEULINGE",(IF($K$25="Français","DÉBUTANTS DÉCHAINÉS","RIOTOUS ROOKIES")))))))</f>
        <v>RIOTOUS ROOKIES</v>
      </c>
      <c r="T31" s="361"/>
      <c r="U31" s="361"/>
      <c r="V31" s="361"/>
      <c r="W31" s="362"/>
      <c r="X31" s="86">
        <v>0</v>
      </c>
      <c r="Y31" s="47" t="s">
        <v>127</v>
      </c>
      <c r="Z31" s="363">
        <f>IFERROR(IF(BX2="LowCost",100000,0),0)</f>
        <v>0</v>
      </c>
      <c r="AA31" s="364"/>
      <c r="AB31" s="49" t="str">
        <f t="shared" si="51"/>
        <v>gp</v>
      </c>
      <c r="AC31" s="365">
        <f t="shared" si="54"/>
        <v>0</v>
      </c>
      <c r="AD31" s="362"/>
      <c r="AE31" s="360" t="str">
        <f>IF($K$25="Italiano","MEDICI VAGABONDI",(IF($K$25="Español","MÉDICO ERRANTE",(IF($K$25="Deutsch","WANDERNDER SANITÄTER",(IF($K$25="Français","APO ITINÉRANT","WANDERING APO")))))))</f>
        <v>WANDERING APO</v>
      </c>
      <c r="AF31" s="361"/>
      <c r="AG31" s="361"/>
      <c r="AH31" s="361"/>
      <c r="AI31" s="362"/>
      <c r="AJ31" s="86">
        <v>0</v>
      </c>
      <c r="AK31" s="47" t="s">
        <v>127</v>
      </c>
      <c r="AL31" s="363">
        <f>IFERROR(IF(Z22=0,0,100000),0)</f>
        <v>100000</v>
      </c>
      <c r="AM31" s="364"/>
      <c r="AN31" s="49" t="str">
        <f t="shared" si="52"/>
        <v>gp</v>
      </c>
      <c r="AO31" s="365">
        <f t="shared" si="53"/>
        <v>0</v>
      </c>
      <c r="AP31" s="362"/>
      <c r="AQ31" s="432"/>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8"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31" t="s">
        <v>188</v>
      </c>
      <c r="CC31" s="261" t="s">
        <v>189</v>
      </c>
      <c r="CD31" s="332"/>
      <c r="CE31" s="261"/>
      <c r="CF31" s="261" t="s">
        <v>186</v>
      </c>
      <c r="CG31" s="261" t="s">
        <v>172</v>
      </c>
      <c r="CH31" s="261" t="s">
        <v>193</v>
      </c>
      <c r="CI31" s="261"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x14ac:dyDescent="0.2">
      <c r="A32" s="441"/>
      <c r="B32" s="442"/>
      <c r="C32" s="442"/>
      <c r="D32" s="404" t="str">
        <f>IF($K$25="Italiano","VALORE SQUADRA",(IF($K$25="Español","VALOR DEL EQUIPO",(IF($K$25="Deutsch","TEAMWERT",(IF($K$25="Français","VALEUR D’ÉQUIPE ACTUELLE","TEAM VALUE")))))))</f>
        <v>TEAM VALUE</v>
      </c>
      <c r="E32" s="405"/>
      <c r="F32" s="405"/>
      <c r="G32" s="405"/>
      <c r="H32" s="405"/>
      <c r="I32" s="405"/>
      <c r="J32" s="405"/>
      <c r="K32" s="403">
        <f>(K28-(AC21/1000)+(SUM(AR2:AR17))-(AO23/2000))</f>
        <v>0</v>
      </c>
      <c r="L32" s="361"/>
      <c r="M32" s="361"/>
      <c r="N32" s="361"/>
      <c r="O32" s="361"/>
      <c r="P32" s="361"/>
      <c r="Q32" s="361"/>
      <c r="R32" s="362"/>
      <c r="S32" s="402" t="str">
        <f>IF($K$25="Italiano","REGOLE SPECIALI",(IF($K$25="Español","REGLA ESPECIAL",(IF($K$25="Deutsch","SONDERREGELN",(IF($K$25="Français","RÈGLES SPÉCIALES","SPECIAL RULES")))))))</f>
        <v>SPECIAL RULES</v>
      </c>
      <c r="T32" s="361"/>
      <c r="U32" s="361"/>
      <c r="V32" s="361"/>
      <c r="W32" s="362"/>
      <c r="X32" s="421" t="str">
        <f>IFERROR(VLOOKUP(BP1,BM:BV,8,0),"")</f>
        <v>Lustrian Superleague</v>
      </c>
      <c r="Y32" s="361"/>
      <c r="Z32" s="361"/>
      <c r="AA32" s="361"/>
      <c r="AB32" s="361"/>
      <c r="AC32" s="361"/>
      <c r="AD32" s="361"/>
      <c r="AE32" s="361"/>
      <c r="AF32" s="361"/>
      <c r="AG32" s="361"/>
      <c r="AH32" s="361"/>
      <c r="AI32" s="361"/>
      <c r="AJ32" s="364"/>
      <c r="AK32" s="422" t="s">
        <v>185</v>
      </c>
      <c r="AL32" s="361"/>
      <c r="AM32" s="364"/>
      <c r="AN32" s="423"/>
      <c r="AO32" s="361"/>
      <c r="AP32" s="362"/>
      <c r="AQ32" s="432"/>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8"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31" t="s">
        <v>193</v>
      </c>
      <c r="CC32" s="261" t="s">
        <v>194</v>
      </c>
      <c r="CD32" s="332"/>
      <c r="CE32" s="261"/>
      <c r="CF32" s="261" t="s">
        <v>190</v>
      </c>
      <c r="CG32" s="261" t="s">
        <v>187</v>
      </c>
      <c r="CH32" s="261" t="s">
        <v>79</v>
      </c>
      <c r="CI32" s="261"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x14ac:dyDescent="0.2">
      <c r="A33" s="443" t="str">
        <f>IF(K25="Italiano","5.0 - Creato da dreamscreator",(IF(K25="Español","v5.0 - Creado por dreamscreator",(IF(K25="Deutsch","v5.0 - Erstellt von dreamscreator",(IF(K25="Français","v5.0 Créé par dreamscreator","v5.0 - Created by dreamscreator")))))))</f>
        <v>v5.0 - Created by dreamscreator</v>
      </c>
      <c r="B33" s="372"/>
      <c r="C33" s="373"/>
      <c r="D33" s="371"/>
      <c r="E33" s="371"/>
      <c r="F33" s="371"/>
      <c r="G33" s="370" t="str">
        <f>B60&amp;B61&amp;B62&amp;B63&amp;B64&amp;B65&amp;B66</f>
        <v/>
      </c>
      <c r="H33" s="371"/>
      <c r="I33" s="371"/>
      <c r="J33" s="371"/>
      <c r="K33" s="372"/>
      <c r="L33" s="372"/>
      <c r="M33" s="372"/>
      <c r="N33" s="372"/>
      <c r="O33" s="372"/>
      <c r="P33" s="372"/>
      <c r="Q33" s="372"/>
      <c r="R33" s="372"/>
      <c r="S33" s="372"/>
      <c r="T33" s="372"/>
      <c r="U33" s="372"/>
      <c r="V33" s="372"/>
      <c r="W33" s="372"/>
      <c r="X33" s="372"/>
      <c r="Y33" s="372"/>
      <c r="Z33" s="372"/>
      <c r="AA33" s="372"/>
      <c r="AB33" s="372"/>
      <c r="AC33" s="372"/>
      <c r="AD33" s="372"/>
      <c r="AE33" s="372"/>
      <c r="AF33" s="372"/>
      <c r="AG33" s="372"/>
      <c r="AH33" s="372"/>
      <c r="AI33" s="372"/>
      <c r="AJ33" s="372"/>
      <c r="AK33" s="372"/>
      <c r="AL33" s="372"/>
      <c r="AM33" s="372"/>
      <c r="AN33" s="372"/>
      <c r="AO33" s="372"/>
      <c r="AP33" s="373"/>
      <c r="AQ33" s="432"/>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x14ac:dyDescent="0.2">
      <c r="A34" s="444" t="str">
        <f>IF(K25="Italiano","Tradotto da Leonida https://bloodbowlhelp.wordpress.com",(IF(K25="Deutsch","Übersetzt von Coach Grong https://bloodbowlhelp.wordpress.com",(IF(K25="Français","Traduit par Fennec https://bloodbowlhelp.wordpress.com","https://bloodbowlhelp.wordpress.com")))))</f>
        <v>https://bloodbowlhelp.wordpress.com</v>
      </c>
      <c r="B34" s="375"/>
      <c r="C34" s="409"/>
      <c r="D34" s="375"/>
      <c r="E34" s="375"/>
      <c r="F34" s="376"/>
      <c r="G34" s="374" t="str">
        <f>IF(K25="Italiano","AVANZAMIENTO GIOCATORI",(IF(K25="Español","MEJORAS DE LOS JUGADORES",(IF(K25="Deutsch","SPIELERVERBESSERUNGEN",(IF(K25="Français","AMÉLIORATIONS DE JOUEURS","PLAYERS UPGRADES")))))))</f>
        <v>PLAYERS UPGRADES</v>
      </c>
      <c r="H34" s="375"/>
      <c r="I34" s="375"/>
      <c r="J34" s="375"/>
      <c r="K34" s="375"/>
      <c r="L34" s="375"/>
      <c r="M34" s="375"/>
      <c r="N34" s="375"/>
      <c r="O34" s="375"/>
      <c r="P34" s="375"/>
      <c r="Q34" s="375"/>
      <c r="R34" s="375"/>
      <c r="S34" s="375"/>
      <c r="T34" s="375"/>
      <c r="U34" s="375"/>
      <c r="V34" s="375"/>
      <c r="W34" s="375"/>
      <c r="X34" s="375"/>
      <c r="Y34" s="375"/>
      <c r="Z34" s="375"/>
      <c r="AA34" s="375"/>
      <c r="AB34" s="375"/>
      <c r="AC34" s="375"/>
      <c r="AD34" s="375"/>
      <c r="AE34" s="375"/>
      <c r="AF34" s="375"/>
      <c r="AG34" s="375"/>
      <c r="AH34" s="375"/>
      <c r="AI34" s="375"/>
      <c r="AJ34" s="375"/>
      <c r="AK34" s="376"/>
      <c r="AL34" s="55"/>
      <c r="AM34" s="55"/>
      <c r="AN34" s="55"/>
      <c r="AO34" s="55"/>
      <c r="AP34" s="55"/>
      <c r="AQ34" s="432"/>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x14ac:dyDescent="0.2">
      <c r="A35" s="435" t="s">
        <v>29</v>
      </c>
      <c r="B35" s="435" t="str">
        <f>IF($K$25="Italiano","TIPO",(IF($K$25="Español","TIPO",(IF($K$25="Deutsch","POSITION",(IF($K$25="Français","POSTE","TYPE")))))))</f>
        <v>TYPE</v>
      </c>
      <c r="C35" s="435" t="str">
        <f>IF($K$25="Italiano","Avanzamento 1",(IF($K$25="Español","Mejora 1",(IF($K$25="Deutsch","Verbes- serung 1",(IF($K$25="Français","Amélioration 1","Upgrade 1")))))))</f>
        <v>Upgrade 1</v>
      </c>
      <c r="D35" s="380" t="str">
        <f>IF($K$25="Italiano","Scelto o Casuale",(IF($K$25="Español","Elegida o Aleatoria",(IF($K$25="Deutsch","Ausge- wählt oder zufällig",(IF($K$25="Français","Choisie ou Aléatoire ","Chosen or Random")))))))</f>
        <v>Chosen or Random</v>
      </c>
      <c r="E35" s="381"/>
      <c r="F35" s="380" t="str">
        <f>IF($K$25="Italiano","Avanzamento 2",(IF($K$25="Español","Mejora 2",(IF($K$25="Deutsch","Verbes- serung 2",(IF($K$25="Français","Amélioration 2","Upgrade 2")))))))</f>
        <v>Upgrade 2</v>
      </c>
      <c r="G35" s="381"/>
      <c r="H35" s="380" t="str">
        <f>IF($K$25="Italiano","Scelto o Casuale",(IF($K$25="Español","Elegida o Aleatoria",(IF($K$25="Deutsch","Ausge- wählt oder zufällig",(IF($K$25="Français","Choisie ou Aléatoire ","Chosen or Random")))))))</f>
        <v>Chosen or Random</v>
      </c>
      <c r="I35" s="408"/>
      <c r="J35" s="408"/>
      <c r="K35" s="381"/>
      <c r="L35" s="380" t="str">
        <f>IF($K$25="Italiano","Avanzamento 3",(IF($K$25="Español","Mejora 3",(IF($K$25="Deutsch","Verbes- serung 3",(IF($K$25="Français","Amélioration 3","Upgrade 3")))))))</f>
        <v>Upgrade 3</v>
      </c>
      <c r="M35" s="381"/>
      <c r="N35" s="380" t="str">
        <f>IF($K$25="Italiano","Scelto o Casuale",(IF($K$25="Español","Elegida o Aleatoria",(IF($K$25="Deutsch","Ausge- wählt oder zufällig",(IF($K$25="Français","Choisie ou Aléatoire ","Chosen or Random")))))))</f>
        <v>Chosen or Random</v>
      </c>
      <c r="O35" s="381"/>
      <c r="P35" s="380" t="str">
        <f>IF($K$25="Italiano","Avanzamento 4",(IF($K$25="Español","Mejora 4",(IF($K$25="Deutsch","Verbes- serung 4",(IF($K$25="Français","Amélioration 4","Upgrade 4")))))))</f>
        <v>Upgrade 4</v>
      </c>
      <c r="Q35" s="381"/>
      <c r="R35" s="380" t="str">
        <f>IF($K$25="Italiano","Scelto o Casuale",(IF($K$25="Español","Elegida o Aleatoria",(IF($K$25="Deutsch","Ausge- wählt oder zufällig",(IF($K$25="Français","Choisie ou Aléatoire ","Chosen or Random")))))))</f>
        <v>Chosen or Random</v>
      </c>
      <c r="S35" s="381"/>
      <c r="T35" s="380" t="str">
        <f>IF($K$25="Italiano","Avanzamento 5",(IF($K$25="Español","Mejora 5",(IF($K$25="Deutsch","Verbes- serung 5",(IF($K$25="Français","Amélioration 5","Upgrade 5")))))))</f>
        <v>Upgrade 5</v>
      </c>
      <c r="U35" s="381"/>
      <c r="V35" s="380" t="str">
        <f>IF($K$25="Italiano","Scelto o Casuale",(IF($K$25="Español","Elegida o Aleatoria",(IF($K$25="Deutsch","Ausge- wählt oder zufällig",(IF($K$25="Français","Choisie ou Aléatoire ","Chosen or Random")))))))</f>
        <v>Chosen or Random</v>
      </c>
      <c r="W35" s="381"/>
      <c r="X35" s="380" t="str">
        <f>IF($K$25="Italiano","Avanzamento 6",(IF($K$25="Español","Mejora 6",(IF($K$25="Deutsch","Verbes- serung 6",(IF($K$25="Français","Amélioration 6","Upgrade 6")))))))</f>
        <v>Upgrade 6</v>
      </c>
      <c r="Y35" s="381"/>
      <c r="Z35" s="380" t="str">
        <f>IF($K$25="Italiano","Scelto o Casuale",(IF($K$25="Español","Elegida o Aleatoria",(IF($K$25="Deutsch","Ausge- wählt oder zufällig",(IF($K$25="Français","Choisie ou Aléatoire ","Chosen or Random")))))))</f>
        <v>Chosen or Random</v>
      </c>
      <c r="AA35" s="381"/>
      <c r="AB35" s="380" t="str">
        <f>IF($K$25="Italiano","Tassa di agenzia di ricontratto",(IF($K$25="Español","Tasa Agencia Recontratar",(IF($K$25="Deutsch","Gebühr für die Neuvergabe einer Agentur",(IF($K$25="Français","Frais d'agence pour le recontrat","Fee Agency Redraft")))))))</f>
        <v>Fee Agency Redraft</v>
      </c>
      <c r="AC35" s="381"/>
      <c r="AD35" s="380" t="str">
        <f>IF($K$25="Italiano","Modifica Manuale Valore",(IF($K$25="Español","Modificar valor manual",(IF($K$25="Deutsch","Manuelle Wertän- derung",(IF($K$25="Français","Modif. manuelle de Valeur","Manual Modify Value")))))))</f>
        <v>Manual Modify Value</v>
      </c>
      <c r="AE35" s="381"/>
      <c r="AF35" s="380" t="str">
        <f>IF($K$25="Italiano","Modifica Manuale SPP",(IF($K$25="Español","Modificar SPP manual",(IF($K$25="Deutsch","Manuelle SPP derung",(IF($K$25="Français","Modif. manuelle de SPP","Manual Modify SPP")))))))</f>
        <v>Manual Modify SPP</v>
      </c>
      <c r="AG35" s="381"/>
      <c r="AH35" s="380" t="str">
        <f>IF($K$25="Italiano","Valore Extra",(IF($K$25="Español","Valor extra",(IF($K$25="Deutsch","Extra Wert",(IF($K$25="Français","Hausse de Valeur","Value Extra")))))))</f>
        <v>Value Extra</v>
      </c>
      <c r="AI35" s="381"/>
      <c r="AJ35" s="415" t="str">
        <f>IF($K$25="Italiano","Costo SPP",(IF($K$25="Español","Coste",(IF($K$25="Deutsch","Σ SPP",(IF($K$25="Français","Coût en PSP","SPP Cost")))))))</f>
        <v>SPP Cost</v>
      </c>
      <c r="AK35" s="417" t="str">
        <f>IF($K$25="Italiano","Infortuni",(IF($K$25="Español","Lesiones",(IF($K$25="Deutsch","Verletzungen",(IF($K$25="Français","Blessures","Injuries")))))))</f>
        <v>Injuries</v>
      </c>
      <c r="AL35" s="361"/>
      <c r="AM35" s="361"/>
      <c r="AN35" s="361"/>
      <c r="AO35" s="361"/>
      <c r="AP35" s="362"/>
      <c r="AQ35" s="432"/>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8"/>
      <c r="CG35" s="248"/>
      <c r="CH35" s="248"/>
      <c r="CI35" s="248"/>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x14ac:dyDescent="0.2">
      <c r="A36" s="445"/>
      <c r="B36" s="436"/>
      <c r="C36" s="436"/>
      <c r="D36" s="382"/>
      <c r="E36" s="383"/>
      <c r="F36" s="382"/>
      <c r="G36" s="383"/>
      <c r="H36" s="382"/>
      <c r="I36" s="409"/>
      <c r="J36" s="409"/>
      <c r="K36" s="383"/>
      <c r="L36" s="382"/>
      <c r="M36" s="383"/>
      <c r="N36" s="382"/>
      <c r="O36" s="383"/>
      <c r="P36" s="382"/>
      <c r="Q36" s="383"/>
      <c r="R36" s="382"/>
      <c r="S36" s="383"/>
      <c r="T36" s="382"/>
      <c r="U36" s="383"/>
      <c r="V36" s="382"/>
      <c r="W36" s="383"/>
      <c r="X36" s="382"/>
      <c r="Y36" s="383"/>
      <c r="Z36" s="382"/>
      <c r="AA36" s="383"/>
      <c r="AB36" s="382"/>
      <c r="AC36" s="383"/>
      <c r="AD36" s="382"/>
      <c r="AE36" s="383"/>
      <c r="AF36" s="382"/>
      <c r="AG36" s="383"/>
      <c r="AH36" s="382"/>
      <c r="AI36" s="383"/>
      <c r="AJ36" s="416"/>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432"/>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8"/>
      <c r="CG36" s="248"/>
      <c r="CH36" s="248"/>
      <c r="CI36" s="248"/>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x14ac:dyDescent="0.2">
      <c r="A37" s="24">
        <v>1</v>
      </c>
      <c r="B37" s="41">
        <f t="shared" ref="B37:B52" si="55">D2</f>
        <v>0</v>
      </c>
      <c r="C37" s="299"/>
      <c r="D37" s="384"/>
      <c r="E37" s="385"/>
      <c r="F37" s="378"/>
      <c r="G37" s="379"/>
      <c r="H37" s="367"/>
      <c r="I37" s="394"/>
      <c r="J37" s="394"/>
      <c r="K37" s="368"/>
      <c r="L37" s="384"/>
      <c r="M37" s="385"/>
      <c r="N37" s="386"/>
      <c r="O37" s="385"/>
      <c r="P37" s="384"/>
      <c r="Q37" s="385"/>
      <c r="R37" s="386"/>
      <c r="S37" s="385"/>
      <c r="T37" s="384"/>
      <c r="U37" s="385"/>
      <c r="V37" s="386"/>
      <c r="W37" s="385"/>
      <c r="X37" s="384"/>
      <c r="Y37" s="385"/>
      <c r="Z37" s="386"/>
      <c r="AA37" s="385"/>
      <c r="AB37" s="397"/>
      <c r="AC37" s="385"/>
      <c r="AD37" s="397"/>
      <c r="AE37" s="385"/>
      <c r="AF37" s="418"/>
      <c r="AG37" s="385"/>
      <c r="AH37" s="419">
        <f>IFERROR(BJ40+AD37,0)</f>
        <v>0</v>
      </c>
      <c r="AI37" s="420"/>
      <c r="AJ37" s="89">
        <f t="shared" ref="AJ37:AJ51" si="56">IFERROR((SUM(CV40:DA40)+AF37),0)</f>
        <v>0</v>
      </c>
      <c r="AK37" s="88">
        <v>0</v>
      </c>
      <c r="AL37" s="89">
        <v>0</v>
      </c>
      <c r="AM37" s="89">
        <v>0</v>
      </c>
      <c r="AN37" s="89">
        <v>0</v>
      </c>
      <c r="AO37" s="89">
        <v>0</v>
      </c>
      <c r="AP37" s="89">
        <v>0</v>
      </c>
      <c r="AQ37" s="432"/>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8"/>
      <c r="CG37" s="248"/>
      <c r="CH37" s="248"/>
      <c r="CI37" s="248"/>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x14ac:dyDescent="0.2">
      <c r="A38" s="24">
        <v>2</v>
      </c>
      <c r="B38" s="41">
        <f t="shared" si="55"/>
        <v>0</v>
      </c>
      <c r="C38" s="298"/>
      <c r="D38" s="367"/>
      <c r="E38" s="368"/>
      <c r="F38" s="378"/>
      <c r="G38" s="379"/>
      <c r="H38" s="367"/>
      <c r="I38" s="394"/>
      <c r="J38" s="394"/>
      <c r="K38" s="368"/>
      <c r="L38" s="367"/>
      <c r="M38" s="368"/>
      <c r="N38" s="367"/>
      <c r="O38" s="368"/>
      <c r="P38" s="367"/>
      <c r="Q38" s="368"/>
      <c r="R38" s="367"/>
      <c r="S38" s="368"/>
      <c r="T38" s="367"/>
      <c r="U38" s="368"/>
      <c r="V38" s="367"/>
      <c r="W38" s="368"/>
      <c r="X38" s="367"/>
      <c r="Y38" s="368"/>
      <c r="Z38" s="367"/>
      <c r="AA38" s="368"/>
      <c r="AB38" s="397">
        <v>0</v>
      </c>
      <c r="AC38" s="385"/>
      <c r="AD38" s="398"/>
      <c r="AE38" s="399"/>
      <c r="AF38" s="413"/>
      <c r="AG38" s="414"/>
      <c r="AH38" s="419">
        <f>IFERROR(BJ41+AD38,0)</f>
        <v>0</v>
      </c>
      <c r="AI38" s="420"/>
      <c r="AJ38" s="89">
        <f t="shared" si="56"/>
        <v>0</v>
      </c>
      <c r="AK38" s="88">
        <v>0</v>
      </c>
      <c r="AL38" s="89">
        <v>0</v>
      </c>
      <c r="AM38" s="89">
        <v>0</v>
      </c>
      <c r="AN38" s="89">
        <v>0</v>
      </c>
      <c r="AO38" s="89">
        <v>0</v>
      </c>
      <c r="AP38" s="89">
        <v>0</v>
      </c>
      <c r="AQ38" s="432"/>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8"/>
      <c r="CG38" s="248"/>
      <c r="CH38" s="248"/>
      <c r="CI38" s="248"/>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x14ac:dyDescent="0.2">
      <c r="A39" s="24">
        <v>3</v>
      </c>
      <c r="B39" s="249">
        <f t="shared" si="55"/>
        <v>0</v>
      </c>
      <c r="C39" s="299"/>
      <c r="D39" s="378"/>
      <c r="E39" s="379"/>
      <c r="F39" s="378"/>
      <c r="G39" s="379"/>
      <c r="H39" s="367"/>
      <c r="I39" s="394"/>
      <c r="J39" s="394"/>
      <c r="K39" s="368"/>
      <c r="L39" s="378"/>
      <c r="M39" s="379"/>
      <c r="N39" s="367"/>
      <c r="O39" s="368"/>
      <c r="P39" s="378"/>
      <c r="Q39" s="379"/>
      <c r="R39" s="367"/>
      <c r="S39" s="368"/>
      <c r="T39" s="378"/>
      <c r="U39" s="379"/>
      <c r="V39" s="367"/>
      <c r="W39" s="368"/>
      <c r="X39" s="378"/>
      <c r="Y39" s="379"/>
      <c r="Z39" s="367"/>
      <c r="AA39" s="368"/>
      <c r="AB39" s="397">
        <v>0</v>
      </c>
      <c r="AC39" s="385"/>
      <c r="AD39" s="398"/>
      <c r="AE39" s="399"/>
      <c r="AF39" s="413"/>
      <c r="AG39" s="414"/>
      <c r="AH39" s="419">
        <f t="shared" ref="AH39:AH52" si="57">IFERROR(BJ42+AD39,0)</f>
        <v>0</v>
      </c>
      <c r="AI39" s="420"/>
      <c r="AJ39" s="89">
        <f t="shared" si="56"/>
        <v>0</v>
      </c>
      <c r="AK39" s="88">
        <v>0</v>
      </c>
      <c r="AL39" s="89">
        <v>0</v>
      </c>
      <c r="AM39" s="89">
        <v>0</v>
      </c>
      <c r="AN39" s="89">
        <v>0</v>
      </c>
      <c r="AO39" s="89">
        <v>0</v>
      </c>
      <c r="AP39" s="89">
        <v>0</v>
      </c>
      <c r="AQ39" s="432"/>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11" t="s">
        <v>207</v>
      </c>
      <c r="BM39" s="412"/>
      <c r="BN39" s="412"/>
      <c r="BO39" s="412"/>
      <c r="BP39" s="412"/>
      <c r="BQ39" s="412"/>
      <c r="BR39" s="224"/>
      <c r="BS39" s="224"/>
      <c r="BT39" s="411" t="s">
        <v>208</v>
      </c>
      <c r="BU39" s="412"/>
      <c r="BV39" s="412"/>
      <c r="BW39" s="412"/>
      <c r="BX39" s="412"/>
      <c r="BY39" s="412"/>
      <c r="BZ39" s="224"/>
      <c r="CA39" s="411" t="s">
        <v>209</v>
      </c>
      <c r="CB39" s="412"/>
      <c r="CC39" s="412"/>
      <c r="CD39" s="412"/>
      <c r="CE39" s="412"/>
      <c r="CF39" s="412"/>
      <c r="CG39" s="224"/>
      <c r="CH39" s="411" t="s">
        <v>210</v>
      </c>
      <c r="CI39" s="412"/>
      <c r="CJ39" s="412"/>
      <c r="CK39" s="412"/>
      <c r="CL39" s="412"/>
      <c r="CM39" s="412"/>
      <c r="CN39" s="224"/>
      <c r="CO39" s="411" t="s">
        <v>211</v>
      </c>
      <c r="CP39" s="412"/>
      <c r="CQ39" s="412"/>
      <c r="CR39" s="412"/>
      <c r="CS39" s="412"/>
      <c r="CT39" s="412"/>
      <c r="CU39" s="224"/>
      <c r="CV39" s="411" t="s">
        <v>212</v>
      </c>
      <c r="CW39" s="412"/>
      <c r="CX39" s="412"/>
      <c r="CY39" s="412"/>
      <c r="CZ39" s="412"/>
      <c r="DA39" s="412"/>
      <c r="DB39" s="220"/>
      <c r="DC39" s="220"/>
    </row>
    <row r="40" spans="1:107" s="221" customFormat="1" ht="22.5" customHeight="1" x14ac:dyDescent="0.2">
      <c r="A40" s="24">
        <v>4</v>
      </c>
      <c r="B40" s="41">
        <f t="shared" si="55"/>
        <v>0</v>
      </c>
      <c r="C40" s="298"/>
      <c r="D40" s="367"/>
      <c r="E40" s="368"/>
      <c r="F40" s="378"/>
      <c r="G40" s="379"/>
      <c r="H40" s="367"/>
      <c r="I40" s="394"/>
      <c r="J40" s="394"/>
      <c r="K40" s="368"/>
      <c r="L40" s="367"/>
      <c r="M40" s="368"/>
      <c r="N40" s="367"/>
      <c r="O40" s="368"/>
      <c r="P40" s="367"/>
      <c r="Q40" s="368"/>
      <c r="R40" s="367"/>
      <c r="S40" s="368"/>
      <c r="T40" s="367"/>
      <c r="U40" s="368"/>
      <c r="V40" s="367"/>
      <c r="W40" s="368"/>
      <c r="X40" s="367"/>
      <c r="Y40" s="368"/>
      <c r="Z40" s="367"/>
      <c r="AA40" s="368"/>
      <c r="AB40" s="397">
        <v>0</v>
      </c>
      <c r="AC40" s="385"/>
      <c r="AD40" s="398"/>
      <c r="AE40" s="399"/>
      <c r="AF40" s="413"/>
      <c r="AG40" s="414"/>
      <c r="AH40" s="419">
        <f t="shared" si="57"/>
        <v>0</v>
      </c>
      <c r="AI40" s="420"/>
      <c r="AJ40" s="89">
        <f t="shared" si="56"/>
        <v>0</v>
      </c>
      <c r="AK40" s="88">
        <v>0</v>
      </c>
      <c r="AL40" s="89">
        <v>0</v>
      </c>
      <c r="AM40" s="89">
        <v>0</v>
      </c>
      <c r="AN40" s="89">
        <v>0</v>
      </c>
      <c r="AO40" s="89">
        <v>0</v>
      </c>
      <c r="AP40" s="89">
        <v>0</v>
      </c>
      <c r="AQ40" s="432"/>
      <c r="AR40" s="220"/>
      <c r="AS40" s="220"/>
      <c r="AT40" s="220"/>
      <c r="AU40" s="220"/>
      <c r="AV40" s="220"/>
      <c r="AW40" s="220"/>
      <c r="AX40" s="220"/>
      <c r="AY40" s="28">
        <f t="shared" ref="AY40:AY53" si="58">B37</f>
        <v>0</v>
      </c>
      <c r="AZ40" s="28">
        <f>IFERROR((VLOOKUP($BP$1&amp;B37,Teams!D:S,12,0)),0)</f>
        <v>0</v>
      </c>
      <c r="BA40" s="28">
        <f>IFERROR((VLOOKUP($BP$1&amp;B37,Teams!D:S,13,0)),0)</f>
        <v>0</v>
      </c>
      <c r="BB40" s="28">
        <f>IFERROR((VLOOKUP($BP$1&amp;B37,Teams!D:S,14,0)),0)</f>
        <v>0</v>
      </c>
      <c r="BC40" s="28">
        <f>IFERROR((VLOOKUP($BP$1&amp;B37,Teams!D:S,15,0)),0)</f>
        <v>0</v>
      </c>
      <c r="BD40" s="28">
        <f>IFERROR((VLOOKUP($BP$1&amp;B37,Teams!D:S,16,0)),0)</f>
        <v>0</v>
      </c>
      <c r="BE40" s="28">
        <v>20000</v>
      </c>
      <c r="BF40" s="28">
        <v>10000</v>
      </c>
      <c r="BG40" s="28">
        <v>40000</v>
      </c>
      <c r="BH40" s="28">
        <v>20000</v>
      </c>
      <c r="BI40" s="28">
        <v>80000</v>
      </c>
      <c r="BJ40" s="28">
        <f t="shared" ref="BJ40:BJ53" si="59">SUM(CH40:CT40)</f>
        <v>0</v>
      </c>
      <c r="BK40" s="225"/>
      <c r="BL40" s="300">
        <f t="shared" ref="BL40:BL54" si="60">IF(C37="",0,(VLOOKUP(C37,$CC$59:$CE$159,2,0)))</f>
        <v>0</v>
      </c>
      <c r="BM40" s="300">
        <f t="shared" ref="BM40:BM54" si="61">IF(F37="",0,(VLOOKUP(F37,$CC$59:$CE$159,2,0)))</f>
        <v>0</v>
      </c>
      <c r="BN40" s="300">
        <f t="shared" ref="BN40:BN54" si="62">IF(L37="",0,(VLOOKUP(L37,$CC$59:$CE$159,2,0)))</f>
        <v>0</v>
      </c>
      <c r="BO40" s="300">
        <f t="shared" ref="BO40:BO54" si="63">IF(P37="",0,(VLOOKUP(P37,$CC$59:$CE$159,2,0)))</f>
        <v>0</v>
      </c>
      <c r="BP40" s="300">
        <f t="shared" ref="BP40:BP54" si="64">IF(T37="",0,(VLOOKUP(T37,$CC$59:$CE$159,2,0)))</f>
        <v>0</v>
      </c>
      <c r="BQ40" s="300">
        <f t="shared" ref="BQ40:BQ54" si="65">IF(X37="",0,(VLOOKUP(X37,$CC$59:$CE$159,2,0)))</f>
        <v>0</v>
      </c>
      <c r="BR40" s="30"/>
      <c r="BS40" s="30"/>
      <c r="BT40" s="28">
        <f t="shared" ref="BT40:BT53" si="66">(IF(BL40="G",AZ40,IF(BL40="A",BA40,IF(BL40="S",BB40,IF(BL40="P",BC40,IF(BL40="M",BD40,IF(BL40="X",0,IF(OR(BL40="MA",BL40="AV",BL40="ST",BL40="PA",BL40="AG"),"STAT",0))))))))</f>
        <v>0</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300">
        <f t="shared" ref="CA40:CA54" si="72">IF(D37="Chosen","Chosen",(IF(D37="Scelto","Chosen",(IF(D37="Elegida","Chosen",(IF(D37="Gewählt","Chosen",(IF(D37="Choisie","Chosen",(IF(D37="Random","Random",(IF(D37="Casuale","Random",(IF(D37="Aleatoria","Random",(IF(D37="Zufällig","Random",(IF(D37="Aléatoire","Random",0)))))))))))))))))))</f>
        <v>0</v>
      </c>
      <c r="CB40" s="300">
        <f t="shared" ref="CB40:CB54" si="73">IF(H37="Chosen","Chosen",(IF(H37="Scelto","Chosen",(IF(H37="Elegida","Chosen",(IF(H37="Gewählt","Chosen",(IF(H37="Choisie","Chosen",(IF(H37="Random","Random",(IF(H37="Casuale","Random",(IF(H37="Aleatoria","Random",(IF(H37="Zufällig","Random",(IF(H37="Aléatoire","Random",0)))))))))))))))))))</f>
        <v>0</v>
      </c>
      <c r="CC40" s="300">
        <f t="shared" ref="CC40:CC54" si="74">IF(N37="Chosen","Chosen",(IF(N37="Scelto","Chosen",(IF(N37="Elegida","Chosen",(IF(N37="Gewählt","Chosen",(IF(N37="Choisie","Chosen",(IF(N37="Random","Random",(IF(N37="Casuale","Random",(IF(N37="Aleatoria","Random",(IF(N37="Zufällig","Random",(IF(N37="Aléatoire","Random",0)))))))))))))))))))</f>
        <v>0</v>
      </c>
      <c r="CD40" s="300">
        <f t="shared" ref="CD40:CD54" si="75">IF(R37="Chosen","Chosen",(IF(R37="Scelto","Chosen",(IF(R37="Elegida","Chosen",(IF(R37="Gewählt","Chosen",(IF(R37="Choisie","Chosen",(IF(R37="Random","Random",(IF(R37="Casuale","Random",(IF(R37="Aleatoria","Random",(IF(R37="Zufällig","Random",(IF(R37="Aléatoire","Random",0)))))))))))))))))))</f>
        <v>0</v>
      </c>
      <c r="CE40" s="300">
        <f t="shared" ref="CE40:CE54" si="76">IF(V37="Chosen","Chosen",(IF(V37="Scelto","Chosen",(IF(V37="Elegida","Chosen",(IF(V37="Gewählt","Chosen",(IF(V37="Choisie","Chosen",(IF(V37="Random","Random",(IF(V37="Casuale","Random",(IF(V37="Aleatoria","Random",(IF(V37="Zufällig","Random",(IF(V37="Aléatoire","Random",0)))))))))))))))))))</f>
        <v>0</v>
      </c>
      <c r="CF40" s="300">
        <f t="shared" ref="CF40:CF54" si="77">IF(Z37="Chosen","Chosen",(IF(Z37="Scelto","Chosen",(IF(Z37="Elegida","Chosen",(IF(Z37="Gewählt","Chosen",(IF(Z37="Choisie","Chosen",(IF(Z37="Random","Random",(IF(Z37="Casuale","Random",(IF(Z37="Aleatoria","Random",(IF(Z37="Zufällig","Random",(IF(Z37="Aléatoire","Random",0)))))))))))))))))))</f>
        <v>0</v>
      </c>
      <c r="CG40" s="246"/>
      <c r="CH40" s="246">
        <f t="shared" ref="CH40:CH53" si="78">IF(AND(BT40="P",CA40="Random"),10000,IF(AND(BT40="P",CA40="Chosen"),20000,IF(AND(BT40="S",CA40="Random"),20000,IF(AND(BT40="S",CA40="Chosen"),40000,0))))</f>
        <v>0</v>
      </c>
      <c r="CI40" s="246">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0</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x14ac:dyDescent="0.2">
      <c r="A41" s="24">
        <v>5</v>
      </c>
      <c r="B41" s="41">
        <f t="shared" si="55"/>
        <v>0</v>
      </c>
      <c r="C41" s="298"/>
      <c r="D41" s="367"/>
      <c r="E41" s="368"/>
      <c r="F41" s="378"/>
      <c r="G41" s="379"/>
      <c r="H41" s="367"/>
      <c r="I41" s="394"/>
      <c r="J41" s="394"/>
      <c r="K41" s="368"/>
      <c r="L41" s="367"/>
      <c r="M41" s="368"/>
      <c r="N41" s="367"/>
      <c r="O41" s="368"/>
      <c r="P41" s="367"/>
      <c r="Q41" s="368"/>
      <c r="R41" s="367"/>
      <c r="S41" s="368"/>
      <c r="T41" s="367"/>
      <c r="U41" s="368"/>
      <c r="V41" s="367"/>
      <c r="W41" s="368"/>
      <c r="X41" s="367"/>
      <c r="Y41" s="368"/>
      <c r="Z41" s="367"/>
      <c r="AA41" s="368"/>
      <c r="AB41" s="397">
        <v>0</v>
      </c>
      <c r="AC41" s="385"/>
      <c r="AD41" s="398"/>
      <c r="AE41" s="399"/>
      <c r="AF41" s="398"/>
      <c r="AG41" s="399"/>
      <c r="AH41" s="419">
        <f t="shared" si="57"/>
        <v>0</v>
      </c>
      <c r="AI41" s="420"/>
      <c r="AJ41" s="89">
        <f t="shared" si="56"/>
        <v>0</v>
      </c>
      <c r="AK41" s="88">
        <v>0</v>
      </c>
      <c r="AL41" s="89">
        <v>0</v>
      </c>
      <c r="AM41" s="89">
        <v>0</v>
      </c>
      <c r="AN41" s="89">
        <v>0</v>
      </c>
      <c r="AO41" s="89">
        <v>0</v>
      </c>
      <c r="AP41" s="89">
        <v>0</v>
      </c>
      <c r="AQ41" s="432"/>
      <c r="AR41" s="220"/>
      <c r="AS41" s="220"/>
      <c r="AT41" s="220"/>
      <c r="AU41" s="220"/>
      <c r="AV41" s="220"/>
      <c r="AW41" s="220"/>
      <c r="AX41" s="220"/>
      <c r="AY41" s="28">
        <f t="shared" si="58"/>
        <v>0</v>
      </c>
      <c r="AZ41" s="28">
        <f>IFERROR((VLOOKUP($BP$1&amp;B38,Teams!D:S,12,0)),0)</f>
        <v>0</v>
      </c>
      <c r="BA41" s="28">
        <f>IFERROR((VLOOKUP($BP$1&amp;B38,Teams!D:S,13,0)),0)</f>
        <v>0</v>
      </c>
      <c r="BB41" s="28">
        <f>IFERROR((VLOOKUP($BP$1&amp;B38,Teams!D:S,14,0)),0)</f>
        <v>0</v>
      </c>
      <c r="BC41" s="28">
        <f>IFERROR((VLOOKUP($BP$1&amp;B38,Teams!D:S,15,0)),0)</f>
        <v>0</v>
      </c>
      <c r="BD41" s="28">
        <f>IFERROR((VLOOKUP($BP$1&amp;B38,Teams!D:S,16,0)),0)</f>
        <v>0</v>
      </c>
      <c r="BE41" s="28">
        <v>20000</v>
      </c>
      <c r="BF41" s="28">
        <v>10000</v>
      </c>
      <c r="BG41" s="28">
        <v>40000</v>
      </c>
      <c r="BH41" s="28">
        <v>20000</v>
      </c>
      <c r="BI41" s="28">
        <v>80000</v>
      </c>
      <c r="BJ41" s="28">
        <f t="shared" si="59"/>
        <v>0</v>
      </c>
      <c r="BK41" s="225"/>
      <c r="BL41" s="300">
        <f t="shared" si="60"/>
        <v>0</v>
      </c>
      <c r="BM41" s="300">
        <f t="shared" si="61"/>
        <v>0</v>
      </c>
      <c r="BN41" s="300">
        <f t="shared" si="62"/>
        <v>0</v>
      </c>
      <c r="BO41" s="300">
        <f t="shared" si="63"/>
        <v>0</v>
      </c>
      <c r="BP41" s="300">
        <f t="shared" si="64"/>
        <v>0</v>
      </c>
      <c r="BQ41" s="300">
        <f t="shared" si="65"/>
        <v>0</v>
      </c>
      <c r="BR41" s="30"/>
      <c r="BS41" s="30"/>
      <c r="BT41" s="28">
        <f t="shared" si="66"/>
        <v>0</v>
      </c>
      <c r="BU41" s="28">
        <f t="shared" si="67"/>
        <v>0</v>
      </c>
      <c r="BV41" s="28">
        <f t="shared" si="68"/>
        <v>0</v>
      </c>
      <c r="BW41" s="28">
        <f t="shared" si="69"/>
        <v>0</v>
      </c>
      <c r="BX41" s="28">
        <f t="shared" si="70"/>
        <v>0</v>
      </c>
      <c r="BY41" s="28">
        <f t="shared" si="71"/>
        <v>0</v>
      </c>
      <c r="BZ41" s="28"/>
      <c r="CA41" s="300">
        <f t="shared" si="72"/>
        <v>0</v>
      </c>
      <c r="CB41" s="300">
        <f t="shared" si="73"/>
        <v>0</v>
      </c>
      <c r="CC41" s="300">
        <f t="shared" si="74"/>
        <v>0</v>
      </c>
      <c r="CD41" s="300">
        <f t="shared" si="75"/>
        <v>0</v>
      </c>
      <c r="CE41" s="300">
        <f t="shared" si="76"/>
        <v>0</v>
      </c>
      <c r="CF41" s="300">
        <f t="shared" si="77"/>
        <v>0</v>
      </c>
      <c r="CG41" s="246"/>
      <c r="CH41" s="246">
        <f t="shared" si="78"/>
        <v>0</v>
      </c>
      <c r="CI41" s="246">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0</v>
      </c>
      <c r="CW41" s="28">
        <f t="shared" si="91"/>
        <v>0</v>
      </c>
      <c r="CX41" s="28">
        <f t="shared" si="92"/>
        <v>0</v>
      </c>
      <c r="CY41" s="28">
        <f t="shared" si="93"/>
        <v>0</v>
      </c>
      <c r="CZ41" s="28">
        <f t="shared" si="94"/>
        <v>0</v>
      </c>
      <c r="DA41" s="28">
        <f t="shared" si="95"/>
        <v>0</v>
      </c>
      <c r="DB41" s="220"/>
      <c r="DC41" s="220"/>
    </row>
    <row r="42" spans="1:107" s="221" customFormat="1" ht="22.5" customHeight="1" x14ac:dyDescent="0.2">
      <c r="A42" s="24">
        <v>6</v>
      </c>
      <c r="B42" s="41">
        <f t="shared" si="55"/>
        <v>0</v>
      </c>
      <c r="C42" s="298"/>
      <c r="D42" s="367"/>
      <c r="E42" s="368"/>
      <c r="F42" s="378"/>
      <c r="G42" s="379"/>
      <c r="H42" s="367"/>
      <c r="I42" s="394"/>
      <c r="J42" s="394"/>
      <c r="K42" s="368"/>
      <c r="L42" s="367"/>
      <c r="M42" s="368"/>
      <c r="N42" s="367"/>
      <c r="O42" s="368"/>
      <c r="P42" s="367"/>
      <c r="Q42" s="368"/>
      <c r="R42" s="367"/>
      <c r="S42" s="368"/>
      <c r="T42" s="367"/>
      <c r="U42" s="368"/>
      <c r="V42" s="367"/>
      <c r="W42" s="368"/>
      <c r="X42" s="367"/>
      <c r="Y42" s="368"/>
      <c r="Z42" s="367"/>
      <c r="AA42" s="368"/>
      <c r="AB42" s="397">
        <v>0</v>
      </c>
      <c r="AC42" s="385"/>
      <c r="AD42" s="398"/>
      <c r="AE42" s="399"/>
      <c r="AF42" s="398"/>
      <c r="AG42" s="399"/>
      <c r="AH42" s="419">
        <f t="shared" si="57"/>
        <v>0</v>
      </c>
      <c r="AI42" s="420"/>
      <c r="AJ42" s="89">
        <f t="shared" si="56"/>
        <v>0</v>
      </c>
      <c r="AK42" s="88">
        <v>0</v>
      </c>
      <c r="AL42" s="89">
        <v>0</v>
      </c>
      <c r="AM42" s="89">
        <v>0</v>
      </c>
      <c r="AN42" s="89">
        <v>0</v>
      </c>
      <c r="AO42" s="89">
        <v>0</v>
      </c>
      <c r="AP42" s="89">
        <v>0</v>
      </c>
      <c r="AQ42" s="432"/>
      <c r="AR42" s="220"/>
      <c r="AS42" s="220"/>
      <c r="AT42" s="220"/>
      <c r="AU42" s="220"/>
      <c r="AV42" s="220"/>
      <c r="AW42" s="220"/>
      <c r="AX42" s="220"/>
      <c r="AY42" s="28">
        <f t="shared" si="58"/>
        <v>0</v>
      </c>
      <c r="AZ42" s="28">
        <f>IFERROR((VLOOKUP($BP$1&amp;B39,Teams!D:S,12,0)),0)</f>
        <v>0</v>
      </c>
      <c r="BA42" s="28">
        <f>IFERROR((VLOOKUP($BP$1&amp;B39,Teams!D:S,13,0)),0)</f>
        <v>0</v>
      </c>
      <c r="BB42" s="28">
        <f>IFERROR((VLOOKUP($BP$1&amp;B39,Teams!D:S,14,0)),0)</f>
        <v>0</v>
      </c>
      <c r="BC42" s="28">
        <f>IFERROR((VLOOKUP($BP$1&amp;B39,Teams!D:S,15,0)),0)</f>
        <v>0</v>
      </c>
      <c r="BD42" s="28">
        <f>IFERROR((VLOOKUP($BP$1&amp;B39,Teams!D:S,16,0)),0)</f>
        <v>0</v>
      </c>
      <c r="BE42" s="28">
        <v>20000</v>
      </c>
      <c r="BF42" s="28">
        <v>10000</v>
      </c>
      <c r="BG42" s="28">
        <v>40000</v>
      </c>
      <c r="BH42" s="28">
        <v>20000</v>
      </c>
      <c r="BI42" s="28">
        <v>80000</v>
      </c>
      <c r="BJ42" s="28">
        <f t="shared" si="59"/>
        <v>0</v>
      </c>
      <c r="BK42" s="225"/>
      <c r="BL42" s="300">
        <f t="shared" si="60"/>
        <v>0</v>
      </c>
      <c r="BM42" s="300">
        <f t="shared" si="61"/>
        <v>0</v>
      </c>
      <c r="BN42" s="300">
        <f t="shared" si="62"/>
        <v>0</v>
      </c>
      <c r="BO42" s="300">
        <f t="shared" si="63"/>
        <v>0</v>
      </c>
      <c r="BP42" s="300">
        <f t="shared" si="64"/>
        <v>0</v>
      </c>
      <c r="BQ42" s="300">
        <f t="shared" si="65"/>
        <v>0</v>
      </c>
      <c r="BR42" s="30"/>
      <c r="BS42" s="30"/>
      <c r="BT42" s="28">
        <f t="shared" si="66"/>
        <v>0</v>
      </c>
      <c r="BU42" s="28">
        <f t="shared" si="67"/>
        <v>0</v>
      </c>
      <c r="BV42" s="28">
        <f t="shared" si="68"/>
        <v>0</v>
      </c>
      <c r="BW42" s="28">
        <f t="shared" si="69"/>
        <v>0</v>
      </c>
      <c r="BX42" s="28">
        <f t="shared" si="70"/>
        <v>0</v>
      </c>
      <c r="BY42" s="28">
        <f t="shared" si="71"/>
        <v>0</v>
      </c>
      <c r="BZ42" s="28"/>
      <c r="CA42" s="300">
        <f t="shared" si="72"/>
        <v>0</v>
      </c>
      <c r="CB42" s="300">
        <f t="shared" si="73"/>
        <v>0</v>
      </c>
      <c r="CC42" s="300">
        <f t="shared" si="74"/>
        <v>0</v>
      </c>
      <c r="CD42" s="300">
        <f t="shared" si="75"/>
        <v>0</v>
      </c>
      <c r="CE42" s="300">
        <f t="shared" si="76"/>
        <v>0</v>
      </c>
      <c r="CF42" s="300">
        <f t="shared" si="77"/>
        <v>0</v>
      </c>
      <c r="CG42" s="246"/>
      <c r="CH42" s="246">
        <f t="shared" si="78"/>
        <v>0</v>
      </c>
      <c r="CI42" s="246">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0</v>
      </c>
      <c r="CW42" s="28">
        <f t="shared" si="91"/>
        <v>0</v>
      </c>
      <c r="CX42" s="28">
        <f t="shared" si="92"/>
        <v>0</v>
      </c>
      <c r="CY42" s="28">
        <f t="shared" si="93"/>
        <v>0</v>
      </c>
      <c r="CZ42" s="28">
        <f t="shared" si="94"/>
        <v>0</v>
      </c>
      <c r="DA42" s="28">
        <f t="shared" si="95"/>
        <v>0</v>
      </c>
      <c r="DB42" s="220"/>
      <c r="DC42" s="220"/>
    </row>
    <row r="43" spans="1:107" s="221" customFormat="1" ht="22.5" customHeight="1" x14ac:dyDescent="0.2">
      <c r="A43" s="24">
        <v>7</v>
      </c>
      <c r="B43" s="41">
        <f t="shared" si="55"/>
        <v>0</v>
      </c>
      <c r="C43" s="298"/>
      <c r="D43" s="367"/>
      <c r="E43" s="368"/>
      <c r="F43" s="378"/>
      <c r="G43" s="379"/>
      <c r="H43" s="367"/>
      <c r="I43" s="394"/>
      <c r="J43" s="394"/>
      <c r="K43" s="368"/>
      <c r="L43" s="367"/>
      <c r="M43" s="368"/>
      <c r="N43" s="367"/>
      <c r="O43" s="368"/>
      <c r="P43" s="367"/>
      <c r="Q43" s="368"/>
      <c r="R43" s="367"/>
      <c r="S43" s="368"/>
      <c r="T43" s="367"/>
      <c r="U43" s="368"/>
      <c r="V43" s="367"/>
      <c r="W43" s="368"/>
      <c r="X43" s="367"/>
      <c r="Y43" s="368"/>
      <c r="Z43" s="367"/>
      <c r="AA43" s="368"/>
      <c r="AB43" s="397">
        <v>0</v>
      </c>
      <c r="AC43" s="385"/>
      <c r="AD43" s="398"/>
      <c r="AE43" s="399"/>
      <c r="AF43" s="398"/>
      <c r="AG43" s="399"/>
      <c r="AH43" s="419">
        <f t="shared" si="57"/>
        <v>0</v>
      </c>
      <c r="AI43" s="420"/>
      <c r="AJ43" s="89">
        <f t="shared" si="56"/>
        <v>0</v>
      </c>
      <c r="AK43" s="88">
        <v>0</v>
      </c>
      <c r="AL43" s="89">
        <v>0</v>
      </c>
      <c r="AM43" s="89">
        <v>0</v>
      </c>
      <c r="AN43" s="89">
        <v>0</v>
      </c>
      <c r="AO43" s="89">
        <v>0</v>
      </c>
      <c r="AP43" s="89">
        <v>0</v>
      </c>
      <c r="AQ43" s="432"/>
      <c r="AR43" s="220"/>
      <c r="AS43" s="220"/>
      <c r="AT43" s="220"/>
      <c r="AU43" s="220"/>
      <c r="AV43" s="220"/>
      <c r="AW43" s="220"/>
      <c r="AX43" s="220"/>
      <c r="AY43" s="28">
        <f t="shared" si="58"/>
        <v>0</v>
      </c>
      <c r="AZ43" s="28">
        <f>IFERROR((VLOOKUP($BP$1&amp;B40,Teams!D:S,12,0)),0)</f>
        <v>0</v>
      </c>
      <c r="BA43" s="28">
        <f>IFERROR((VLOOKUP($BP$1&amp;B40,Teams!D:S,13,0)),0)</f>
        <v>0</v>
      </c>
      <c r="BB43" s="28">
        <f>IFERROR((VLOOKUP($BP$1&amp;B40,Teams!D:S,14,0)),0)</f>
        <v>0</v>
      </c>
      <c r="BC43" s="28">
        <f>IFERROR((VLOOKUP($BP$1&amp;B40,Teams!D:S,15,0)),0)</f>
        <v>0</v>
      </c>
      <c r="BD43" s="28">
        <f>IFERROR((VLOOKUP($BP$1&amp;B40,Teams!D:S,16,0)),0)</f>
        <v>0</v>
      </c>
      <c r="BE43" s="28">
        <v>20000</v>
      </c>
      <c r="BF43" s="28">
        <v>10000</v>
      </c>
      <c r="BG43" s="28">
        <v>40000</v>
      </c>
      <c r="BH43" s="28">
        <v>20000</v>
      </c>
      <c r="BI43" s="28">
        <v>80000</v>
      </c>
      <c r="BJ43" s="28">
        <f t="shared" si="59"/>
        <v>0</v>
      </c>
      <c r="BK43" s="225"/>
      <c r="BL43" s="300">
        <f t="shared" si="60"/>
        <v>0</v>
      </c>
      <c r="BM43" s="300">
        <f t="shared" si="61"/>
        <v>0</v>
      </c>
      <c r="BN43" s="300">
        <f t="shared" si="62"/>
        <v>0</v>
      </c>
      <c r="BO43" s="300">
        <f t="shared" si="63"/>
        <v>0</v>
      </c>
      <c r="BP43" s="300">
        <f t="shared" si="64"/>
        <v>0</v>
      </c>
      <c r="BQ43" s="300">
        <f t="shared" si="65"/>
        <v>0</v>
      </c>
      <c r="BR43" s="30"/>
      <c r="BS43" s="30"/>
      <c r="BT43" s="28">
        <f t="shared" si="66"/>
        <v>0</v>
      </c>
      <c r="BU43" s="28">
        <f t="shared" si="67"/>
        <v>0</v>
      </c>
      <c r="BV43" s="28">
        <f t="shared" si="68"/>
        <v>0</v>
      </c>
      <c r="BW43" s="28">
        <f t="shared" si="69"/>
        <v>0</v>
      </c>
      <c r="BX43" s="28">
        <f t="shared" si="70"/>
        <v>0</v>
      </c>
      <c r="BY43" s="28">
        <f t="shared" si="71"/>
        <v>0</v>
      </c>
      <c r="BZ43" s="28"/>
      <c r="CA43" s="300">
        <f t="shared" si="72"/>
        <v>0</v>
      </c>
      <c r="CB43" s="300">
        <f t="shared" si="73"/>
        <v>0</v>
      </c>
      <c r="CC43" s="300">
        <f t="shared" si="74"/>
        <v>0</v>
      </c>
      <c r="CD43" s="300">
        <f t="shared" si="75"/>
        <v>0</v>
      </c>
      <c r="CE43" s="300">
        <f t="shared" si="76"/>
        <v>0</v>
      </c>
      <c r="CF43" s="300">
        <f t="shared" si="77"/>
        <v>0</v>
      </c>
      <c r="CG43" s="246"/>
      <c r="CH43" s="246">
        <f t="shared" si="78"/>
        <v>0</v>
      </c>
      <c r="CI43" s="246">
        <f t="shared" si="79"/>
        <v>0</v>
      </c>
      <c r="CJ43" s="28">
        <f t="shared" si="80"/>
        <v>0</v>
      </c>
      <c r="CK43" s="28">
        <f t="shared" si="81"/>
        <v>0</v>
      </c>
      <c r="CL43" s="28">
        <f t="shared" si="82"/>
        <v>0</v>
      </c>
      <c r="CM43" s="28">
        <f t="shared" si="83"/>
        <v>0</v>
      </c>
      <c r="CN43" s="28"/>
      <c r="CO43" s="28">
        <f t="shared" si="84"/>
        <v>0</v>
      </c>
      <c r="CP43" s="28">
        <f t="shared" si="85"/>
        <v>0</v>
      </c>
      <c r="CQ43" s="28">
        <f t="shared" si="86"/>
        <v>0</v>
      </c>
      <c r="CR43" s="28">
        <f t="shared" si="87"/>
        <v>0</v>
      </c>
      <c r="CS43" s="28">
        <f t="shared" si="88"/>
        <v>0</v>
      </c>
      <c r="CT43" s="28">
        <f t="shared" si="89"/>
        <v>0</v>
      </c>
      <c r="CU43" s="28"/>
      <c r="CV43" s="28">
        <f t="shared" si="90"/>
        <v>0</v>
      </c>
      <c r="CW43" s="28">
        <f t="shared" si="91"/>
        <v>0</v>
      </c>
      <c r="CX43" s="28">
        <f t="shared" si="92"/>
        <v>0</v>
      </c>
      <c r="CY43" s="28">
        <f t="shared" si="93"/>
        <v>0</v>
      </c>
      <c r="CZ43" s="28">
        <f t="shared" si="94"/>
        <v>0</v>
      </c>
      <c r="DA43" s="28">
        <f t="shared" si="95"/>
        <v>0</v>
      </c>
      <c r="DB43" s="220"/>
      <c r="DC43" s="220"/>
    </row>
    <row r="44" spans="1:107" s="221" customFormat="1" ht="22.5" customHeight="1" x14ac:dyDescent="0.2">
      <c r="A44" s="24">
        <v>8</v>
      </c>
      <c r="B44" s="41">
        <f t="shared" si="55"/>
        <v>0</v>
      </c>
      <c r="C44" s="298"/>
      <c r="D44" s="367"/>
      <c r="E44" s="368"/>
      <c r="F44" s="378"/>
      <c r="G44" s="379"/>
      <c r="H44" s="367"/>
      <c r="I44" s="394"/>
      <c r="J44" s="394"/>
      <c r="K44" s="368"/>
      <c r="L44" s="367"/>
      <c r="M44" s="368"/>
      <c r="N44" s="367"/>
      <c r="O44" s="368"/>
      <c r="P44" s="367"/>
      <c r="Q44" s="368"/>
      <c r="R44" s="367"/>
      <c r="S44" s="368"/>
      <c r="T44" s="367"/>
      <c r="U44" s="368"/>
      <c r="V44" s="367"/>
      <c r="W44" s="368"/>
      <c r="X44" s="367"/>
      <c r="Y44" s="368"/>
      <c r="Z44" s="367"/>
      <c r="AA44" s="368"/>
      <c r="AB44" s="397">
        <v>0</v>
      </c>
      <c r="AC44" s="385"/>
      <c r="AD44" s="398"/>
      <c r="AE44" s="399"/>
      <c r="AF44" s="398"/>
      <c r="AG44" s="399"/>
      <c r="AH44" s="419">
        <f t="shared" si="57"/>
        <v>0</v>
      </c>
      <c r="AI44" s="420"/>
      <c r="AJ44" s="89">
        <f t="shared" si="56"/>
        <v>0</v>
      </c>
      <c r="AK44" s="88">
        <v>0</v>
      </c>
      <c r="AL44" s="89">
        <v>0</v>
      </c>
      <c r="AM44" s="89">
        <v>0</v>
      </c>
      <c r="AN44" s="89">
        <v>0</v>
      </c>
      <c r="AO44" s="89">
        <v>0</v>
      </c>
      <c r="AP44" s="89">
        <v>0</v>
      </c>
      <c r="AQ44" s="432"/>
      <c r="AR44" s="220"/>
      <c r="AS44" s="220"/>
      <c r="AT44" s="220"/>
      <c r="AU44" s="220"/>
      <c r="AV44" s="220"/>
      <c r="AW44" s="220"/>
      <c r="AX44" s="220"/>
      <c r="AY44" s="28">
        <f t="shared" si="58"/>
        <v>0</v>
      </c>
      <c r="AZ44" s="28">
        <f>IFERROR((VLOOKUP($BP$1&amp;B41,Teams!D:S,12,0)),0)</f>
        <v>0</v>
      </c>
      <c r="BA44" s="28">
        <f>IFERROR((VLOOKUP($BP$1&amp;B41,Teams!D:S,13,0)),0)</f>
        <v>0</v>
      </c>
      <c r="BB44" s="28">
        <f>IFERROR((VLOOKUP($BP$1&amp;B41,Teams!D:S,14,0)),0)</f>
        <v>0</v>
      </c>
      <c r="BC44" s="28">
        <f>IFERROR((VLOOKUP($BP$1&amp;B41,Teams!D:S,15,0)),0)</f>
        <v>0</v>
      </c>
      <c r="BD44" s="28">
        <f>IFERROR((VLOOKUP($BP$1&amp;B41,Teams!D:S,16,0)),0)</f>
        <v>0</v>
      </c>
      <c r="BE44" s="28">
        <v>20000</v>
      </c>
      <c r="BF44" s="28">
        <v>10000</v>
      </c>
      <c r="BG44" s="28">
        <v>40000</v>
      </c>
      <c r="BH44" s="28">
        <v>20000</v>
      </c>
      <c r="BI44" s="28">
        <v>80000</v>
      </c>
      <c r="BJ44" s="28">
        <f t="shared" si="59"/>
        <v>0</v>
      </c>
      <c r="BK44" s="225"/>
      <c r="BL44" s="300">
        <f t="shared" si="60"/>
        <v>0</v>
      </c>
      <c r="BM44" s="300">
        <f t="shared" si="61"/>
        <v>0</v>
      </c>
      <c r="BN44" s="300">
        <f t="shared" si="62"/>
        <v>0</v>
      </c>
      <c r="BO44" s="300">
        <f t="shared" si="63"/>
        <v>0</v>
      </c>
      <c r="BP44" s="300">
        <f t="shared" si="64"/>
        <v>0</v>
      </c>
      <c r="BQ44" s="300">
        <f t="shared" si="65"/>
        <v>0</v>
      </c>
      <c r="BR44" s="30"/>
      <c r="BS44" s="30"/>
      <c r="BT44" s="28">
        <f t="shared" si="66"/>
        <v>0</v>
      </c>
      <c r="BU44" s="28">
        <f t="shared" si="67"/>
        <v>0</v>
      </c>
      <c r="BV44" s="28">
        <f t="shared" si="68"/>
        <v>0</v>
      </c>
      <c r="BW44" s="28">
        <f t="shared" si="69"/>
        <v>0</v>
      </c>
      <c r="BX44" s="28">
        <f t="shared" si="70"/>
        <v>0</v>
      </c>
      <c r="BY44" s="28">
        <f t="shared" si="71"/>
        <v>0</v>
      </c>
      <c r="BZ44" s="28"/>
      <c r="CA44" s="300">
        <f t="shared" si="72"/>
        <v>0</v>
      </c>
      <c r="CB44" s="300">
        <f t="shared" si="73"/>
        <v>0</v>
      </c>
      <c r="CC44" s="300">
        <f t="shared" si="74"/>
        <v>0</v>
      </c>
      <c r="CD44" s="300">
        <f t="shared" si="75"/>
        <v>0</v>
      </c>
      <c r="CE44" s="300">
        <f t="shared" si="76"/>
        <v>0</v>
      </c>
      <c r="CF44" s="300">
        <f t="shared" si="77"/>
        <v>0</v>
      </c>
      <c r="CG44" s="246"/>
      <c r="CH44" s="246">
        <f t="shared" si="78"/>
        <v>0</v>
      </c>
      <c r="CI44" s="246">
        <f t="shared" si="79"/>
        <v>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0</v>
      </c>
      <c r="CW44" s="28">
        <f t="shared" si="91"/>
        <v>0</v>
      </c>
      <c r="CX44" s="28">
        <f t="shared" si="92"/>
        <v>0</v>
      </c>
      <c r="CY44" s="28">
        <f t="shared" si="93"/>
        <v>0</v>
      </c>
      <c r="CZ44" s="28">
        <f t="shared" si="94"/>
        <v>0</v>
      </c>
      <c r="DA44" s="28">
        <f t="shared" si="95"/>
        <v>0</v>
      </c>
      <c r="DB44" s="220"/>
      <c r="DC44" s="220"/>
    </row>
    <row r="45" spans="1:107" s="221" customFormat="1" ht="22.5" customHeight="1" x14ac:dyDescent="0.2">
      <c r="A45" s="24">
        <v>9</v>
      </c>
      <c r="B45" s="41">
        <f t="shared" si="55"/>
        <v>0</v>
      </c>
      <c r="C45" s="298"/>
      <c r="D45" s="367"/>
      <c r="E45" s="368"/>
      <c r="F45" s="378"/>
      <c r="G45" s="379"/>
      <c r="H45" s="367"/>
      <c r="I45" s="394"/>
      <c r="J45" s="394"/>
      <c r="K45" s="368"/>
      <c r="L45" s="367"/>
      <c r="M45" s="368"/>
      <c r="N45" s="367"/>
      <c r="O45" s="368"/>
      <c r="P45" s="367"/>
      <c r="Q45" s="368"/>
      <c r="R45" s="367"/>
      <c r="S45" s="368"/>
      <c r="T45" s="367"/>
      <c r="U45" s="368"/>
      <c r="V45" s="367"/>
      <c r="W45" s="368"/>
      <c r="X45" s="367"/>
      <c r="Y45" s="368"/>
      <c r="Z45" s="367"/>
      <c r="AA45" s="368"/>
      <c r="AB45" s="397">
        <v>0</v>
      </c>
      <c r="AC45" s="385"/>
      <c r="AD45" s="398"/>
      <c r="AE45" s="399"/>
      <c r="AF45" s="398"/>
      <c r="AG45" s="399"/>
      <c r="AH45" s="419">
        <f t="shared" si="57"/>
        <v>0</v>
      </c>
      <c r="AI45" s="420"/>
      <c r="AJ45" s="89">
        <f t="shared" si="56"/>
        <v>0</v>
      </c>
      <c r="AK45" s="88">
        <v>0</v>
      </c>
      <c r="AL45" s="89">
        <v>0</v>
      </c>
      <c r="AM45" s="89">
        <v>0</v>
      </c>
      <c r="AN45" s="89">
        <v>0</v>
      </c>
      <c r="AO45" s="89">
        <v>0</v>
      </c>
      <c r="AP45" s="89">
        <v>0</v>
      </c>
      <c r="AQ45" s="432"/>
      <c r="AR45" s="220"/>
      <c r="AS45" s="220"/>
      <c r="AT45" s="220"/>
      <c r="AU45" s="220"/>
      <c r="AV45" s="220"/>
      <c r="AW45" s="220"/>
      <c r="AX45" s="220"/>
      <c r="AY45" s="28">
        <f t="shared" si="58"/>
        <v>0</v>
      </c>
      <c r="AZ45" s="28">
        <f>IFERROR((VLOOKUP($BP$1&amp;B42,Teams!D:S,12,0)),0)</f>
        <v>0</v>
      </c>
      <c r="BA45" s="28">
        <f>IFERROR((VLOOKUP($BP$1&amp;B42,Teams!D:S,13,0)),0)</f>
        <v>0</v>
      </c>
      <c r="BB45" s="28">
        <f>IFERROR((VLOOKUP($BP$1&amp;B42,Teams!D:S,14,0)),0)</f>
        <v>0</v>
      </c>
      <c r="BC45" s="28">
        <f>IFERROR((VLOOKUP($BP$1&amp;B42,Teams!D:S,15,0)),0)</f>
        <v>0</v>
      </c>
      <c r="BD45" s="28">
        <f>IFERROR((VLOOKUP($BP$1&amp;B42,Teams!D:S,16,0)),0)</f>
        <v>0</v>
      </c>
      <c r="BE45" s="28">
        <v>20000</v>
      </c>
      <c r="BF45" s="28">
        <v>10000</v>
      </c>
      <c r="BG45" s="28">
        <v>40000</v>
      </c>
      <c r="BH45" s="28">
        <v>20000</v>
      </c>
      <c r="BI45" s="28">
        <v>80000</v>
      </c>
      <c r="BJ45" s="28">
        <f t="shared" si="59"/>
        <v>0</v>
      </c>
      <c r="BK45" s="224"/>
      <c r="BL45" s="300">
        <f t="shared" si="60"/>
        <v>0</v>
      </c>
      <c r="BM45" s="300">
        <f t="shared" si="61"/>
        <v>0</v>
      </c>
      <c r="BN45" s="300">
        <f t="shared" si="62"/>
        <v>0</v>
      </c>
      <c r="BO45" s="300">
        <f t="shared" si="63"/>
        <v>0</v>
      </c>
      <c r="BP45" s="300">
        <f t="shared" si="64"/>
        <v>0</v>
      </c>
      <c r="BQ45" s="300">
        <f t="shared" si="65"/>
        <v>0</v>
      </c>
      <c r="BR45" s="30"/>
      <c r="BS45" s="30"/>
      <c r="BT45" s="28">
        <f t="shared" si="66"/>
        <v>0</v>
      </c>
      <c r="BU45" s="28">
        <f t="shared" si="67"/>
        <v>0</v>
      </c>
      <c r="BV45" s="28">
        <f t="shared" si="68"/>
        <v>0</v>
      </c>
      <c r="BW45" s="28">
        <f t="shared" si="69"/>
        <v>0</v>
      </c>
      <c r="BX45" s="28">
        <f t="shared" si="70"/>
        <v>0</v>
      </c>
      <c r="BY45" s="28">
        <f t="shared" si="71"/>
        <v>0</v>
      </c>
      <c r="BZ45" s="28"/>
      <c r="CA45" s="300">
        <f t="shared" si="72"/>
        <v>0</v>
      </c>
      <c r="CB45" s="300">
        <f t="shared" si="73"/>
        <v>0</v>
      </c>
      <c r="CC45" s="300">
        <f t="shared" si="74"/>
        <v>0</v>
      </c>
      <c r="CD45" s="300">
        <f t="shared" si="75"/>
        <v>0</v>
      </c>
      <c r="CE45" s="300">
        <f t="shared" si="76"/>
        <v>0</v>
      </c>
      <c r="CF45" s="300">
        <f t="shared" si="77"/>
        <v>0</v>
      </c>
      <c r="CG45" s="246"/>
      <c r="CH45" s="246">
        <f t="shared" si="78"/>
        <v>0</v>
      </c>
      <c r="CI45" s="246">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0</v>
      </c>
      <c r="CW45" s="28">
        <f t="shared" si="91"/>
        <v>0</v>
      </c>
      <c r="CX45" s="28">
        <f t="shared" si="92"/>
        <v>0</v>
      </c>
      <c r="CY45" s="28">
        <f t="shared" si="93"/>
        <v>0</v>
      </c>
      <c r="CZ45" s="28">
        <f t="shared" si="94"/>
        <v>0</v>
      </c>
      <c r="DA45" s="28">
        <f t="shared" si="95"/>
        <v>0</v>
      </c>
      <c r="DB45" s="220"/>
      <c r="DC45" s="220"/>
    </row>
    <row r="46" spans="1:107" s="221" customFormat="1" ht="22.5" customHeight="1" x14ac:dyDescent="0.2">
      <c r="A46" s="24">
        <v>10</v>
      </c>
      <c r="B46" s="41">
        <f t="shared" si="55"/>
        <v>0</v>
      </c>
      <c r="C46" s="298"/>
      <c r="D46" s="367"/>
      <c r="E46" s="368"/>
      <c r="F46" s="378"/>
      <c r="G46" s="379"/>
      <c r="H46" s="367"/>
      <c r="I46" s="394"/>
      <c r="J46" s="394"/>
      <c r="K46" s="368"/>
      <c r="L46" s="367"/>
      <c r="M46" s="368"/>
      <c r="N46" s="367"/>
      <c r="O46" s="368"/>
      <c r="P46" s="367"/>
      <c r="Q46" s="368"/>
      <c r="R46" s="367"/>
      <c r="S46" s="368"/>
      <c r="T46" s="367"/>
      <c r="U46" s="368"/>
      <c r="V46" s="367"/>
      <c r="W46" s="368"/>
      <c r="X46" s="367"/>
      <c r="Y46" s="368"/>
      <c r="Z46" s="367"/>
      <c r="AA46" s="368"/>
      <c r="AB46" s="397">
        <v>0</v>
      </c>
      <c r="AC46" s="385"/>
      <c r="AD46" s="398"/>
      <c r="AE46" s="399"/>
      <c r="AF46" s="398"/>
      <c r="AG46" s="399"/>
      <c r="AH46" s="419">
        <f t="shared" si="57"/>
        <v>0</v>
      </c>
      <c r="AI46" s="420"/>
      <c r="AJ46" s="89">
        <f t="shared" si="56"/>
        <v>0</v>
      </c>
      <c r="AK46" s="88">
        <v>0</v>
      </c>
      <c r="AL46" s="89">
        <v>0</v>
      </c>
      <c r="AM46" s="89">
        <v>0</v>
      </c>
      <c r="AN46" s="89">
        <v>0</v>
      </c>
      <c r="AO46" s="89">
        <v>0</v>
      </c>
      <c r="AP46" s="89">
        <v>0</v>
      </c>
      <c r="AQ46" s="432"/>
      <c r="AR46" s="220"/>
      <c r="AS46" s="220"/>
      <c r="AT46" s="220"/>
      <c r="AU46" s="220"/>
      <c r="AV46" s="220"/>
      <c r="AW46" s="220"/>
      <c r="AX46" s="220"/>
      <c r="AY46" s="28">
        <f t="shared" si="58"/>
        <v>0</v>
      </c>
      <c r="AZ46" s="28">
        <f>IFERROR((VLOOKUP($BP$1&amp;B43,Teams!D:S,12,0)),0)</f>
        <v>0</v>
      </c>
      <c r="BA46" s="28">
        <f>IFERROR((VLOOKUP($BP$1&amp;B43,Teams!D:S,13,0)),0)</f>
        <v>0</v>
      </c>
      <c r="BB46" s="28">
        <f>IFERROR((VLOOKUP($BP$1&amp;B43,Teams!D:S,14,0)),0)</f>
        <v>0</v>
      </c>
      <c r="BC46" s="28">
        <f>IFERROR((VLOOKUP($BP$1&amp;B43,Teams!D:S,15,0)),0)</f>
        <v>0</v>
      </c>
      <c r="BD46" s="28">
        <f>IFERROR((VLOOKUP($BP$1&amp;B43,Teams!D:S,16,0)),0)</f>
        <v>0</v>
      </c>
      <c r="BE46" s="28">
        <v>20000</v>
      </c>
      <c r="BF46" s="28">
        <v>10000</v>
      </c>
      <c r="BG46" s="28">
        <v>40000</v>
      </c>
      <c r="BH46" s="28">
        <v>20000</v>
      </c>
      <c r="BI46" s="28">
        <v>80000</v>
      </c>
      <c r="BJ46" s="28">
        <f t="shared" si="59"/>
        <v>0</v>
      </c>
      <c r="BK46" s="224"/>
      <c r="BL46" s="300">
        <f t="shared" si="60"/>
        <v>0</v>
      </c>
      <c r="BM46" s="300">
        <f t="shared" si="61"/>
        <v>0</v>
      </c>
      <c r="BN46" s="300">
        <f t="shared" si="62"/>
        <v>0</v>
      </c>
      <c r="BO46" s="300">
        <f t="shared" si="63"/>
        <v>0</v>
      </c>
      <c r="BP46" s="300">
        <f t="shared" si="64"/>
        <v>0</v>
      </c>
      <c r="BQ46" s="300">
        <f t="shared" si="65"/>
        <v>0</v>
      </c>
      <c r="BR46" s="30"/>
      <c r="BS46" s="30"/>
      <c r="BT46" s="28">
        <f t="shared" si="66"/>
        <v>0</v>
      </c>
      <c r="BU46" s="28">
        <f t="shared" si="67"/>
        <v>0</v>
      </c>
      <c r="BV46" s="28">
        <f t="shared" si="68"/>
        <v>0</v>
      </c>
      <c r="BW46" s="28">
        <f t="shared" si="69"/>
        <v>0</v>
      </c>
      <c r="BX46" s="28">
        <f t="shared" si="70"/>
        <v>0</v>
      </c>
      <c r="BY46" s="28">
        <f t="shared" si="71"/>
        <v>0</v>
      </c>
      <c r="BZ46" s="28"/>
      <c r="CA46" s="300">
        <f t="shared" si="72"/>
        <v>0</v>
      </c>
      <c r="CB46" s="300">
        <f t="shared" si="73"/>
        <v>0</v>
      </c>
      <c r="CC46" s="300">
        <f t="shared" si="74"/>
        <v>0</v>
      </c>
      <c r="CD46" s="300">
        <f t="shared" si="75"/>
        <v>0</v>
      </c>
      <c r="CE46" s="300">
        <f t="shared" si="76"/>
        <v>0</v>
      </c>
      <c r="CF46" s="300">
        <f t="shared" si="77"/>
        <v>0</v>
      </c>
      <c r="CG46" s="246"/>
      <c r="CH46" s="246">
        <f t="shared" si="78"/>
        <v>0</v>
      </c>
      <c r="CI46" s="246">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0</v>
      </c>
      <c r="CW46" s="28">
        <f t="shared" si="91"/>
        <v>0</v>
      </c>
      <c r="CX46" s="28">
        <f t="shared" si="92"/>
        <v>0</v>
      </c>
      <c r="CY46" s="28">
        <f t="shared" si="93"/>
        <v>0</v>
      </c>
      <c r="CZ46" s="28">
        <f t="shared" si="94"/>
        <v>0</v>
      </c>
      <c r="DA46" s="28">
        <f t="shared" si="95"/>
        <v>0</v>
      </c>
      <c r="DB46" s="220"/>
      <c r="DC46" s="220"/>
    </row>
    <row r="47" spans="1:107" s="221" customFormat="1" ht="22.5" customHeight="1" x14ac:dyDescent="0.2">
      <c r="A47" s="24">
        <v>11</v>
      </c>
      <c r="B47" s="41">
        <f t="shared" si="55"/>
        <v>0</v>
      </c>
      <c r="C47" s="298"/>
      <c r="D47" s="367"/>
      <c r="E47" s="368"/>
      <c r="F47" s="378"/>
      <c r="G47" s="379"/>
      <c r="H47" s="367"/>
      <c r="I47" s="394"/>
      <c r="J47" s="394"/>
      <c r="K47" s="368"/>
      <c r="L47" s="367"/>
      <c r="M47" s="368"/>
      <c r="N47" s="367"/>
      <c r="O47" s="368"/>
      <c r="P47" s="367"/>
      <c r="Q47" s="368"/>
      <c r="R47" s="367"/>
      <c r="S47" s="368"/>
      <c r="T47" s="367"/>
      <c r="U47" s="368"/>
      <c r="V47" s="367"/>
      <c r="W47" s="368"/>
      <c r="X47" s="367"/>
      <c r="Y47" s="368"/>
      <c r="Z47" s="367"/>
      <c r="AA47" s="368"/>
      <c r="AB47" s="397">
        <v>0</v>
      </c>
      <c r="AC47" s="385"/>
      <c r="AD47" s="398"/>
      <c r="AE47" s="399"/>
      <c r="AF47" s="398"/>
      <c r="AG47" s="399"/>
      <c r="AH47" s="419">
        <f t="shared" si="57"/>
        <v>0</v>
      </c>
      <c r="AI47" s="420"/>
      <c r="AJ47" s="89">
        <f t="shared" si="56"/>
        <v>0</v>
      </c>
      <c r="AK47" s="88">
        <v>0</v>
      </c>
      <c r="AL47" s="89">
        <v>0</v>
      </c>
      <c r="AM47" s="89">
        <v>0</v>
      </c>
      <c r="AN47" s="89">
        <v>0</v>
      </c>
      <c r="AO47" s="89">
        <v>0</v>
      </c>
      <c r="AP47" s="89">
        <v>0</v>
      </c>
      <c r="AQ47" s="432"/>
      <c r="AR47" s="220"/>
      <c r="AS47" s="220"/>
      <c r="AT47" s="220"/>
      <c r="AU47" s="220"/>
      <c r="AV47" s="220"/>
      <c r="AW47" s="220"/>
      <c r="AX47" s="220"/>
      <c r="AY47" s="28">
        <f t="shared" si="58"/>
        <v>0</v>
      </c>
      <c r="AZ47" s="28">
        <f>IFERROR((VLOOKUP($BP$1&amp;B44,Teams!D:S,12,0)),0)</f>
        <v>0</v>
      </c>
      <c r="BA47" s="28">
        <f>IFERROR((VLOOKUP($BP$1&amp;B44,Teams!D:S,13,0)),0)</f>
        <v>0</v>
      </c>
      <c r="BB47" s="28">
        <f>IFERROR((VLOOKUP($BP$1&amp;B44,Teams!D:S,14,0)),0)</f>
        <v>0</v>
      </c>
      <c r="BC47" s="28">
        <f>IFERROR((VLOOKUP($BP$1&amp;B44,Teams!D:S,15,0)),0)</f>
        <v>0</v>
      </c>
      <c r="BD47" s="28">
        <f>IFERROR((VLOOKUP($BP$1&amp;B44,Teams!D:S,16,0)),0)</f>
        <v>0</v>
      </c>
      <c r="BE47" s="28">
        <v>20000</v>
      </c>
      <c r="BF47" s="28">
        <v>10000</v>
      </c>
      <c r="BG47" s="28">
        <v>40000</v>
      </c>
      <c r="BH47" s="28">
        <v>20000</v>
      </c>
      <c r="BI47" s="28">
        <v>80000</v>
      </c>
      <c r="BJ47" s="28">
        <f t="shared" si="59"/>
        <v>0</v>
      </c>
      <c r="BK47" s="224"/>
      <c r="BL47" s="300">
        <f t="shared" si="60"/>
        <v>0</v>
      </c>
      <c r="BM47" s="300">
        <f t="shared" si="61"/>
        <v>0</v>
      </c>
      <c r="BN47" s="300">
        <f t="shared" si="62"/>
        <v>0</v>
      </c>
      <c r="BO47" s="300">
        <f t="shared" si="63"/>
        <v>0</v>
      </c>
      <c r="BP47" s="300">
        <f t="shared" si="64"/>
        <v>0</v>
      </c>
      <c r="BQ47" s="300">
        <f t="shared" si="65"/>
        <v>0</v>
      </c>
      <c r="BR47" s="30"/>
      <c r="BS47" s="30"/>
      <c r="BT47" s="28">
        <f t="shared" si="66"/>
        <v>0</v>
      </c>
      <c r="BU47" s="28">
        <f t="shared" si="67"/>
        <v>0</v>
      </c>
      <c r="BV47" s="28">
        <f t="shared" si="68"/>
        <v>0</v>
      </c>
      <c r="BW47" s="28">
        <f t="shared" si="69"/>
        <v>0</v>
      </c>
      <c r="BX47" s="28">
        <f t="shared" si="70"/>
        <v>0</v>
      </c>
      <c r="BY47" s="28">
        <f t="shared" si="71"/>
        <v>0</v>
      </c>
      <c r="BZ47" s="28"/>
      <c r="CA47" s="300">
        <f t="shared" si="72"/>
        <v>0</v>
      </c>
      <c r="CB47" s="300">
        <f t="shared" si="73"/>
        <v>0</v>
      </c>
      <c r="CC47" s="300">
        <f t="shared" si="74"/>
        <v>0</v>
      </c>
      <c r="CD47" s="300">
        <f t="shared" si="75"/>
        <v>0</v>
      </c>
      <c r="CE47" s="300">
        <f t="shared" si="76"/>
        <v>0</v>
      </c>
      <c r="CF47" s="300">
        <f t="shared" si="77"/>
        <v>0</v>
      </c>
      <c r="CG47" s="246"/>
      <c r="CH47" s="246">
        <f t="shared" si="78"/>
        <v>0</v>
      </c>
      <c r="CI47" s="246">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0</v>
      </c>
      <c r="CW47" s="28">
        <f t="shared" si="91"/>
        <v>0</v>
      </c>
      <c r="CX47" s="28">
        <f t="shared" si="92"/>
        <v>0</v>
      </c>
      <c r="CY47" s="28">
        <f t="shared" si="93"/>
        <v>0</v>
      </c>
      <c r="CZ47" s="28">
        <f t="shared" si="94"/>
        <v>0</v>
      </c>
      <c r="DA47" s="28">
        <f t="shared" si="95"/>
        <v>0</v>
      </c>
      <c r="DB47" s="220"/>
      <c r="DC47" s="220"/>
    </row>
    <row r="48" spans="1:107" s="221" customFormat="1" ht="22.5" customHeight="1" x14ac:dyDescent="0.2">
      <c r="A48" s="24">
        <v>12</v>
      </c>
      <c r="B48" s="41">
        <f t="shared" si="55"/>
        <v>0</v>
      </c>
      <c r="C48" s="298"/>
      <c r="D48" s="367"/>
      <c r="E48" s="368"/>
      <c r="F48" s="378"/>
      <c r="G48" s="379"/>
      <c r="H48" s="367"/>
      <c r="I48" s="394"/>
      <c r="J48" s="394"/>
      <c r="K48" s="368"/>
      <c r="L48" s="367"/>
      <c r="M48" s="368"/>
      <c r="N48" s="367"/>
      <c r="O48" s="368"/>
      <c r="P48" s="367"/>
      <c r="Q48" s="368"/>
      <c r="R48" s="367"/>
      <c r="S48" s="368"/>
      <c r="T48" s="367"/>
      <c r="U48" s="368"/>
      <c r="V48" s="367"/>
      <c r="W48" s="368"/>
      <c r="X48" s="367"/>
      <c r="Y48" s="368"/>
      <c r="Z48" s="367"/>
      <c r="AA48" s="368"/>
      <c r="AB48" s="397">
        <v>0</v>
      </c>
      <c r="AC48" s="385"/>
      <c r="AD48" s="398"/>
      <c r="AE48" s="399"/>
      <c r="AF48" s="398"/>
      <c r="AG48" s="399"/>
      <c r="AH48" s="419">
        <f t="shared" si="57"/>
        <v>0</v>
      </c>
      <c r="AI48" s="420"/>
      <c r="AJ48" s="89">
        <f t="shared" si="56"/>
        <v>0</v>
      </c>
      <c r="AK48" s="88">
        <v>0</v>
      </c>
      <c r="AL48" s="89">
        <v>0</v>
      </c>
      <c r="AM48" s="89">
        <v>0</v>
      </c>
      <c r="AN48" s="89">
        <v>0</v>
      </c>
      <c r="AO48" s="89">
        <v>0</v>
      </c>
      <c r="AP48" s="89">
        <v>0</v>
      </c>
      <c r="AQ48" s="432"/>
      <c r="AR48" s="220"/>
      <c r="AS48" s="220"/>
      <c r="AT48" s="220"/>
      <c r="AU48" s="220"/>
      <c r="AV48" s="220"/>
      <c r="AW48" s="220"/>
      <c r="AX48" s="220"/>
      <c r="AY48" s="28">
        <f t="shared" si="58"/>
        <v>0</v>
      </c>
      <c r="AZ48" s="28">
        <f>IFERROR((VLOOKUP($BP$1&amp;B45,Teams!D:S,12,0)),0)</f>
        <v>0</v>
      </c>
      <c r="BA48" s="28">
        <f>IFERROR((VLOOKUP($BP$1&amp;B45,Teams!D:S,13,0)),0)</f>
        <v>0</v>
      </c>
      <c r="BB48" s="28">
        <f>IFERROR((VLOOKUP($BP$1&amp;B45,Teams!D:S,14,0)),0)</f>
        <v>0</v>
      </c>
      <c r="BC48" s="28">
        <f>IFERROR((VLOOKUP($BP$1&amp;B45,Teams!D:S,15,0)),0)</f>
        <v>0</v>
      </c>
      <c r="BD48" s="28">
        <f>IFERROR((VLOOKUP($BP$1&amp;B45,Teams!D:S,16,0)),0)</f>
        <v>0</v>
      </c>
      <c r="BE48" s="28">
        <v>20000</v>
      </c>
      <c r="BF48" s="28">
        <v>10000</v>
      </c>
      <c r="BG48" s="28">
        <v>40000</v>
      </c>
      <c r="BH48" s="28">
        <v>20000</v>
      </c>
      <c r="BI48" s="28">
        <v>80000</v>
      </c>
      <c r="BJ48" s="28">
        <f t="shared" si="59"/>
        <v>0</v>
      </c>
      <c r="BK48" s="224"/>
      <c r="BL48" s="300">
        <f t="shared" si="60"/>
        <v>0</v>
      </c>
      <c r="BM48" s="300">
        <f t="shared" si="61"/>
        <v>0</v>
      </c>
      <c r="BN48" s="300">
        <f t="shared" si="62"/>
        <v>0</v>
      </c>
      <c r="BO48" s="300">
        <f t="shared" si="63"/>
        <v>0</v>
      </c>
      <c r="BP48" s="300">
        <f t="shared" si="64"/>
        <v>0</v>
      </c>
      <c r="BQ48" s="300">
        <f t="shared" si="65"/>
        <v>0</v>
      </c>
      <c r="BR48" s="30"/>
      <c r="BS48" s="30"/>
      <c r="BT48" s="28">
        <f t="shared" si="66"/>
        <v>0</v>
      </c>
      <c r="BU48" s="28">
        <f t="shared" si="67"/>
        <v>0</v>
      </c>
      <c r="BV48" s="28">
        <f t="shared" si="68"/>
        <v>0</v>
      </c>
      <c r="BW48" s="28">
        <f t="shared" si="69"/>
        <v>0</v>
      </c>
      <c r="BX48" s="28">
        <f t="shared" si="70"/>
        <v>0</v>
      </c>
      <c r="BY48" s="28">
        <f t="shared" si="71"/>
        <v>0</v>
      </c>
      <c r="BZ48" s="28"/>
      <c r="CA48" s="300">
        <f t="shared" si="72"/>
        <v>0</v>
      </c>
      <c r="CB48" s="300">
        <f t="shared" si="73"/>
        <v>0</v>
      </c>
      <c r="CC48" s="300">
        <f t="shared" si="74"/>
        <v>0</v>
      </c>
      <c r="CD48" s="300">
        <f t="shared" si="75"/>
        <v>0</v>
      </c>
      <c r="CE48" s="300">
        <f t="shared" si="76"/>
        <v>0</v>
      </c>
      <c r="CF48" s="300">
        <f t="shared" si="77"/>
        <v>0</v>
      </c>
      <c r="CG48" s="246"/>
      <c r="CH48" s="246">
        <f t="shared" si="78"/>
        <v>0</v>
      </c>
      <c r="CI48" s="246">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0</v>
      </c>
      <c r="CW48" s="28">
        <f t="shared" si="91"/>
        <v>0</v>
      </c>
      <c r="CX48" s="28">
        <f t="shared" si="92"/>
        <v>0</v>
      </c>
      <c r="CY48" s="28">
        <f t="shared" si="93"/>
        <v>0</v>
      </c>
      <c r="CZ48" s="28">
        <f t="shared" si="94"/>
        <v>0</v>
      </c>
      <c r="DA48" s="28">
        <f t="shared" si="95"/>
        <v>0</v>
      </c>
      <c r="DB48" s="220"/>
      <c r="DC48" s="220"/>
    </row>
    <row r="49" spans="1:107" s="221" customFormat="1" ht="22.5" customHeight="1" x14ac:dyDescent="0.2">
      <c r="A49" s="24">
        <v>13</v>
      </c>
      <c r="B49" s="41">
        <f t="shared" si="55"/>
        <v>0</v>
      </c>
      <c r="C49" s="298"/>
      <c r="D49" s="367"/>
      <c r="E49" s="368"/>
      <c r="F49" s="378"/>
      <c r="G49" s="379"/>
      <c r="H49" s="367"/>
      <c r="I49" s="394"/>
      <c r="J49" s="394"/>
      <c r="K49" s="368"/>
      <c r="L49" s="367"/>
      <c r="M49" s="368"/>
      <c r="N49" s="367"/>
      <c r="O49" s="368"/>
      <c r="P49" s="367"/>
      <c r="Q49" s="368"/>
      <c r="R49" s="367"/>
      <c r="S49" s="368"/>
      <c r="T49" s="367"/>
      <c r="U49" s="368"/>
      <c r="V49" s="367"/>
      <c r="W49" s="368"/>
      <c r="X49" s="367"/>
      <c r="Y49" s="368"/>
      <c r="Z49" s="367"/>
      <c r="AA49" s="368"/>
      <c r="AB49" s="397">
        <v>0</v>
      </c>
      <c r="AC49" s="385"/>
      <c r="AD49" s="398"/>
      <c r="AE49" s="399"/>
      <c r="AF49" s="398"/>
      <c r="AG49" s="399"/>
      <c r="AH49" s="419">
        <f t="shared" si="57"/>
        <v>0</v>
      </c>
      <c r="AI49" s="420"/>
      <c r="AJ49" s="89">
        <f t="shared" si="56"/>
        <v>0</v>
      </c>
      <c r="AK49" s="88">
        <v>0</v>
      </c>
      <c r="AL49" s="89">
        <v>0</v>
      </c>
      <c r="AM49" s="89">
        <v>0</v>
      </c>
      <c r="AN49" s="89">
        <v>0</v>
      </c>
      <c r="AO49" s="89">
        <v>0</v>
      </c>
      <c r="AP49" s="89">
        <v>0</v>
      </c>
      <c r="AQ49" s="432"/>
      <c r="AR49" s="220"/>
      <c r="AS49" s="220"/>
      <c r="AT49" s="220"/>
      <c r="AU49" s="220"/>
      <c r="AV49" s="220"/>
      <c r="AW49" s="220"/>
      <c r="AX49" s="220"/>
      <c r="AY49" s="28">
        <f t="shared" si="58"/>
        <v>0</v>
      </c>
      <c r="AZ49" s="28">
        <f>IFERROR((VLOOKUP($BP$1&amp;B46,Teams!D:S,12,0)),0)</f>
        <v>0</v>
      </c>
      <c r="BA49" s="28">
        <f>IFERROR((VLOOKUP($BP$1&amp;B46,Teams!D:S,13,0)),0)</f>
        <v>0</v>
      </c>
      <c r="BB49" s="28">
        <f>IFERROR((VLOOKUP($BP$1&amp;B46,Teams!D:S,14,0)),0)</f>
        <v>0</v>
      </c>
      <c r="BC49" s="28">
        <f>IFERROR((VLOOKUP($BP$1&amp;B46,Teams!D:S,15,0)),0)</f>
        <v>0</v>
      </c>
      <c r="BD49" s="28">
        <f>IFERROR((VLOOKUP($BP$1&amp;B46,Teams!D:S,16,0)),0)</f>
        <v>0</v>
      </c>
      <c r="BE49" s="28">
        <v>20000</v>
      </c>
      <c r="BF49" s="28">
        <v>10000</v>
      </c>
      <c r="BG49" s="28">
        <v>40000</v>
      </c>
      <c r="BH49" s="28">
        <v>20000</v>
      </c>
      <c r="BI49" s="28">
        <v>80000</v>
      </c>
      <c r="BJ49" s="28">
        <f t="shared" si="59"/>
        <v>0</v>
      </c>
      <c r="BK49" s="224"/>
      <c r="BL49" s="300">
        <f t="shared" si="60"/>
        <v>0</v>
      </c>
      <c r="BM49" s="300">
        <f t="shared" si="61"/>
        <v>0</v>
      </c>
      <c r="BN49" s="300">
        <f t="shared" si="62"/>
        <v>0</v>
      </c>
      <c r="BO49" s="300">
        <f t="shared" si="63"/>
        <v>0</v>
      </c>
      <c r="BP49" s="300">
        <f t="shared" si="64"/>
        <v>0</v>
      </c>
      <c r="BQ49" s="300">
        <f t="shared" si="65"/>
        <v>0</v>
      </c>
      <c r="BR49" s="30"/>
      <c r="BS49" s="30"/>
      <c r="BT49" s="28">
        <f t="shared" si="66"/>
        <v>0</v>
      </c>
      <c r="BU49" s="28">
        <f t="shared" si="67"/>
        <v>0</v>
      </c>
      <c r="BV49" s="28">
        <f t="shared" si="68"/>
        <v>0</v>
      </c>
      <c r="BW49" s="28">
        <f t="shared" si="69"/>
        <v>0</v>
      </c>
      <c r="BX49" s="28">
        <f t="shared" si="70"/>
        <v>0</v>
      </c>
      <c r="BY49" s="28">
        <f t="shared" si="71"/>
        <v>0</v>
      </c>
      <c r="BZ49" s="28"/>
      <c r="CA49" s="300">
        <f t="shared" si="72"/>
        <v>0</v>
      </c>
      <c r="CB49" s="300">
        <f t="shared" si="73"/>
        <v>0</v>
      </c>
      <c r="CC49" s="300">
        <f t="shared" si="74"/>
        <v>0</v>
      </c>
      <c r="CD49" s="300">
        <f t="shared" si="75"/>
        <v>0</v>
      </c>
      <c r="CE49" s="300">
        <f t="shared" si="76"/>
        <v>0</v>
      </c>
      <c r="CF49" s="300">
        <f t="shared" si="77"/>
        <v>0</v>
      </c>
      <c r="CG49" s="246"/>
      <c r="CH49" s="246">
        <f t="shared" si="78"/>
        <v>0</v>
      </c>
      <c r="CI49" s="246">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0</v>
      </c>
      <c r="CW49" s="28">
        <f t="shared" si="91"/>
        <v>0</v>
      </c>
      <c r="CX49" s="28">
        <f t="shared" si="92"/>
        <v>0</v>
      </c>
      <c r="CY49" s="28">
        <f t="shared" si="93"/>
        <v>0</v>
      </c>
      <c r="CZ49" s="28">
        <f t="shared" si="94"/>
        <v>0</v>
      </c>
      <c r="DA49" s="28">
        <f t="shared" si="95"/>
        <v>0</v>
      </c>
      <c r="DB49" s="220"/>
      <c r="DC49" s="220"/>
    </row>
    <row r="50" spans="1:107" s="221" customFormat="1" ht="22.5" customHeight="1" x14ac:dyDescent="0.2">
      <c r="A50" s="24">
        <v>14</v>
      </c>
      <c r="B50" s="41">
        <f t="shared" si="55"/>
        <v>0</v>
      </c>
      <c r="C50" s="298"/>
      <c r="D50" s="367"/>
      <c r="E50" s="368"/>
      <c r="F50" s="378"/>
      <c r="G50" s="379"/>
      <c r="H50" s="367"/>
      <c r="I50" s="394"/>
      <c r="J50" s="394"/>
      <c r="K50" s="368"/>
      <c r="L50" s="367"/>
      <c r="M50" s="368"/>
      <c r="N50" s="367"/>
      <c r="O50" s="368"/>
      <c r="P50" s="367"/>
      <c r="Q50" s="368"/>
      <c r="R50" s="367"/>
      <c r="S50" s="368"/>
      <c r="T50" s="367"/>
      <c r="U50" s="368"/>
      <c r="V50" s="367"/>
      <c r="W50" s="368"/>
      <c r="X50" s="367"/>
      <c r="Y50" s="368"/>
      <c r="Z50" s="367"/>
      <c r="AA50" s="368"/>
      <c r="AB50" s="397">
        <v>0</v>
      </c>
      <c r="AC50" s="385"/>
      <c r="AD50" s="398"/>
      <c r="AE50" s="399"/>
      <c r="AF50" s="398"/>
      <c r="AG50" s="399"/>
      <c r="AH50" s="419">
        <f t="shared" si="57"/>
        <v>0</v>
      </c>
      <c r="AI50" s="420"/>
      <c r="AJ50" s="89">
        <f t="shared" si="56"/>
        <v>0</v>
      </c>
      <c r="AK50" s="88">
        <v>0</v>
      </c>
      <c r="AL50" s="89">
        <v>0</v>
      </c>
      <c r="AM50" s="89">
        <v>0</v>
      </c>
      <c r="AN50" s="89">
        <v>0</v>
      </c>
      <c r="AO50" s="89">
        <v>0</v>
      </c>
      <c r="AP50" s="89">
        <v>0</v>
      </c>
      <c r="AQ50" s="432"/>
      <c r="AR50" s="220"/>
      <c r="AS50" s="220"/>
      <c r="AT50" s="220"/>
      <c r="AU50" s="220"/>
      <c r="AV50" s="220"/>
      <c r="AW50" s="220"/>
      <c r="AX50" s="220"/>
      <c r="AY50" s="28">
        <f t="shared" si="58"/>
        <v>0</v>
      </c>
      <c r="AZ50" s="28">
        <f>IFERROR((VLOOKUP($BP$1&amp;B47,Teams!D:S,12,0)),0)</f>
        <v>0</v>
      </c>
      <c r="BA50" s="28">
        <f>IFERROR((VLOOKUP($BP$1&amp;B47,Teams!D:S,13,0)),0)</f>
        <v>0</v>
      </c>
      <c r="BB50" s="28">
        <f>IFERROR((VLOOKUP($BP$1&amp;B47,Teams!D:S,14,0)),0)</f>
        <v>0</v>
      </c>
      <c r="BC50" s="28">
        <f>IFERROR((VLOOKUP($BP$1&amp;B47,Teams!D:S,15,0)),0)</f>
        <v>0</v>
      </c>
      <c r="BD50" s="28">
        <f>IFERROR((VLOOKUP($BP$1&amp;B47,Teams!D:S,16,0)),0)</f>
        <v>0</v>
      </c>
      <c r="BE50" s="28">
        <v>20000</v>
      </c>
      <c r="BF50" s="28">
        <v>10000</v>
      </c>
      <c r="BG50" s="28">
        <v>40000</v>
      </c>
      <c r="BH50" s="28">
        <v>20000</v>
      </c>
      <c r="BI50" s="28">
        <v>80000</v>
      </c>
      <c r="BJ50" s="28">
        <f t="shared" si="59"/>
        <v>0</v>
      </c>
      <c r="BK50" s="224"/>
      <c r="BL50" s="300">
        <f t="shared" si="60"/>
        <v>0</v>
      </c>
      <c r="BM50" s="300">
        <f t="shared" si="61"/>
        <v>0</v>
      </c>
      <c r="BN50" s="300">
        <f t="shared" si="62"/>
        <v>0</v>
      </c>
      <c r="BO50" s="300">
        <f t="shared" si="63"/>
        <v>0</v>
      </c>
      <c r="BP50" s="300">
        <f t="shared" si="64"/>
        <v>0</v>
      </c>
      <c r="BQ50" s="300">
        <f t="shared" si="65"/>
        <v>0</v>
      </c>
      <c r="BR50" s="30"/>
      <c r="BS50" s="30"/>
      <c r="BT50" s="28">
        <f t="shared" si="66"/>
        <v>0</v>
      </c>
      <c r="BU50" s="28">
        <f t="shared" si="67"/>
        <v>0</v>
      </c>
      <c r="BV50" s="28">
        <f t="shared" si="68"/>
        <v>0</v>
      </c>
      <c r="BW50" s="28">
        <f t="shared" si="69"/>
        <v>0</v>
      </c>
      <c r="BX50" s="28">
        <f t="shared" si="70"/>
        <v>0</v>
      </c>
      <c r="BY50" s="28">
        <f t="shared" si="71"/>
        <v>0</v>
      </c>
      <c r="BZ50" s="28"/>
      <c r="CA50" s="300">
        <f t="shared" si="72"/>
        <v>0</v>
      </c>
      <c r="CB50" s="300">
        <f t="shared" si="73"/>
        <v>0</v>
      </c>
      <c r="CC50" s="300">
        <f t="shared" si="74"/>
        <v>0</v>
      </c>
      <c r="CD50" s="300">
        <f t="shared" si="75"/>
        <v>0</v>
      </c>
      <c r="CE50" s="300">
        <f t="shared" si="76"/>
        <v>0</v>
      </c>
      <c r="CF50" s="300">
        <f t="shared" si="77"/>
        <v>0</v>
      </c>
      <c r="CG50" s="246"/>
      <c r="CH50" s="246">
        <f t="shared" si="78"/>
        <v>0</v>
      </c>
      <c r="CI50" s="246">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0</v>
      </c>
      <c r="CW50" s="28">
        <f t="shared" si="91"/>
        <v>0</v>
      </c>
      <c r="CX50" s="28">
        <f t="shared" si="92"/>
        <v>0</v>
      </c>
      <c r="CY50" s="28">
        <f t="shared" si="93"/>
        <v>0</v>
      </c>
      <c r="CZ50" s="28">
        <f t="shared" si="94"/>
        <v>0</v>
      </c>
      <c r="DA50" s="28">
        <f t="shared" si="95"/>
        <v>0</v>
      </c>
      <c r="DB50" s="220"/>
      <c r="DC50" s="220"/>
    </row>
    <row r="51" spans="1:107" s="221" customFormat="1" ht="22.5" customHeight="1" x14ac:dyDescent="0.2">
      <c r="A51" s="24">
        <v>15</v>
      </c>
      <c r="B51" s="41">
        <f t="shared" si="55"/>
        <v>0</v>
      </c>
      <c r="C51" s="298"/>
      <c r="D51" s="367"/>
      <c r="E51" s="368"/>
      <c r="F51" s="378"/>
      <c r="G51" s="379"/>
      <c r="H51" s="367"/>
      <c r="I51" s="394"/>
      <c r="J51" s="394"/>
      <c r="K51" s="368"/>
      <c r="L51" s="367"/>
      <c r="M51" s="368"/>
      <c r="N51" s="367"/>
      <c r="O51" s="368"/>
      <c r="P51" s="367"/>
      <c r="Q51" s="368"/>
      <c r="R51" s="367"/>
      <c r="S51" s="368"/>
      <c r="T51" s="367"/>
      <c r="U51" s="368"/>
      <c r="V51" s="367"/>
      <c r="W51" s="368"/>
      <c r="X51" s="367"/>
      <c r="Y51" s="368"/>
      <c r="Z51" s="367"/>
      <c r="AA51" s="368"/>
      <c r="AB51" s="397">
        <v>0</v>
      </c>
      <c r="AC51" s="385"/>
      <c r="AD51" s="398"/>
      <c r="AE51" s="399"/>
      <c r="AF51" s="398"/>
      <c r="AG51" s="399"/>
      <c r="AH51" s="419">
        <f t="shared" si="57"/>
        <v>0</v>
      </c>
      <c r="AI51" s="420"/>
      <c r="AJ51" s="89">
        <f t="shared" si="56"/>
        <v>0</v>
      </c>
      <c r="AK51" s="88">
        <v>0</v>
      </c>
      <c r="AL51" s="89">
        <v>0</v>
      </c>
      <c r="AM51" s="89">
        <v>0</v>
      </c>
      <c r="AN51" s="89">
        <v>0</v>
      </c>
      <c r="AO51" s="89">
        <v>0</v>
      </c>
      <c r="AP51" s="89">
        <v>0</v>
      </c>
      <c r="AQ51" s="432"/>
      <c r="AR51" s="220"/>
      <c r="AS51" s="220"/>
      <c r="AT51" s="220"/>
      <c r="AU51" s="220"/>
      <c r="AV51" s="220"/>
      <c r="AW51" s="220"/>
      <c r="AX51" s="220"/>
      <c r="AY51" s="28">
        <f t="shared" si="58"/>
        <v>0</v>
      </c>
      <c r="AZ51" s="28">
        <f>IFERROR((VLOOKUP($BP$1&amp;B48,Teams!D:S,12,0)),0)</f>
        <v>0</v>
      </c>
      <c r="BA51" s="28">
        <f>IFERROR((VLOOKUP($BP$1&amp;B48,Teams!D:S,13,0)),0)</f>
        <v>0</v>
      </c>
      <c r="BB51" s="28">
        <f>IFERROR((VLOOKUP($BP$1&amp;B48,Teams!D:S,14,0)),0)</f>
        <v>0</v>
      </c>
      <c r="BC51" s="28">
        <f>IFERROR((VLOOKUP($BP$1&amp;B48,Teams!D:S,15,0)),0)</f>
        <v>0</v>
      </c>
      <c r="BD51" s="28">
        <f>IFERROR((VLOOKUP($BP$1&amp;B48,Teams!D:S,16,0)),0)</f>
        <v>0</v>
      </c>
      <c r="BE51" s="28">
        <v>20000</v>
      </c>
      <c r="BF51" s="28">
        <v>10000</v>
      </c>
      <c r="BG51" s="28">
        <v>40000</v>
      </c>
      <c r="BH51" s="28">
        <v>20000</v>
      </c>
      <c r="BI51" s="28">
        <v>80000</v>
      </c>
      <c r="BJ51" s="28">
        <f t="shared" si="59"/>
        <v>0</v>
      </c>
      <c r="BK51" s="224"/>
      <c r="BL51" s="300">
        <f t="shared" si="60"/>
        <v>0</v>
      </c>
      <c r="BM51" s="300">
        <f t="shared" si="61"/>
        <v>0</v>
      </c>
      <c r="BN51" s="300">
        <f t="shared" si="62"/>
        <v>0</v>
      </c>
      <c r="BO51" s="300">
        <f t="shared" si="63"/>
        <v>0</v>
      </c>
      <c r="BP51" s="300">
        <f t="shared" si="64"/>
        <v>0</v>
      </c>
      <c r="BQ51" s="300">
        <f t="shared" si="65"/>
        <v>0</v>
      </c>
      <c r="BR51" s="30"/>
      <c r="BS51" s="30"/>
      <c r="BT51" s="28">
        <f t="shared" si="66"/>
        <v>0</v>
      </c>
      <c r="BU51" s="28">
        <f t="shared" si="67"/>
        <v>0</v>
      </c>
      <c r="BV51" s="28">
        <f t="shared" si="68"/>
        <v>0</v>
      </c>
      <c r="BW51" s="28">
        <f t="shared" si="69"/>
        <v>0</v>
      </c>
      <c r="BX51" s="28">
        <f t="shared" si="70"/>
        <v>0</v>
      </c>
      <c r="BY51" s="28">
        <f t="shared" si="71"/>
        <v>0</v>
      </c>
      <c r="BZ51" s="28"/>
      <c r="CA51" s="300">
        <f t="shared" si="72"/>
        <v>0</v>
      </c>
      <c r="CB51" s="300">
        <f t="shared" si="73"/>
        <v>0</v>
      </c>
      <c r="CC51" s="300">
        <f t="shared" si="74"/>
        <v>0</v>
      </c>
      <c r="CD51" s="300">
        <f t="shared" si="75"/>
        <v>0</v>
      </c>
      <c r="CE51" s="300">
        <f t="shared" si="76"/>
        <v>0</v>
      </c>
      <c r="CF51" s="300">
        <f t="shared" si="77"/>
        <v>0</v>
      </c>
      <c r="CG51" s="246"/>
      <c r="CH51" s="246">
        <f t="shared" si="78"/>
        <v>0</v>
      </c>
      <c r="CI51" s="246">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0</v>
      </c>
      <c r="CW51" s="28">
        <f t="shared" si="91"/>
        <v>0</v>
      </c>
      <c r="CX51" s="28">
        <f t="shared" si="92"/>
        <v>0</v>
      </c>
      <c r="CY51" s="28">
        <f t="shared" si="93"/>
        <v>0</v>
      </c>
      <c r="CZ51" s="28">
        <f t="shared" si="94"/>
        <v>0</v>
      </c>
      <c r="DA51" s="28">
        <f t="shared" si="95"/>
        <v>0</v>
      </c>
      <c r="DB51" s="220"/>
      <c r="DC51" s="220"/>
    </row>
    <row r="52" spans="1:107" s="221" customFormat="1" ht="22.5" customHeight="1" x14ac:dyDescent="0.2">
      <c r="A52" s="24">
        <v>16</v>
      </c>
      <c r="B52" s="41">
        <f t="shared" si="55"/>
        <v>0</v>
      </c>
      <c r="C52" s="299"/>
      <c r="D52" s="378"/>
      <c r="E52" s="379"/>
      <c r="F52" s="378"/>
      <c r="G52" s="379"/>
      <c r="H52" s="367"/>
      <c r="I52" s="394"/>
      <c r="J52" s="394"/>
      <c r="K52" s="368"/>
      <c r="L52" s="378"/>
      <c r="M52" s="379"/>
      <c r="N52" s="367"/>
      <c r="O52" s="368"/>
      <c r="P52" s="378"/>
      <c r="Q52" s="379"/>
      <c r="R52" s="367"/>
      <c r="S52" s="368"/>
      <c r="T52" s="378"/>
      <c r="U52" s="379"/>
      <c r="V52" s="367"/>
      <c r="W52" s="368"/>
      <c r="X52" s="378"/>
      <c r="Y52" s="379"/>
      <c r="Z52" s="367"/>
      <c r="AA52" s="368"/>
      <c r="AB52" s="397">
        <v>0</v>
      </c>
      <c r="AC52" s="385"/>
      <c r="AD52" s="398"/>
      <c r="AE52" s="399"/>
      <c r="AF52" s="398"/>
      <c r="AG52" s="399"/>
      <c r="AH52" s="419">
        <f t="shared" si="57"/>
        <v>0</v>
      </c>
      <c r="AI52" s="420"/>
      <c r="AJ52" s="89">
        <f>IFERROR((SUM(CV55:DA55)+AF52),0)</f>
        <v>0</v>
      </c>
      <c r="AK52" s="90">
        <v>0</v>
      </c>
      <c r="AL52" s="89">
        <v>0</v>
      </c>
      <c r="AM52" s="89">
        <v>0</v>
      </c>
      <c r="AN52" s="89">
        <v>0</v>
      </c>
      <c r="AO52" s="89">
        <v>0</v>
      </c>
      <c r="AP52" s="89">
        <v>0</v>
      </c>
      <c r="AQ52" s="432"/>
      <c r="AR52" s="220"/>
      <c r="AS52" s="220"/>
      <c r="AT52" s="220"/>
      <c r="AU52" s="220"/>
      <c r="AV52" s="220"/>
      <c r="AW52" s="220"/>
      <c r="AX52" s="220"/>
      <c r="AY52" s="28">
        <f t="shared" si="58"/>
        <v>0</v>
      </c>
      <c r="AZ52" s="28">
        <f>IFERROR((VLOOKUP($BP$1&amp;B49,Teams!D:S,12,0)),0)</f>
        <v>0</v>
      </c>
      <c r="BA52" s="28">
        <f>IFERROR((VLOOKUP($BP$1&amp;B49,Teams!D:S,13,0)),0)</f>
        <v>0</v>
      </c>
      <c r="BB52" s="28">
        <f>IFERROR((VLOOKUP($BP$1&amp;B49,Teams!D:S,14,0)),0)</f>
        <v>0</v>
      </c>
      <c r="BC52" s="28">
        <f>IFERROR((VLOOKUP($BP$1&amp;B49,Teams!D:S,15,0)),0)</f>
        <v>0</v>
      </c>
      <c r="BD52" s="28">
        <f>IFERROR((VLOOKUP($BP$1&amp;B49,Teams!D:S,16,0)),0)</f>
        <v>0</v>
      </c>
      <c r="BE52" s="28">
        <v>20000</v>
      </c>
      <c r="BF52" s="28">
        <v>10000</v>
      </c>
      <c r="BG52" s="28">
        <v>40000</v>
      </c>
      <c r="BH52" s="28">
        <v>20000</v>
      </c>
      <c r="BI52" s="28">
        <v>80000</v>
      </c>
      <c r="BJ52" s="28">
        <f t="shared" si="59"/>
        <v>0</v>
      </c>
      <c r="BK52" s="224"/>
      <c r="BL52" s="300">
        <f t="shared" si="60"/>
        <v>0</v>
      </c>
      <c r="BM52" s="300">
        <f t="shared" si="61"/>
        <v>0</v>
      </c>
      <c r="BN52" s="300">
        <f t="shared" si="62"/>
        <v>0</v>
      </c>
      <c r="BO52" s="300">
        <f t="shared" si="63"/>
        <v>0</v>
      </c>
      <c r="BP52" s="300">
        <f t="shared" si="64"/>
        <v>0</v>
      </c>
      <c r="BQ52" s="300">
        <f t="shared" si="65"/>
        <v>0</v>
      </c>
      <c r="BR52" s="30"/>
      <c r="BS52" s="30"/>
      <c r="BT52" s="28">
        <f t="shared" si="66"/>
        <v>0</v>
      </c>
      <c r="BU52" s="28">
        <f t="shared" si="67"/>
        <v>0</v>
      </c>
      <c r="BV52" s="28">
        <f t="shared" si="68"/>
        <v>0</v>
      </c>
      <c r="BW52" s="28">
        <f t="shared" si="69"/>
        <v>0</v>
      </c>
      <c r="BX52" s="28">
        <f t="shared" si="70"/>
        <v>0</v>
      </c>
      <c r="BY52" s="28">
        <f t="shared" si="71"/>
        <v>0</v>
      </c>
      <c r="BZ52" s="28"/>
      <c r="CA52" s="300">
        <f t="shared" si="72"/>
        <v>0</v>
      </c>
      <c r="CB52" s="300">
        <f t="shared" si="73"/>
        <v>0</v>
      </c>
      <c r="CC52" s="300">
        <f t="shared" si="74"/>
        <v>0</v>
      </c>
      <c r="CD52" s="300">
        <f t="shared" si="75"/>
        <v>0</v>
      </c>
      <c r="CE52" s="300">
        <f t="shared" si="76"/>
        <v>0</v>
      </c>
      <c r="CF52" s="300">
        <f t="shared" si="77"/>
        <v>0</v>
      </c>
      <c r="CG52" s="246"/>
      <c r="CH52" s="246">
        <f t="shared" si="78"/>
        <v>0</v>
      </c>
      <c r="CI52" s="246">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x14ac:dyDescent="0.2">
      <c r="A53" s="431"/>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O53" s="431"/>
      <c r="AP53" s="431"/>
      <c r="AQ53" s="432"/>
      <c r="AR53" s="220"/>
      <c r="AS53" s="220"/>
      <c r="AT53" s="220"/>
      <c r="AU53" s="220"/>
      <c r="AV53" s="220"/>
      <c r="AW53" s="220"/>
      <c r="AX53" s="220"/>
      <c r="AY53" s="28">
        <f t="shared" si="58"/>
        <v>0</v>
      </c>
      <c r="AZ53" s="28">
        <f>IFERROR((VLOOKUP($BP$1&amp;B50,Teams!D:S,12,0)),0)</f>
        <v>0</v>
      </c>
      <c r="BA53" s="28">
        <f>IFERROR((VLOOKUP($BP$1&amp;B50,Teams!D:S,13,0)),0)</f>
        <v>0</v>
      </c>
      <c r="BB53" s="28">
        <f>IFERROR((VLOOKUP($BP$1&amp;B50,Teams!D:S,14,0)),0)</f>
        <v>0</v>
      </c>
      <c r="BC53" s="28">
        <f>IFERROR((VLOOKUP($BP$1&amp;B50,Teams!D:S,15,0)),0)</f>
        <v>0</v>
      </c>
      <c r="BD53" s="28">
        <f>IFERROR((VLOOKUP($BP$1&amp;B50,Teams!D:S,16,0)),0)</f>
        <v>0</v>
      </c>
      <c r="BE53" s="28">
        <v>20000</v>
      </c>
      <c r="BF53" s="28">
        <v>10000</v>
      </c>
      <c r="BG53" s="28">
        <v>40000</v>
      </c>
      <c r="BH53" s="28">
        <v>20000</v>
      </c>
      <c r="BI53" s="28">
        <v>80000</v>
      </c>
      <c r="BJ53" s="28">
        <f t="shared" si="59"/>
        <v>0</v>
      </c>
      <c r="BK53" s="224"/>
      <c r="BL53" s="300">
        <f t="shared" si="60"/>
        <v>0</v>
      </c>
      <c r="BM53" s="300">
        <f t="shared" si="61"/>
        <v>0</v>
      </c>
      <c r="BN53" s="300">
        <f t="shared" si="62"/>
        <v>0</v>
      </c>
      <c r="BO53" s="300">
        <f t="shared" si="63"/>
        <v>0</v>
      </c>
      <c r="BP53" s="300">
        <f t="shared" si="64"/>
        <v>0</v>
      </c>
      <c r="BQ53" s="300">
        <f t="shared" si="65"/>
        <v>0</v>
      </c>
      <c r="BR53" s="30"/>
      <c r="BS53" s="30"/>
      <c r="BT53" s="28">
        <f t="shared" si="66"/>
        <v>0</v>
      </c>
      <c r="BU53" s="28">
        <f t="shared" si="67"/>
        <v>0</v>
      </c>
      <c r="BV53" s="28">
        <f t="shared" si="68"/>
        <v>0</v>
      </c>
      <c r="BW53" s="28">
        <f t="shared" si="69"/>
        <v>0</v>
      </c>
      <c r="BX53" s="28">
        <f t="shared" si="70"/>
        <v>0</v>
      </c>
      <c r="BY53" s="28">
        <f t="shared" si="71"/>
        <v>0</v>
      </c>
      <c r="BZ53" s="28"/>
      <c r="CA53" s="300">
        <f t="shared" si="72"/>
        <v>0</v>
      </c>
      <c r="CB53" s="300">
        <f t="shared" si="73"/>
        <v>0</v>
      </c>
      <c r="CC53" s="300">
        <f t="shared" si="74"/>
        <v>0</v>
      </c>
      <c r="CD53" s="300">
        <f t="shared" si="75"/>
        <v>0</v>
      </c>
      <c r="CE53" s="300">
        <f t="shared" si="76"/>
        <v>0</v>
      </c>
      <c r="CF53" s="300">
        <f t="shared" si="77"/>
        <v>0</v>
      </c>
      <c r="CG53" s="246"/>
      <c r="CH53" s="246">
        <f t="shared" si="78"/>
        <v>0</v>
      </c>
      <c r="CI53" s="246">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x14ac:dyDescent="0.2">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f t="shared" ref="AY54:AY55" si="96">B51</f>
        <v>0</v>
      </c>
      <c r="AZ54" s="28">
        <f>IFERROR((VLOOKUP($BP$1&amp;B51,Teams!D:S,12,0)),0)</f>
        <v>0</v>
      </c>
      <c r="BA54" s="28">
        <f>IFERROR((VLOOKUP($BP$1&amp;B51,Teams!D:S,13,0)),0)</f>
        <v>0</v>
      </c>
      <c r="BB54" s="28">
        <f>IFERROR((VLOOKUP($BP$1&amp;B51,Teams!D:S,14,0)),0)</f>
        <v>0</v>
      </c>
      <c r="BC54" s="28">
        <f>IFERROR((VLOOKUP($BP$1&amp;B51,Teams!D:S,15,0)),0)</f>
        <v>0</v>
      </c>
      <c r="BD54" s="28">
        <f>IFERROR((VLOOKUP($BP$1&amp;B51,Teams!D:S,16,0)),0)</f>
        <v>0</v>
      </c>
      <c r="BE54" s="28">
        <v>20000</v>
      </c>
      <c r="BF54" s="28">
        <v>10000</v>
      </c>
      <c r="BG54" s="28">
        <v>40000</v>
      </c>
      <c r="BH54" s="28">
        <v>20000</v>
      </c>
      <c r="BI54" s="28">
        <v>80000</v>
      </c>
      <c r="BJ54" s="28">
        <f t="shared" ref="BJ54" si="97">SUM(CH54:CT54)</f>
        <v>0</v>
      </c>
      <c r="BK54" s="28"/>
      <c r="BL54" s="300">
        <f t="shared" si="60"/>
        <v>0</v>
      </c>
      <c r="BM54" s="300">
        <f t="shared" si="61"/>
        <v>0</v>
      </c>
      <c r="BN54" s="300">
        <f t="shared" si="62"/>
        <v>0</v>
      </c>
      <c r="BO54" s="300">
        <f t="shared" si="63"/>
        <v>0</v>
      </c>
      <c r="BP54" s="300">
        <f t="shared" si="64"/>
        <v>0</v>
      </c>
      <c r="BQ54" s="300">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300">
        <f t="shared" si="72"/>
        <v>0</v>
      </c>
      <c r="CB54" s="300">
        <f t="shared" si="73"/>
        <v>0</v>
      </c>
      <c r="CC54" s="300">
        <f t="shared" si="74"/>
        <v>0</v>
      </c>
      <c r="CD54" s="300">
        <f t="shared" si="75"/>
        <v>0</v>
      </c>
      <c r="CE54" s="300">
        <f t="shared" si="76"/>
        <v>0</v>
      </c>
      <c r="CF54" s="300">
        <f t="shared" si="77"/>
        <v>0</v>
      </c>
      <c r="CG54" s="246"/>
      <c r="CH54" s="246">
        <f t="shared" ref="CH54:CM54" si="104">IF(AND(BT54="P",CA54="Random"),10000,IF(AND(BT54="P",CA54="Chosen"),20000,IF(AND(BT54="S",CA54="Random"),20000,IF(AND(BT54="S",CA54="Chosen"),40000,0))))</f>
        <v>0</v>
      </c>
      <c r="CI54" s="246">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x14ac:dyDescent="0.2">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f t="shared" si="96"/>
        <v>0</v>
      </c>
      <c r="AZ55" s="28">
        <f>IFERROR((VLOOKUP($BP$1&amp;B52,Teams!D:S,12,0)),0)</f>
        <v>0</v>
      </c>
      <c r="BA55" s="28">
        <f>IFERROR((VLOOKUP($BP$1&amp;B52,Teams!D:S,13,0)),0)</f>
        <v>0</v>
      </c>
      <c r="BB55" s="28">
        <f>IFERROR((VLOOKUP($BP$1&amp;B52,Teams!D:S,14,0)),0)</f>
        <v>0</v>
      </c>
      <c r="BC55" s="28">
        <f>IFERROR((VLOOKUP($BP$1&amp;B52,Teams!D:S,15,0)),0)</f>
        <v>0</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6">
        <f>IF(Z52="Chosen","Chosen",(IF(Z52="Scelto","Chosen",(IF(Z52="Elegida","Chosen",(IF(Z52="Gewählt","Chosen",(IF(Z52="Choisie","Chosen",(IF(Z52="Random","Random",(IF(Z52="Casuale","Random",(IF(Z52="Aleatoria","Random",(IF(Z52="Zufällig","Random",(IF(Z52="Aléatoire","Random",0)))))))))))))))))))</f>
        <v>0</v>
      </c>
      <c r="CG55" s="246"/>
      <c r="CH55" s="246">
        <f>IF(AND(BT55="P",CA55="Random"),10000,IF(AND(BT55="P",CA55="Chosen"),20000,IF(AND(BT55="S",CA55="Random"),20000,IF(AND(BT55="S",CA55="Chosen"),40000,0))))</f>
        <v>0</v>
      </c>
      <c r="CI55" s="246">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x14ac:dyDescent="0.2">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6"/>
      <c r="CG56" s="246"/>
      <c r="CH56" s="246"/>
      <c r="CI56" s="246"/>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x14ac:dyDescent="0.2">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6"/>
      <c r="CG57" s="246"/>
      <c r="CH57" s="246">
        <f>VLOOKUP(CH58,Teams!$D:$T,17,FALSE)</f>
        <v>0</v>
      </c>
      <c r="CI57" s="246">
        <f>VLOOKUP(CI58,Teams!$D:$T,17,FALSE)</f>
        <v>0</v>
      </c>
      <c r="CJ57" s="28">
        <f>VLOOKUP(CJ58,Teams!$D:$T,17,FALSE)</f>
        <v>0</v>
      </c>
      <c r="CK57" s="28">
        <f>VLOOKUP(CK58,Teams!$D:$T,17,FALSE)</f>
        <v>0</v>
      </c>
      <c r="CL57" s="28">
        <f>VLOOKUP(CL58,Teams!$D:$T,17,FALSE)</f>
        <v>0</v>
      </c>
      <c r="CM57" s="28">
        <f>VLOOKUP(CM58,Teams!$D:$T,17,FALSE)</f>
        <v>0</v>
      </c>
      <c r="CN57" s="28">
        <f>VLOOKUP(CN58,Teams!$D:$T,17,FALSE)</f>
        <v>0</v>
      </c>
      <c r="CO57" s="28">
        <f>VLOOKUP(CO58,Teams!$D:$T,17,FALSE)</f>
        <v>0</v>
      </c>
      <c r="CP57" s="28">
        <f>VLOOKUP(CP58,Teams!$D:$T,17,FALSE)</f>
        <v>0</v>
      </c>
      <c r="CQ57" s="28">
        <f>VLOOKUP(CQ58,Teams!$D:$T,17,FALSE)</f>
        <v>0</v>
      </c>
      <c r="CR57" s="28">
        <f>VLOOKUP(CR58,Teams!$D:$T,17,FALSE)</f>
        <v>0</v>
      </c>
      <c r="CS57" s="28">
        <f>VLOOKUP(CS58,Teams!$D:$T,17,FALSE)</f>
        <v>0</v>
      </c>
      <c r="CT57" s="28">
        <f>VLOOKUP(CT58,Teams!$D:$T,17,FALSE)</f>
        <v>0</v>
      </c>
      <c r="CU57" s="28">
        <f>VLOOKUP(CU58,Teams!$D:$T,17,FALSE)</f>
        <v>0</v>
      </c>
      <c r="CV57" s="28">
        <f>VLOOKUP(CV58,Teams!$D:$T,17,FALSE)</f>
        <v>0</v>
      </c>
      <c r="CW57" s="28">
        <f>VLOOKUP(CW58,Teams!$D:$T,17,FALSE)</f>
        <v>0</v>
      </c>
      <c r="CX57" s="30"/>
      <c r="CY57" s="30"/>
      <c r="CZ57" s="30"/>
      <c r="DA57" s="28"/>
      <c r="DB57" s="30"/>
      <c r="DC57" s="30"/>
    </row>
    <row r="58" spans="1:107" ht="15" hidden="1" customHeight="1" x14ac:dyDescent="0.4">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6"/>
      <c r="CG58" s="246"/>
      <c r="CH58" s="249" t="str">
        <f>$BP$1&amp;$D2</f>
        <v>Amazon</v>
      </c>
      <c r="CI58" s="249" t="str">
        <f>$BP$1&amp;$D3</f>
        <v>Amazon</v>
      </c>
      <c r="CJ58" s="68" t="str">
        <f>$BP$1&amp;$D4</f>
        <v>Amazon</v>
      </c>
      <c r="CK58" s="67" t="str">
        <f>$BP$1&amp;$D5</f>
        <v>Amazon</v>
      </c>
      <c r="CL58" s="67" t="str">
        <f>$BP$1&amp;$D6</f>
        <v>Amazon</v>
      </c>
      <c r="CM58" s="67" t="str">
        <f>$BP$1&amp;$D7</f>
        <v>Amazon</v>
      </c>
      <c r="CN58" s="68" t="str">
        <f>$BP$1&amp;$D8</f>
        <v>Amazon</v>
      </c>
      <c r="CO58" s="67" t="str">
        <f>$BP$1&amp;$D9</f>
        <v>Amazon</v>
      </c>
      <c r="CP58" s="67" t="str">
        <f>$BP$1&amp;$D10</f>
        <v>Amazon</v>
      </c>
      <c r="CQ58" s="67" t="str">
        <f>$BP$1&amp;$D11</f>
        <v>Amazon</v>
      </c>
      <c r="CR58" s="68" t="str">
        <f>$BP$1&amp;$D12</f>
        <v>Amazon</v>
      </c>
      <c r="CS58" s="67" t="str">
        <f>$BP$1&amp;$D13</f>
        <v>Amazon</v>
      </c>
      <c r="CT58" s="67" t="str">
        <f>$BP$1&amp;$D14</f>
        <v>Amazon</v>
      </c>
      <c r="CU58" s="67" t="str">
        <f>$BP$1&amp;$D15</f>
        <v>Amazon</v>
      </c>
      <c r="CV58" s="68" t="str">
        <f>$BP$1&amp;$D16</f>
        <v>Amazon</v>
      </c>
      <c r="CW58" s="67" t="str">
        <f>$BP$1&amp;$D17</f>
        <v>Amazon</v>
      </c>
      <c r="CX58" s="30"/>
      <c r="CY58" s="30"/>
      <c r="CZ58" s="30"/>
      <c r="DA58" s="28"/>
      <c r="DB58" s="30"/>
      <c r="DC58" s="30"/>
    </row>
    <row r="59" spans="1:107" ht="15" hidden="1" customHeight="1" x14ac:dyDescent="0.2">
      <c r="A59" s="28"/>
      <c r="B59" s="395" t="s">
        <v>213</v>
      </c>
      <c r="C59" s="395"/>
      <c r="D59" s="396"/>
      <c r="E59" s="396"/>
      <c r="F59" s="396"/>
      <c r="G59" s="396"/>
      <c r="H59" s="28"/>
      <c r="I59" s="28"/>
      <c r="J59" s="28"/>
      <c r="K59" s="28"/>
      <c r="L59" s="395" t="s">
        <v>214</v>
      </c>
      <c r="M59" s="396"/>
      <c r="N59" s="396"/>
      <c r="O59" s="396"/>
      <c r="P59" s="396"/>
      <c r="Q59" s="28"/>
      <c r="R59" s="395" t="s">
        <v>215</v>
      </c>
      <c r="S59" s="396"/>
      <c r="T59" s="396"/>
      <c r="U59" s="396"/>
      <c r="V59" s="396"/>
      <c r="W59" s="28"/>
      <c r="X59" s="395" t="s">
        <v>216</v>
      </c>
      <c r="Y59" s="396"/>
      <c r="Z59" s="396"/>
      <c r="AA59" s="396"/>
      <c r="AB59" s="396"/>
      <c r="AC59" s="28"/>
      <c r="AD59" s="395" t="s">
        <v>217</v>
      </c>
      <c r="AE59" s="396"/>
      <c r="AF59" s="396"/>
      <c r="AG59" s="396"/>
      <c r="AH59" s="396"/>
      <c r="AI59" s="28"/>
      <c r="AJ59" s="28"/>
      <c r="AK59" s="28"/>
      <c r="AL59" s="395" t="s">
        <v>218</v>
      </c>
      <c r="AM59" s="396"/>
      <c r="AN59" s="396"/>
      <c r="AO59" s="396"/>
      <c r="AP59" s="396"/>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393" t="s">
        <v>225</v>
      </c>
      <c r="BU59" s="393"/>
      <c r="BV59" s="393" t="s">
        <v>199</v>
      </c>
      <c r="BW59" s="393"/>
      <c r="BX59" s="393" t="s">
        <v>200</v>
      </c>
      <c r="BY59" s="393"/>
      <c r="BZ59" s="393" t="s">
        <v>226</v>
      </c>
      <c r="CA59" s="393"/>
      <c r="CB59" s="28"/>
      <c r="CC59" s="28" t="str">
        <f>""</f>
        <v/>
      </c>
      <c r="CD59" s="28"/>
      <c r="CE59" s="28" t="str">
        <f>""</f>
        <v/>
      </c>
      <c r="CF59" s="246"/>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x14ac:dyDescent="0.2">
      <c r="A60" s="28"/>
      <c r="B60" s="407" t="str">
        <f>IF(K31&lt;0,(IF(K25="Italiano","AVETE SPESO TROPPO!   ",IF(K25="Español","¡HAS GASTADO DEMASIADO!   ",(IF(K25="Deutsch","ZU VIEL AUSGEGEBEN!   ",(IF(K25="Français","TU DÉPENSES TROP!   ","YOU HAVE EXPENT TOO MUCH!   "))))))),"")</f>
        <v/>
      </c>
      <c r="C60" s="407"/>
      <c r="D60" s="396"/>
      <c r="E60" s="396"/>
      <c r="F60" s="396"/>
      <c r="G60" s="396"/>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str">
        <f>IF(K25="English","NI",(IF(K25="Español","LP",(IF(K25="Deutsch","HV",(IF(K25="Français","BP")))))))</f>
        <v>NI</v>
      </c>
      <c r="AK60" s="28"/>
      <c r="AL60" s="38" t="s">
        <v>201</v>
      </c>
      <c r="AM60" s="38" t="s">
        <v>205</v>
      </c>
      <c r="AN60" s="38" t="s">
        <v>203</v>
      </c>
      <c r="AO60" s="38" t="s">
        <v>204</v>
      </c>
      <c r="AP60" s="38" t="s">
        <v>202</v>
      </c>
      <c r="AQ60" s="27"/>
      <c r="AR60" s="27"/>
      <c r="AS60" s="28">
        <v>0</v>
      </c>
      <c r="AT60" s="28"/>
      <c r="AU60" s="28"/>
      <c r="AV60" s="28"/>
      <c r="AW60" s="28"/>
      <c r="AX60" s="28"/>
      <c r="AY60" s="28">
        <f>COUNTIF(BT40:BY55,"P")</f>
        <v>0</v>
      </c>
      <c r="AZ60" s="28">
        <f>COUNTIF(BT40:BY55,"S")</f>
        <v>0</v>
      </c>
      <c r="BA60" s="28">
        <f>AY60+AZ60</f>
        <v>0</v>
      </c>
      <c r="BB60" s="28">
        <f>COUNTIF(BT40:BY55,"STAT")</f>
        <v>0</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120000</v>
      </c>
      <c r="BO60" s="75"/>
      <c r="BP60" s="226" t="s">
        <v>1224</v>
      </c>
      <c r="BQ60" s="75">
        <f>IFERROR((IF(OR(COUNTIF($BV$2,"*BadlandsBrawl*")),50000,0)),0)</f>
        <v>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Chosen</v>
      </c>
      <c r="CC60" s="28" t="str">
        <f>IF($K$25="Español","MO+",(IF($K$25="Deutsch","BE+",(IF($K$25="Français","M+","MA+")))))</f>
        <v>MA+</v>
      </c>
      <c r="CD60" s="28" t="s">
        <v>201</v>
      </c>
      <c r="CE60" s="30"/>
      <c r="CF60" s="246"/>
      <c r="CG60" s="246"/>
      <c r="CH60" s="249" t="b">
        <f t="shared" ref="CH60:CH140" si="115">IFERROR((IF($CH$57="M",BX60,IF($CH$57="PM",BZ60,IF($CH$57="P",BV60,IF($CH$57="FULL",BT60))))),"")</f>
        <v>0</v>
      </c>
      <c r="CI60" s="249" t="b">
        <f t="shared" ref="CI60:CI139" si="116">IFERROR((IF($CI$57="M",BX60,IF($CI$57="PM",BZ60,IF($CI$57="P",BV60,IF($CI$57="FULL",BT60))))),"")</f>
        <v>0</v>
      </c>
      <c r="CJ60" s="67" t="b">
        <f t="shared" ref="CJ60:CJ139" si="117">IFERROR((IF($CJ$57="M",BX60,IF($CJ$57="PM",BZ60,IF($CJ$57="P",BV60,IF($CJ$57="FULL",BT60))))),"")</f>
        <v>0</v>
      </c>
      <c r="CK60" s="67" t="b">
        <f t="shared" ref="CK60:CK139" si="118">IFERROR((IF($CK$57="M",BX60,IF($CK$57="PM",BZ60,IF($CK$57="P",BV60,IF($CK$57="FULL",BT60))))),"")</f>
        <v>0</v>
      </c>
      <c r="CL60" s="67" t="b">
        <f t="shared" ref="CL60:CL139" si="119">IFERROR((IF($CL$57="M",BX60,IF($CL$57="PM",BZ60,IF($CL$57="P",BV60,IF($CL$57="FULL",BT60))))),"")</f>
        <v>0</v>
      </c>
      <c r="CM60" s="67" t="b">
        <f t="shared" ref="CM60:CM139" si="120">IFERROR((IF($CM$57="M",BX60,IF($CM$57="PM",BZ60,IF($CM$57="P",BV60,IF($CM$57="FULL",BT60))))),"")</f>
        <v>0</v>
      </c>
      <c r="CN60" s="67" t="b">
        <f t="shared" ref="CN60:CN139" si="121">IFERROR((IF($CN$57="M",BX60,IF($CN$57="PM",BZ60,IF($CN$57="P",BV60,IF($CN$57="FULL",BT60))))),"")</f>
        <v>0</v>
      </c>
      <c r="CO60" s="67" t="b">
        <f t="shared" ref="CO60:CO139" si="122">IFERROR((IF($CO$57="M",BX60,IF($CO$57="PM",BZ60,IF($CO$57="P",BV60,IF($CO$57="FULL",BT60))))),"")</f>
        <v>0</v>
      </c>
      <c r="CP60" s="67" t="b">
        <f t="shared" ref="CP60:CP139" si="123">IFERROR((IF($CP$57="M",BX60,IF($CP$57="PM",BZ60,IF($CP$57="P",BV60,IF($CP$57="FULL",BT60))))),"")</f>
        <v>0</v>
      </c>
      <c r="CQ60" s="67" t="b">
        <f t="shared" ref="CQ60:CQ139" si="124">IFERROR((IF($CQ$57="M",BX60,IF($CQ$57="PM",BZ60,IF($CQ$57="P",BV60,IF($CQ$57="FULL",BT60))))),"")</f>
        <v>0</v>
      </c>
      <c r="CR60" s="67" t="b">
        <f t="shared" ref="CR60:CR139" si="125">IFERROR((IF($CR$57="M",BX60,IF($CR$57="PM",BZ60,IF($CR$57="P",BV60,IF($CR$57="FULL",BT60))))),"")</f>
        <v>0</v>
      </c>
      <c r="CS60" s="67" t="b">
        <f t="shared" ref="CS60:CS139" si="126">IFERROR((IF($CS$57="M",BX60,IF($CS$57="PM",BZ60,IF($CS$57="P",BV60,IF($CS$57="FULL",BT60))))),"")</f>
        <v>0</v>
      </c>
      <c r="CT60" s="67" t="b">
        <f t="shared" ref="CT60:CT139" si="127">IFERROR((IF($CT$57="M",BX60,IF($CT$57="PM",BZ60,IF($CT$57="P",BV60,IF($CT$57="FULL",BT60))))),"")</f>
        <v>0</v>
      </c>
      <c r="CU60" s="67" t="b">
        <f t="shared" ref="CU60:CU139" si="128">IFERROR((IF($CU$57="M",BX60,IF($CU$57="PM",BZ60,IF($CU$57="P",BV60,IF($CU$57="FULL",BT60))))),"")</f>
        <v>0</v>
      </c>
      <c r="CV60" s="67" t="b">
        <f t="shared" ref="CV60:CV139" si="129">IFERROR((IF($CV$57="M",BX60,IF($CV$57="PM",BZ60,IF($CV$57="P",BV60,IF($CV$57="FULL",BT60))))),"")</f>
        <v>0</v>
      </c>
      <c r="CW60" s="67" t="b">
        <f t="shared" ref="CW60:CW125" si="130">IFERROR((IF($CW$57="M",BX60,IF($CW$57="PM",BZ60,IF($CW$57="P",BV60,IF($CW$57="FULL",BT60))))),"")</f>
        <v>0</v>
      </c>
      <c r="CX60" s="30"/>
      <c r="CY60" s="30"/>
      <c r="CZ60" s="30"/>
      <c r="DA60" s="28"/>
      <c r="DB60" s="30"/>
      <c r="DC60" s="30"/>
    </row>
    <row r="61" spans="1:107" ht="15" hidden="1" customHeight="1" x14ac:dyDescent="0.2">
      <c r="A61" s="28"/>
      <c r="B61" s="54"/>
      <c r="C61" s="54"/>
      <c r="D61" s="54"/>
      <c r="E61" s="54"/>
      <c r="F61" s="54"/>
      <c r="G61" s="54"/>
      <c r="H61" s="28"/>
      <c r="I61" s="28"/>
      <c r="J61" s="28"/>
      <c r="K61" s="28"/>
      <c r="L61" s="27">
        <f t="shared" ref="L61:L76" si="131">IF(R61=0,0,(IF(R61&gt;9,9,(IF(R61&lt;1,1,R61)))))</f>
        <v>0</v>
      </c>
      <c r="M61" s="27">
        <f t="shared" ref="M61:M76" si="132">IF(S61=0,0,(IF(S61&gt;8,8,(IF(S61&lt;1,1,S61)))))</f>
        <v>0</v>
      </c>
      <c r="N61" s="27">
        <f t="shared" ref="N61:O61" si="133">IF(T61=0,0,(IF(T61&gt;6,6,(IF(T61&lt;1,1,T61)))))</f>
        <v>0</v>
      </c>
      <c r="O61" s="27">
        <f t="shared" si="133"/>
        <v>0</v>
      </c>
      <c r="P61" s="27">
        <f t="shared" ref="P61:P76" si="134">IF(V61=0,0,(IF(V61&gt;11,11,(IF(V61&lt;3,3,V61)))))</f>
        <v>0</v>
      </c>
      <c r="Q61" s="28"/>
      <c r="R61" s="27">
        <f>IFERROR((VLOOKUP($BP$1&amp;D2,Teams!D:M,2,0)+AL61+AD61),0)</f>
        <v>0</v>
      </c>
      <c r="S61" s="27">
        <f>IFERROR((VLOOKUP($BP$1&amp;D2,Teams!D:M,3,0)+AM61+AE61),0)</f>
        <v>0</v>
      </c>
      <c r="T61" s="27">
        <f>IFERROR((VLOOKUP($BP$1&amp;D2,Teams!D:M,4,0)+AN61-AF61),0)</f>
        <v>0</v>
      </c>
      <c r="U61" s="27">
        <f>IFERROR((VLOOKUP($BP$1&amp;D2,Teams!D:M,5,0)+AO61-AG61),0)</f>
        <v>0</v>
      </c>
      <c r="V61" s="27">
        <f>IFERROR((VLOOKUP($BP$1&amp;D2,Teams!D:M,6,0)+AP61+AH61),0)</f>
        <v>0</v>
      </c>
      <c r="W61" s="28"/>
      <c r="X61" s="28">
        <f>IFERROR((VLOOKUP($BP$1&amp;D2,Teams!D:M,2,0)),0)</f>
        <v>0</v>
      </c>
      <c r="Y61" s="28">
        <f>IFERROR((VLOOKUP($BP$1&amp;D2,Teams!D:M,3,0)),0)</f>
        <v>0</v>
      </c>
      <c r="Z61" s="28">
        <f>IFERROR((VLOOKUP($BP$1&amp;D2,Teams!D:M,4,0)),0)</f>
        <v>0</v>
      </c>
      <c r="AA61" s="28">
        <f>IFERROR((VLOOKUP($BP$1&amp;D2,Teams!D:M,5,0)),0)</f>
        <v>0</v>
      </c>
      <c r="AB61" s="28">
        <f>IFERROR((VLOOKUP($BP$1&amp;D2,Teams!D:M,6,0)),0)</f>
        <v>0</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0</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50000</v>
      </c>
      <c r="BG61" s="75"/>
      <c r="BH61" s="30"/>
      <c r="BI61" s="226" t="s">
        <v>1209</v>
      </c>
      <c r="BJ61" s="75">
        <f>IFERROR((IF(OR(COUNTIF($BV$2,"*Favouredof*"),COUNTIF($BV$2,"*UnderworldChallenge*")),150000,0)),0)</f>
        <v>0</v>
      </c>
      <c r="BK61" s="75"/>
      <c r="BL61" s="28"/>
      <c r="BM61" s="226" t="s">
        <v>1220</v>
      </c>
      <c r="BN61" s="75">
        <f>IFERROR((IF(OR(COUNTIF($BV$2,"*LustrianSuperleague*"),COUNTIF($BV$2,"*OldWorldClassic*")),130000,0)),0)</f>
        <v>130000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Random</v>
      </c>
      <c r="CC61" s="28" t="str">
        <f>IF($K$25="Español","AR+",(IF($K$25="Deutsch","RW+",(IF($K$25="Français","AR+","AV+")))))</f>
        <v>AV+</v>
      </c>
      <c r="CD61" s="28" t="s">
        <v>202</v>
      </c>
      <c r="CE61" s="30"/>
      <c r="CF61" s="246"/>
      <c r="CG61" s="246"/>
      <c r="CH61" s="249" t="b">
        <f t="shared" si="115"/>
        <v>0</v>
      </c>
      <c r="CI61" s="249" t="b">
        <f t="shared" si="116"/>
        <v>0</v>
      </c>
      <c r="CJ61" s="67" t="b">
        <f t="shared" si="117"/>
        <v>0</v>
      </c>
      <c r="CK61" s="67" t="b">
        <f t="shared" si="118"/>
        <v>0</v>
      </c>
      <c r="CL61" s="67" t="b">
        <f t="shared" si="119"/>
        <v>0</v>
      </c>
      <c r="CM61" s="67" t="b">
        <f t="shared" si="120"/>
        <v>0</v>
      </c>
      <c r="CN61" s="67" t="b">
        <f t="shared" si="121"/>
        <v>0</v>
      </c>
      <c r="CO61" s="67" t="b">
        <f t="shared" si="122"/>
        <v>0</v>
      </c>
      <c r="CP61" s="67" t="b">
        <f t="shared" si="123"/>
        <v>0</v>
      </c>
      <c r="CQ61" s="67" t="b">
        <f t="shared" si="124"/>
        <v>0</v>
      </c>
      <c r="CR61" s="67" t="b">
        <f t="shared" si="125"/>
        <v>0</v>
      </c>
      <c r="CS61" s="67" t="b">
        <f t="shared" si="126"/>
        <v>0</v>
      </c>
      <c r="CT61" s="67" t="b">
        <f t="shared" si="127"/>
        <v>0</v>
      </c>
      <c r="CU61" s="67" t="b">
        <f t="shared" si="128"/>
        <v>0</v>
      </c>
      <c r="CV61" s="67" t="b">
        <f t="shared" si="129"/>
        <v>0</v>
      </c>
      <c r="CW61" s="67" t="b">
        <f t="shared" si="130"/>
        <v>0</v>
      </c>
      <c r="CX61" s="30"/>
      <c r="CY61" s="30"/>
      <c r="CZ61" s="30"/>
      <c r="DA61" s="28"/>
      <c r="DB61" s="30"/>
      <c r="DC61" s="30"/>
    </row>
    <row r="62" spans="1:107" ht="15" hidden="1" customHeight="1" x14ac:dyDescent="0.2">
      <c r="A62" s="28"/>
      <c r="B62" s="54"/>
      <c r="C62" s="54"/>
      <c r="D62" s="54"/>
      <c r="E62" s="54"/>
      <c r="F62" s="54"/>
      <c r="G62" s="54"/>
      <c r="H62" s="28"/>
      <c r="I62" s="28"/>
      <c r="J62" s="28"/>
      <c r="K62" s="28"/>
      <c r="L62" s="28">
        <f t="shared" si="131"/>
        <v>0</v>
      </c>
      <c r="M62" s="28">
        <f t="shared" si="132"/>
        <v>0</v>
      </c>
      <c r="N62" s="28">
        <f t="shared" ref="N62:O62" si="144">IF(T62=0,0,(IF(T62&gt;6,6,(IF(T62&lt;1,1,T62)))))</f>
        <v>0</v>
      </c>
      <c r="O62" s="28">
        <f t="shared" si="144"/>
        <v>0</v>
      </c>
      <c r="P62" s="28">
        <f t="shared" si="134"/>
        <v>0</v>
      </c>
      <c r="Q62" s="28"/>
      <c r="R62" s="27">
        <f>IFERROR((VLOOKUP($BP$1&amp;D3,Teams!D:M,2,0)+AL62+AD62),0)</f>
        <v>0</v>
      </c>
      <c r="S62" s="27">
        <f>IFERROR((VLOOKUP($BP$1&amp;D3,Teams!D:M,3,0)+AM62+AE62),0)</f>
        <v>0</v>
      </c>
      <c r="T62" s="27">
        <f>IFERROR((VLOOKUP($BP$1&amp;D3,Teams!D:M,4,0)+AN62-AF62),0)</f>
        <v>0</v>
      </c>
      <c r="U62" s="27">
        <f>IFERROR((VLOOKUP($BP$1&amp;D3,Teams!D:M,5,0)+AO62-AG62),0)</f>
        <v>0</v>
      </c>
      <c r="V62" s="27">
        <f>IFERROR((VLOOKUP($BP$1&amp;D3,Teams!D:M,6,0)+AP62+AH62),0)</f>
        <v>0</v>
      </c>
      <c r="W62" s="28"/>
      <c r="X62" s="28">
        <f>IFERROR((VLOOKUP($BP$1&amp;D3,Teams!D:M,2,0)),0)</f>
        <v>0</v>
      </c>
      <c r="Y62" s="28">
        <f>IFERROR((VLOOKUP($BP$1&amp;D3,Teams!D:M,3,0)),0)</f>
        <v>0</v>
      </c>
      <c r="Z62" s="28">
        <f>IFERROR((VLOOKUP($BP$1&amp;D3,Teams!D:M,4,0)),0)</f>
        <v>0</v>
      </c>
      <c r="AA62" s="28">
        <f>IFERROR((VLOOKUP($BP$1&amp;D3,Teams!D:M,5,0)),0)</f>
        <v>0</v>
      </c>
      <c r="AB62" s="28">
        <f>IFERROR((VLOOKUP($BP$1&amp;D3,Teams!D:M,6,0)),0)</f>
        <v>0</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0</v>
      </c>
      <c r="BG62" s="30"/>
      <c r="BH62" s="30"/>
      <c r="BI62" s="226" t="s">
        <v>1210</v>
      </c>
      <c r="BJ62" s="75">
        <f>IFERROR((IF(OR(COUNTIF($BV$2,"*Favouredof*"),COUNTIF($BV$2,"*ElvenKingdomsLeague*")),150000,0)),0)</f>
        <v>0</v>
      </c>
      <c r="BK62" s="30"/>
      <c r="BL62" s="28"/>
      <c r="BM62" s="226" t="s">
        <v>1221</v>
      </c>
      <c r="BN62" s="75">
        <f>IFERROR((IF(OR(COUNTIF($BV$2,"*WorldsEdgeSuperleague*")),120000,0)),0)</f>
        <v>0</v>
      </c>
      <c r="BO62" s="28"/>
      <c r="BP62" s="226" t="s">
        <v>1226</v>
      </c>
      <c r="BQ62" s="75">
        <f>IFERROR((IF(OR(COUNTIF($BV$2,"*OldWorldClassic*"),COUNTIF($BV$2,"*WorldsEdgeSuperleague*")),50000,0)),0)</f>
        <v>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6"/>
      <c r="CG62" s="246"/>
      <c r="CH62" s="249" t="b">
        <f t="shared" si="115"/>
        <v>0</v>
      </c>
      <c r="CI62" s="249" t="b">
        <f t="shared" si="116"/>
        <v>0</v>
      </c>
      <c r="CJ62" s="67" t="b">
        <f t="shared" si="117"/>
        <v>0</v>
      </c>
      <c r="CK62" s="67" t="b">
        <f t="shared" si="118"/>
        <v>0</v>
      </c>
      <c r="CL62" s="67" t="b">
        <f t="shared" si="119"/>
        <v>0</v>
      </c>
      <c r="CM62" s="67" t="b">
        <f t="shared" si="120"/>
        <v>0</v>
      </c>
      <c r="CN62" s="67" t="b">
        <f t="shared" si="121"/>
        <v>0</v>
      </c>
      <c r="CO62" s="67" t="b">
        <f t="shared" si="122"/>
        <v>0</v>
      </c>
      <c r="CP62" s="67" t="b">
        <f t="shared" si="123"/>
        <v>0</v>
      </c>
      <c r="CQ62" s="67" t="b">
        <f t="shared" si="124"/>
        <v>0</v>
      </c>
      <c r="CR62" s="67" t="b">
        <f t="shared" si="125"/>
        <v>0</v>
      </c>
      <c r="CS62" s="67" t="b">
        <f t="shared" si="126"/>
        <v>0</v>
      </c>
      <c r="CT62" s="67" t="b">
        <f t="shared" si="127"/>
        <v>0</v>
      </c>
      <c r="CU62" s="67" t="b">
        <f t="shared" si="128"/>
        <v>0</v>
      </c>
      <c r="CV62" s="67" t="b">
        <f t="shared" si="129"/>
        <v>0</v>
      </c>
      <c r="CW62" s="67" t="b">
        <f t="shared" si="130"/>
        <v>0</v>
      </c>
      <c r="CX62" s="30"/>
      <c r="CY62" s="30"/>
      <c r="CZ62" s="30"/>
      <c r="DA62" s="28"/>
      <c r="DB62" s="30"/>
      <c r="DC62" s="30"/>
    </row>
    <row r="63" spans="1:107" ht="15" hidden="1" customHeight="1" x14ac:dyDescent="0.2">
      <c r="A63" s="28"/>
      <c r="B63" s="54"/>
      <c r="C63" s="54"/>
      <c r="D63" s="54"/>
      <c r="E63" s="54"/>
      <c r="F63" s="54"/>
      <c r="G63" s="54"/>
      <c r="H63" s="28"/>
      <c r="I63" s="28"/>
      <c r="J63" s="28"/>
      <c r="K63" s="28"/>
      <c r="L63" s="28">
        <f t="shared" si="131"/>
        <v>0</v>
      </c>
      <c r="M63" s="28">
        <f t="shared" si="132"/>
        <v>0</v>
      </c>
      <c r="N63" s="28">
        <f t="shared" ref="N63:O63" si="146">IF(T63=0,0,(IF(T63&gt;6,6,(IF(T63&lt;1,1,T63)))))</f>
        <v>0</v>
      </c>
      <c r="O63" s="28">
        <f t="shared" si="146"/>
        <v>0</v>
      </c>
      <c r="P63" s="28">
        <f t="shared" si="134"/>
        <v>0</v>
      </c>
      <c r="Q63" s="28"/>
      <c r="R63" s="27">
        <f>IFERROR((VLOOKUP($BP$1&amp;D4,Teams!D:M,2,0)+AL63+AD63),0)</f>
        <v>0</v>
      </c>
      <c r="S63" s="27">
        <f>IFERROR((VLOOKUP($BP$1&amp;D4,Teams!D:M,3,0)+AM63+AE63),0)</f>
        <v>0</v>
      </c>
      <c r="T63" s="27">
        <f>IFERROR((VLOOKUP($BP$1&amp;D4,Teams!D:M,4,0)+AN63-AF63),0)</f>
        <v>0</v>
      </c>
      <c r="U63" s="27">
        <f>IFERROR((VLOOKUP($BP$1&amp;D4,Teams!D:M,5,0)+AO63-AG63),0)</f>
        <v>0</v>
      </c>
      <c r="V63" s="27">
        <f>IFERROR((VLOOKUP($BP$1&amp;D4,Teams!D:M,6,0)+AP63+AH63),0)</f>
        <v>0</v>
      </c>
      <c r="W63" s="28"/>
      <c r="X63" s="28">
        <f>IFERROR((VLOOKUP($BP$1&amp;D4,Teams!D:M,2,0)),0)</f>
        <v>0</v>
      </c>
      <c r="Y63" s="28">
        <f>IFERROR((VLOOKUP($BP$1&amp;D4,Teams!D:M,3,0)),0)</f>
        <v>0</v>
      </c>
      <c r="Z63" s="28">
        <f>IFERROR((VLOOKUP($BP$1&amp;D4,Teams!D:M,4,0)),0)</f>
        <v>0</v>
      </c>
      <c r="AA63" s="28">
        <f>IFERROR((VLOOKUP($BP$1&amp;D4,Teams!D:M,5,0)),0)</f>
        <v>0</v>
      </c>
      <c r="AB63" s="28">
        <f>IFERROR((VLOOKUP($BP$1&amp;D4,Teams!D:M,6,0)),0)</f>
        <v>0</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0</v>
      </c>
      <c r="BG63" s="30"/>
      <c r="BH63" s="30"/>
      <c r="BI63" s="226" t="s">
        <v>1211</v>
      </c>
      <c r="BJ63" s="75">
        <f>IFERROR((IF(OR(COUNTIF($BV$2,"*ElvenKingdomsLeague*")),150000,0)),0)</f>
        <v>0</v>
      </c>
      <c r="BK63" s="30"/>
      <c r="BL63" s="75"/>
      <c r="BM63" s="226" t="s">
        <v>1222</v>
      </c>
      <c r="BN63" s="75">
        <f>IFERROR(IF($BW$2="Bribery and Corruption",80000,120000),0)</f>
        <v>120000</v>
      </c>
      <c r="BO63" s="75"/>
      <c r="BP63" s="226" t="s">
        <v>1227</v>
      </c>
      <c r="BQ63" s="75">
        <f>IFERROR(IF(COUNTIF($BV$2,"*HalflingThimbleCup*"),60000,(IF(COUNTIF($BV$2,"*OldWorldClassic*"),80000,0))),0)</f>
        <v>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6"/>
      <c r="CG63" s="246"/>
      <c r="CH63" s="249" t="b">
        <f t="shared" si="115"/>
        <v>0</v>
      </c>
      <c r="CI63" s="249" t="b">
        <f t="shared" si="116"/>
        <v>0</v>
      </c>
      <c r="CJ63" s="67" t="b">
        <f t="shared" si="117"/>
        <v>0</v>
      </c>
      <c r="CK63" s="67" t="b">
        <f t="shared" si="118"/>
        <v>0</v>
      </c>
      <c r="CL63" s="67" t="b">
        <f t="shared" si="119"/>
        <v>0</v>
      </c>
      <c r="CM63" s="67" t="b">
        <f t="shared" si="120"/>
        <v>0</v>
      </c>
      <c r="CN63" s="67" t="b">
        <f t="shared" si="121"/>
        <v>0</v>
      </c>
      <c r="CO63" s="67" t="b">
        <f t="shared" si="122"/>
        <v>0</v>
      </c>
      <c r="CP63" s="67" t="b">
        <f t="shared" si="123"/>
        <v>0</v>
      </c>
      <c r="CQ63" s="67" t="b">
        <f t="shared" si="124"/>
        <v>0</v>
      </c>
      <c r="CR63" s="67" t="b">
        <f t="shared" si="125"/>
        <v>0</v>
      </c>
      <c r="CS63" s="67" t="b">
        <f t="shared" si="126"/>
        <v>0</v>
      </c>
      <c r="CT63" s="67" t="b">
        <f t="shared" si="127"/>
        <v>0</v>
      </c>
      <c r="CU63" s="67" t="b">
        <f t="shared" si="128"/>
        <v>0</v>
      </c>
      <c r="CV63" s="67" t="b">
        <f t="shared" si="129"/>
        <v>0</v>
      </c>
      <c r="CW63" s="67" t="b">
        <f t="shared" si="130"/>
        <v>0</v>
      </c>
      <c r="CX63" s="30"/>
      <c r="CY63" s="30"/>
      <c r="CZ63" s="30"/>
      <c r="DA63" s="28"/>
      <c r="DB63" s="30"/>
      <c r="DC63" s="30"/>
    </row>
    <row r="64" spans="1:107" ht="15" hidden="1" customHeight="1" x14ac:dyDescent="0.2">
      <c r="A64" s="28"/>
      <c r="B64" s="54"/>
      <c r="C64" s="54"/>
      <c r="D64" s="54"/>
      <c r="E64" s="54"/>
      <c r="F64" s="54"/>
      <c r="G64" s="54"/>
      <c r="H64" s="28"/>
      <c r="I64" s="28"/>
      <c r="J64" s="28"/>
      <c r="K64" s="28"/>
      <c r="L64" s="28">
        <f t="shared" si="131"/>
        <v>0</v>
      </c>
      <c r="M64" s="28">
        <f t="shared" si="132"/>
        <v>0</v>
      </c>
      <c r="N64" s="28">
        <f t="shared" ref="N64:O64" si="148">IF(T64=0,0,(IF(T64&gt;6,6,(IF(T64&lt;1,1,T64)))))</f>
        <v>0</v>
      </c>
      <c r="O64" s="28">
        <f t="shared" si="148"/>
        <v>0</v>
      </c>
      <c r="P64" s="28">
        <f t="shared" si="134"/>
        <v>0</v>
      </c>
      <c r="Q64" s="28" t="s">
        <v>245</v>
      </c>
      <c r="R64" s="27">
        <f>IFERROR((VLOOKUP($BP$1&amp;D5,Teams!D:M,2,0)+AL64+AD64),0)</f>
        <v>0</v>
      </c>
      <c r="S64" s="27">
        <f>IFERROR((VLOOKUP($BP$1&amp;D5,Teams!D:M,3,0)+AM64+AE64),0)</f>
        <v>0</v>
      </c>
      <c r="T64" s="27">
        <f>IFERROR((VLOOKUP($BP$1&amp;D5,Teams!D:M,4,0)+AN64-AF64),0)</f>
        <v>0</v>
      </c>
      <c r="U64" s="27">
        <f>IFERROR((VLOOKUP($BP$1&amp;D5,Teams!D:M,5,0)+AO64-AG64),0)</f>
        <v>0</v>
      </c>
      <c r="V64" s="27">
        <f>IFERROR((VLOOKUP($BP$1&amp;D5,Teams!D:M,6,0)+AP64+AH64),0)</f>
        <v>0</v>
      </c>
      <c r="W64" s="28"/>
      <c r="X64" s="28">
        <f>IFERROR((VLOOKUP($BP$1&amp;D5,Teams!D:M,2,0)),0)</f>
        <v>0</v>
      </c>
      <c r="Y64" s="28">
        <f>IFERROR((VLOOKUP($BP$1&amp;D5,Teams!D:M,3,0)),0)</f>
        <v>0</v>
      </c>
      <c r="Z64" s="28">
        <f>IFERROR((VLOOKUP($BP$1&amp;D5,Teams!D:M,4,0)),0)</f>
        <v>0</v>
      </c>
      <c r="AA64" s="28">
        <f>IFERROR((VLOOKUP($BP$1&amp;D5,Teams!D:M,5,0)),0)</f>
        <v>0</v>
      </c>
      <c r="AB64" s="28">
        <f>IFERROR((VLOOKUP($BP$1&amp;D5,Teams!D:M,6,0)),0)</f>
        <v>0</v>
      </c>
      <c r="AC64" s="38"/>
      <c r="AD64" s="28">
        <f t="shared" si="135"/>
        <v>0</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0</v>
      </c>
      <c r="BG64" s="30"/>
      <c r="BH64" s="30"/>
      <c r="BI64" s="226" t="s">
        <v>1212</v>
      </c>
      <c r="BJ64" s="75">
        <f>IFERROR((IF(OR(COUNTIF($BV$2,"*LustrianSuperleague*")),200000,0)),0)</f>
        <v>200000</v>
      </c>
      <c r="BK64" s="30"/>
      <c r="BL64" s="75"/>
      <c r="BM64" s="226" t="s">
        <v>1223</v>
      </c>
      <c r="BN64" s="75">
        <f>IFERROR((IF(OR(COUNTIF($BV$2,"*HalflingThimbleCup*")),40000,80000)),0)</f>
        <v>80000</v>
      </c>
      <c r="BO64" s="75"/>
      <c r="BP64" s="226" t="s">
        <v>1228</v>
      </c>
      <c r="BQ64" s="75">
        <f>IFERROR(IF(COUNTIF($BV$2,"*HalflingThimbleCup*"),30000,(IF(COUNTIF($BV$2,"*OldWorldClassic*"),40000,0))),0)</f>
        <v>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6"/>
      <c r="CG64" s="246"/>
      <c r="CH64" s="249" t="b">
        <f t="shared" si="115"/>
        <v>0</v>
      </c>
      <c r="CI64" s="249" t="b">
        <f t="shared" si="116"/>
        <v>0</v>
      </c>
      <c r="CJ64" s="67" t="b">
        <f t="shared" si="117"/>
        <v>0</v>
      </c>
      <c r="CK64" s="67" t="b">
        <f t="shared" si="118"/>
        <v>0</v>
      </c>
      <c r="CL64" s="67" t="b">
        <f t="shared" si="119"/>
        <v>0</v>
      </c>
      <c r="CM64" s="67" t="b">
        <f t="shared" si="120"/>
        <v>0</v>
      </c>
      <c r="CN64" s="67" t="b">
        <f t="shared" si="121"/>
        <v>0</v>
      </c>
      <c r="CO64" s="67" t="b">
        <f t="shared" si="122"/>
        <v>0</v>
      </c>
      <c r="CP64" s="67" t="b">
        <f t="shared" si="123"/>
        <v>0</v>
      </c>
      <c r="CQ64" s="67" t="b">
        <f t="shared" si="124"/>
        <v>0</v>
      </c>
      <c r="CR64" s="67" t="b">
        <f t="shared" si="125"/>
        <v>0</v>
      </c>
      <c r="CS64" s="67" t="b">
        <f t="shared" si="126"/>
        <v>0</v>
      </c>
      <c r="CT64" s="67" t="b">
        <f t="shared" si="127"/>
        <v>0</v>
      </c>
      <c r="CU64" s="67" t="b">
        <f t="shared" si="128"/>
        <v>0</v>
      </c>
      <c r="CV64" s="67" t="b">
        <f t="shared" si="129"/>
        <v>0</v>
      </c>
      <c r="CW64" s="67" t="b">
        <f t="shared" si="130"/>
        <v>0</v>
      </c>
      <c r="CX64" s="30"/>
      <c r="CY64" s="30"/>
      <c r="CZ64" s="30"/>
      <c r="DA64" s="28"/>
      <c r="DB64" s="30"/>
      <c r="DC64" s="30"/>
    </row>
    <row r="65" spans="1:107" ht="15" hidden="1" customHeight="1" x14ac:dyDescent="0.2">
      <c r="A65" s="28"/>
      <c r="B65" s="54"/>
      <c r="C65" s="54"/>
      <c r="D65" s="54"/>
      <c r="E65" s="54"/>
      <c r="F65" s="54"/>
      <c r="G65" s="54"/>
      <c r="H65" s="28"/>
      <c r="I65" s="28"/>
      <c r="J65" s="28"/>
      <c r="K65" s="28"/>
      <c r="L65" s="28">
        <f t="shared" si="131"/>
        <v>0</v>
      </c>
      <c r="M65" s="28">
        <f t="shared" si="132"/>
        <v>0</v>
      </c>
      <c r="N65" s="28">
        <f t="shared" ref="N65:O65" si="150">IF(T65=0,0,(IF(T65&gt;6,6,(IF(T65&lt;1,1,T65)))))</f>
        <v>0</v>
      </c>
      <c r="O65" s="28">
        <f t="shared" si="150"/>
        <v>0</v>
      </c>
      <c r="P65" s="28">
        <f t="shared" si="134"/>
        <v>0</v>
      </c>
      <c r="Q65" s="28"/>
      <c r="R65" s="27">
        <f>IFERROR((VLOOKUP($BP$1&amp;D6,Teams!D:M,2,0)+AL65+AD65),0)</f>
        <v>0</v>
      </c>
      <c r="S65" s="27">
        <f>IFERROR((VLOOKUP($BP$1&amp;D6,Teams!D:M,3,0)+AM65+AE65),0)</f>
        <v>0</v>
      </c>
      <c r="T65" s="27">
        <f>IFERROR((VLOOKUP($BP$1&amp;D6,Teams!D:M,4,0)+AN65-AF65),0)</f>
        <v>0</v>
      </c>
      <c r="U65" s="27">
        <f>IFERROR((VLOOKUP($BP$1&amp;D6,Teams!D:M,5,0)+AO65-AG65),0)</f>
        <v>0</v>
      </c>
      <c r="V65" s="27">
        <f>IFERROR((VLOOKUP($BP$1&amp;D6,Teams!D:M,6,0)+AP65+AH65),0)</f>
        <v>0</v>
      </c>
      <c r="W65" s="28"/>
      <c r="X65" s="28">
        <f>IFERROR((VLOOKUP($BP$1&amp;D6,Teams!D:M,2,0)),0)</f>
        <v>0</v>
      </c>
      <c r="Y65" s="28">
        <f>IFERROR((VLOOKUP($BP$1&amp;D6,Teams!D:M,3,0)),0)</f>
        <v>0</v>
      </c>
      <c r="Z65" s="28">
        <f>IFERROR((VLOOKUP($BP$1&amp;D6,Teams!D:M,4,0)),0)</f>
        <v>0</v>
      </c>
      <c r="AA65" s="28">
        <f>IFERROR((VLOOKUP($BP$1&amp;D6,Teams!D:M,5,0)),0)</f>
        <v>0</v>
      </c>
      <c r="AB65" s="28">
        <f>IFERROR((VLOOKUP($BP$1&amp;D6,Teams!D:M,6,0)),0)</f>
        <v>0</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50"/>
      <c r="CG65" s="246"/>
      <c r="CH65" s="249" t="b">
        <f t="shared" si="115"/>
        <v>0</v>
      </c>
      <c r="CI65" s="249" t="b">
        <f t="shared" si="116"/>
        <v>0</v>
      </c>
      <c r="CJ65" s="67" t="b">
        <f t="shared" si="117"/>
        <v>0</v>
      </c>
      <c r="CK65" s="67" t="b">
        <f t="shared" si="118"/>
        <v>0</v>
      </c>
      <c r="CL65" s="67" t="b">
        <f t="shared" si="119"/>
        <v>0</v>
      </c>
      <c r="CM65" s="67" t="b">
        <f t="shared" si="120"/>
        <v>0</v>
      </c>
      <c r="CN65" s="67" t="b">
        <f t="shared" si="121"/>
        <v>0</v>
      </c>
      <c r="CO65" s="67" t="b">
        <f t="shared" si="122"/>
        <v>0</v>
      </c>
      <c r="CP65" s="67" t="b">
        <f t="shared" si="123"/>
        <v>0</v>
      </c>
      <c r="CQ65" s="67" t="b">
        <f t="shared" si="124"/>
        <v>0</v>
      </c>
      <c r="CR65" s="67" t="b">
        <f t="shared" si="125"/>
        <v>0</v>
      </c>
      <c r="CS65" s="67" t="b">
        <f t="shared" si="126"/>
        <v>0</v>
      </c>
      <c r="CT65" s="67" t="b">
        <f t="shared" si="127"/>
        <v>0</v>
      </c>
      <c r="CU65" s="67" t="b">
        <f t="shared" si="128"/>
        <v>0</v>
      </c>
      <c r="CV65" s="67" t="b">
        <f t="shared" si="129"/>
        <v>0</v>
      </c>
      <c r="CW65" s="67" t="b">
        <f t="shared" si="130"/>
        <v>0</v>
      </c>
      <c r="CX65" s="30"/>
      <c r="CY65" s="30"/>
      <c r="CZ65" s="30"/>
      <c r="DA65" s="28"/>
      <c r="DB65" s="30"/>
      <c r="DC65" s="30"/>
    </row>
    <row r="66" spans="1:107" ht="15" hidden="1" customHeight="1" x14ac:dyDescent="0.2">
      <c r="A66" s="28"/>
      <c r="B66" s="54"/>
      <c r="C66" s="54"/>
      <c r="D66" s="54"/>
      <c r="E66" s="54"/>
      <c r="F66" s="54"/>
      <c r="G66" s="54"/>
      <c r="H66" s="28"/>
      <c r="I66" s="28"/>
      <c r="J66" s="28"/>
      <c r="K66" s="28"/>
      <c r="L66" s="28">
        <f t="shared" si="131"/>
        <v>0</v>
      </c>
      <c r="M66" s="28">
        <f t="shared" si="132"/>
        <v>0</v>
      </c>
      <c r="N66" s="28">
        <f t="shared" ref="N66:O66" si="152">IF(T66=0,0,(IF(T66&gt;6,6,(IF(T66&lt;1,1,T66)))))</f>
        <v>0</v>
      </c>
      <c r="O66" s="28">
        <f t="shared" si="152"/>
        <v>0</v>
      </c>
      <c r="P66" s="28">
        <f t="shared" si="134"/>
        <v>0</v>
      </c>
      <c r="Q66" s="28"/>
      <c r="R66" s="27">
        <f>IFERROR((VLOOKUP($BP$1&amp;D7,Teams!D:M,2,0)+AL66+AD66),0)</f>
        <v>0</v>
      </c>
      <c r="S66" s="27">
        <f>IFERROR((VLOOKUP($BP$1&amp;D7,Teams!D:M,3,0)+AM66+AE66),0)</f>
        <v>0</v>
      </c>
      <c r="T66" s="27">
        <f>IFERROR((VLOOKUP($BP$1&amp;D7,Teams!D:M,4,0)+AN66-AF66),0)</f>
        <v>0</v>
      </c>
      <c r="U66" s="27">
        <f>IFERROR((VLOOKUP($BP$1&amp;D7,Teams!D:M,5,0)+AO66-AG66),0)</f>
        <v>0</v>
      </c>
      <c r="V66" s="27">
        <f>IFERROR((VLOOKUP($BP$1&amp;D7,Teams!D:M,6,0)+AP66+AH66),0)</f>
        <v>0</v>
      </c>
      <c r="W66" s="28"/>
      <c r="X66" s="28">
        <f>IFERROR((VLOOKUP($BP$1&amp;D7,Teams!D:M,2,0)),0)</f>
        <v>0</v>
      </c>
      <c r="Y66" s="28">
        <f>IFERROR((VLOOKUP($BP$1&amp;D7,Teams!D:M,3,0)),0)</f>
        <v>0</v>
      </c>
      <c r="Z66" s="28">
        <f>IFERROR((VLOOKUP($BP$1&amp;D7,Teams!D:M,4,0)),0)</f>
        <v>0</v>
      </c>
      <c r="AA66" s="28">
        <f>IFERROR((VLOOKUP($BP$1&amp;D7,Teams!D:M,5,0)),0)</f>
        <v>0</v>
      </c>
      <c r="AB66" s="28">
        <f>IFERROR((VLOOKUP($BP$1&amp;D7,Teams!D:M,6,0)),0)</f>
        <v>0</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0</v>
      </c>
      <c r="BG66" s="30"/>
      <c r="BH66" s="30"/>
      <c r="BI66" s="226" t="s">
        <v>1214</v>
      </c>
      <c r="BJ66" s="75">
        <f>IFERROR((IF(COUNTIF($BV$2,"*SylvanianSpotlight*"),150000,0)),0)</f>
        <v>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50"/>
      <c r="CG66" s="246"/>
      <c r="CH66" s="249" t="b">
        <f t="shared" si="115"/>
        <v>0</v>
      </c>
      <c r="CI66" s="249" t="b">
        <f t="shared" si="116"/>
        <v>0</v>
      </c>
      <c r="CJ66" s="67" t="b">
        <f t="shared" si="117"/>
        <v>0</v>
      </c>
      <c r="CK66" s="67" t="b">
        <f t="shared" si="118"/>
        <v>0</v>
      </c>
      <c r="CL66" s="67" t="b">
        <f t="shared" si="119"/>
        <v>0</v>
      </c>
      <c r="CM66" s="67" t="b">
        <f t="shared" si="120"/>
        <v>0</v>
      </c>
      <c r="CN66" s="67" t="b">
        <f t="shared" si="121"/>
        <v>0</v>
      </c>
      <c r="CO66" s="67" t="b">
        <f t="shared" si="122"/>
        <v>0</v>
      </c>
      <c r="CP66" s="67" t="b">
        <f t="shared" si="123"/>
        <v>0</v>
      </c>
      <c r="CQ66" s="67" t="b">
        <f t="shared" si="124"/>
        <v>0</v>
      </c>
      <c r="CR66" s="67" t="b">
        <f t="shared" si="125"/>
        <v>0</v>
      </c>
      <c r="CS66" s="67" t="b">
        <f t="shared" si="126"/>
        <v>0</v>
      </c>
      <c r="CT66" s="67" t="b">
        <f t="shared" si="127"/>
        <v>0</v>
      </c>
      <c r="CU66" s="67" t="b">
        <f t="shared" si="128"/>
        <v>0</v>
      </c>
      <c r="CV66" s="67" t="b">
        <f t="shared" si="129"/>
        <v>0</v>
      </c>
      <c r="CW66" s="67" t="b">
        <f t="shared" si="130"/>
        <v>0</v>
      </c>
      <c r="CX66" s="30"/>
      <c r="CY66" s="30"/>
      <c r="CZ66" s="30"/>
      <c r="DA66" s="28"/>
      <c r="DB66" s="30"/>
      <c r="DC66" s="30"/>
    </row>
    <row r="67" spans="1:107" ht="15" hidden="1" customHeight="1" x14ac:dyDescent="0.2">
      <c r="A67" s="28"/>
      <c r="B67" s="28"/>
      <c r="C67" s="300"/>
      <c r="D67" s="28"/>
      <c r="E67" s="28"/>
      <c r="F67" s="28"/>
      <c r="G67" s="28"/>
      <c r="H67" s="28"/>
      <c r="I67" s="28"/>
      <c r="J67" s="28"/>
      <c r="K67" s="28"/>
      <c r="L67" s="28">
        <f t="shared" si="131"/>
        <v>0</v>
      </c>
      <c r="M67" s="28">
        <f t="shared" si="132"/>
        <v>0</v>
      </c>
      <c r="N67" s="28">
        <f t="shared" ref="N67:O67" si="154">IF(T67=0,0,(IF(T67&gt;6,6,(IF(T67&lt;1,1,T67)))))</f>
        <v>0</v>
      </c>
      <c r="O67" s="28">
        <f t="shared" si="154"/>
        <v>0</v>
      </c>
      <c r="P67" s="28">
        <f t="shared" si="134"/>
        <v>0</v>
      </c>
      <c r="Q67" s="28"/>
      <c r="R67" s="27">
        <f>IFERROR((VLOOKUP($BP$1&amp;D8,Teams!D:M,2,0)+AL67+AD67),0)</f>
        <v>0</v>
      </c>
      <c r="S67" s="27">
        <f>IFERROR((VLOOKUP($BP$1&amp;D8,Teams!D:M,3,0)+AM67+AE67),0)</f>
        <v>0</v>
      </c>
      <c r="T67" s="27">
        <f>IFERROR((VLOOKUP($BP$1&amp;D8,Teams!D:M,4,0)+AN67-AF67),0)</f>
        <v>0</v>
      </c>
      <c r="U67" s="27">
        <f>IFERROR((VLOOKUP($BP$1&amp;D8,Teams!D:M,5,0)+AO67-AG67),0)</f>
        <v>0</v>
      </c>
      <c r="V67" s="27">
        <f>IFERROR((VLOOKUP($BP$1&amp;D8,Teams!D:M,6,0)+AP67+AH67),0)</f>
        <v>0</v>
      </c>
      <c r="W67" s="28"/>
      <c r="X67" s="28">
        <f>IFERROR((VLOOKUP($BP$1&amp;D8,Teams!D:M,2,0)),0)</f>
        <v>0</v>
      </c>
      <c r="Y67" s="28">
        <f>IFERROR((VLOOKUP($BP$1&amp;D8,Teams!D:M,3,0)),0)</f>
        <v>0</v>
      </c>
      <c r="Z67" s="28">
        <f>IFERROR((VLOOKUP($BP$1&amp;D8,Teams!D:M,4,0)),0)</f>
        <v>0</v>
      </c>
      <c r="AA67" s="28">
        <f>IFERROR((VLOOKUP($BP$1&amp;D8,Teams!D:M,5,0)),0)</f>
        <v>0</v>
      </c>
      <c r="AB67" s="28">
        <f>IFERROR((VLOOKUP($BP$1&amp;D8,Teams!D:M,6,0)),0)</f>
        <v>0</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0</v>
      </c>
      <c r="AM67" s="27">
        <f t="shared" si="155"/>
        <v>0</v>
      </c>
      <c r="AN67" s="27">
        <f t="shared" si="141"/>
        <v>0</v>
      </c>
      <c r="AO67" s="27">
        <f t="shared" si="142"/>
        <v>0</v>
      </c>
      <c r="AP67" s="27">
        <f t="shared" si="143"/>
        <v>0</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0</v>
      </c>
      <c r="BG67" s="30"/>
      <c r="BH67" s="30"/>
      <c r="BI67" s="74" t="str">
        <f>IF($K$25="Español","BRUJA MALVADA",(IF($K$25="Deutsch","VERRÜCKTE HEXE",(IF($K$25="Français","WICKED WITCH","WICKED WITCH")))))</f>
        <v>WICKED WITCH</v>
      </c>
      <c r="BJ67" s="75">
        <f>IFERROR((IF(OR(COUNTIF($BV$2,"*OldWorldClassic*"),COUNTIF($BV$2,"*SylvanianSpotlight*"),COUNTIF($BV$2,"*UnderworldChallenge*")),150000,0)),0)</f>
        <v>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50"/>
      <c r="CG67" s="246"/>
      <c r="CH67" s="249" t="b">
        <f t="shared" si="115"/>
        <v>0</v>
      </c>
      <c r="CI67" s="249" t="b">
        <f t="shared" si="116"/>
        <v>0</v>
      </c>
      <c r="CJ67" s="67" t="b">
        <f t="shared" si="117"/>
        <v>0</v>
      </c>
      <c r="CK67" s="67" t="b">
        <f t="shared" si="118"/>
        <v>0</v>
      </c>
      <c r="CL67" s="67" t="b">
        <f t="shared" si="119"/>
        <v>0</v>
      </c>
      <c r="CM67" s="67" t="b">
        <f t="shared" si="120"/>
        <v>0</v>
      </c>
      <c r="CN67" s="67" t="b">
        <f t="shared" si="121"/>
        <v>0</v>
      </c>
      <c r="CO67" s="67" t="b">
        <f t="shared" si="122"/>
        <v>0</v>
      </c>
      <c r="CP67" s="67" t="b">
        <f t="shared" si="123"/>
        <v>0</v>
      </c>
      <c r="CQ67" s="67" t="b">
        <f t="shared" si="124"/>
        <v>0</v>
      </c>
      <c r="CR67" s="67" t="b">
        <f t="shared" si="125"/>
        <v>0</v>
      </c>
      <c r="CS67" s="67" t="b">
        <f t="shared" si="126"/>
        <v>0</v>
      </c>
      <c r="CT67" s="67" t="b">
        <f t="shared" si="127"/>
        <v>0</v>
      </c>
      <c r="CU67" s="67" t="b">
        <f t="shared" si="128"/>
        <v>0</v>
      </c>
      <c r="CV67" s="67" t="b">
        <f t="shared" si="129"/>
        <v>0</v>
      </c>
      <c r="CW67" s="67" t="b">
        <f t="shared" si="130"/>
        <v>0</v>
      </c>
      <c r="CX67" s="30"/>
      <c r="CY67" s="30"/>
      <c r="CZ67" s="30"/>
      <c r="DA67" s="28"/>
      <c r="DB67" s="30"/>
      <c r="DC67" s="30"/>
    </row>
    <row r="68" spans="1:107" ht="15" hidden="1" customHeight="1" x14ac:dyDescent="0.2">
      <c r="A68" s="28"/>
      <c r="B68" s="54"/>
      <c r="C68" s="54"/>
      <c r="D68" s="54"/>
      <c r="E68" s="54"/>
      <c r="F68" s="54"/>
      <c r="G68" s="54"/>
      <c r="H68" s="28"/>
      <c r="I68" s="28"/>
      <c r="J68" s="28"/>
      <c r="K68" s="28"/>
      <c r="L68" s="28">
        <f t="shared" si="131"/>
        <v>0</v>
      </c>
      <c r="M68" s="28">
        <f t="shared" si="132"/>
        <v>0</v>
      </c>
      <c r="N68" s="28">
        <f t="shared" ref="N68:O68" si="156">IF(T68=0,0,(IF(T68&gt;6,6,(IF(T68&lt;1,1,T68)))))</f>
        <v>0</v>
      </c>
      <c r="O68" s="28">
        <f t="shared" si="156"/>
        <v>0</v>
      </c>
      <c r="P68" s="28">
        <f t="shared" si="134"/>
        <v>0</v>
      </c>
      <c r="Q68" s="28"/>
      <c r="R68" s="27">
        <f>IFERROR((VLOOKUP($BP$1&amp;D9,Teams!D:M,2,0)+AL68+AD68),0)</f>
        <v>0</v>
      </c>
      <c r="S68" s="27">
        <f>IFERROR((VLOOKUP($BP$1&amp;D9,Teams!D:M,3,0)+AM68+AE68),0)</f>
        <v>0</v>
      </c>
      <c r="T68" s="27">
        <f>IFERROR((VLOOKUP($BP$1&amp;D9,Teams!D:M,4,0)+AN68-AF68),0)</f>
        <v>0</v>
      </c>
      <c r="U68" s="27">
        <f>IFERROR((VLOOKUP($BP$1&amp;D9,Teams!D:M,5,0)+AO68-AG68),0)</f>
        <v>0</v>
      </c>
      <c r="V68" s="27">
        <f>IFERROR((VLOOKUP($BP$1&amp;D9,Teams!D:M,6,0)+AP68+AH68),0)</f>
        <v>0</v>
      </c>
      <c r="W68" s="28"/>
      <c r="X68" s="28">
        <f>IFERROR((VLOOKUP($BP$1&amp;D9,Teams!D:M,2,0)),0)</f>
        <v>0</v>
      </c>
      <c r="Y68" s="28">
        <f>IFERROR((VLOOKUP($BP$1&amp;D9,Teams!D:M,3,0)),0)</f>
        <v>0</v>
      </c>
      <c r="Z68" s="28">
        <f>IFERROR((VLOOKUP($BP$1&amp;D9,Teams!D:M,4,0)),0)</f>
        <v>0</v>
      </c>
      <c r="AA68" s="28">
        <f>IFERROR((VLOOKUP($BP$1&amp;D9,Teams!D:M,5,0)),0)</f>
        <v>0</v>
      </c>
      <c r="AB68" s="28">
        <f>IFERROR((VLOOKUP($BP$1&amp;D9,Teams!D:M,6,0)),0)</f>
        <v>0</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0</v>
      </c>
      <c r="AO68" s="27">
        <f t="shared" si="142"/>
        <v>0</v>
      </c>
      <c r="AP68" s="27">
        <f t="shared" si="143"/>
        <v>0</v>
      </c>
      <c r="AQ68" s="28"/>
      <c r="AR68" s="28"/>
      <c r="AS68" s="27">
        <v>970000</v>
      </c>
      <c r="AT68" s="27"/>
      <c r="AU68" s="27"/>
      <c r="AV68" s="27"/>
      <c r="AW68" s="27"/>
      <c r="AX68" s="27"/>
      <c r="AY68" s="28"/>
      <c r="AZ68" s="28">
        <v>6</v>
      </c>
      <c r="BA68" s="76" t="s">
        <v>248</v>
      </c>
      <c r="BB68" s="28" t="str">
        <f>IF(K25="Italiano","SI",(IF(K25="Español","SÍ",(IF(K25="Deutsch","JA",(IF(K25="Français","OUI","YES")))))))</f>
        <v>YES</v>
      </c>
      <c r="BC68" s="28"/>
      <c r="BD68" s="75"/>
      <c r="BE68" s="226" t="s">
        <v>1207</v>
      </c>
      <c r="BF68" s="75">
        <f>IFERROR((IF(OR(COUNTIF($BV$2,"*BadlandsBrawl*"),COUNTIF($BV$2,"*UnderworldChallenge*")),90000,0)),0)</f>
        <v>0</v>
      </c>
      <c r="BG68" s="30"/>
      <c r="BH68" s="30"/>
      <c r="BI68" s="226" t="s">
        <v>1215</v>
      </c>
      <c r="BJ68" s="75">
        <f>IFERROR((IF(OR(COUNTIF($BV$2,"*UnderworldChallenge*")),150000,0)),0)</f>
        <v>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50"/>
      <c r="CG68" s="246"/>
      <c r="CH68" s="249" t="b">
        <f t="shared" si="115"/>
        <v>0</v>
      </c>
      <c r="CI68" s="249" t="b">
        <f t="shared" si="116"/>
        <v>0</v>
      </c>
      <c r="CJ68" s="67" t="b">
        <f t="shared" si="117"/>
        <v>0</v>
      </c>
      <c r="CK68" s="67" t="b">
        <f t="shared" si="118"/>
        <v>0</v>
      </c>
      <c r="CL68" s="67" t="b">
        <f t="shared" si="119"/>
        <v>0</v>
      </c>
      <c r="CM68" s="67" t="b">
        <f t="shared" si="120"/>
        <v>0</v>
      </c>
      <c r="CN68" s="67" t="b">
        <f t="shared" si="121"/>
        <v>0</v>
      </c>
      <c r="CO68" s="67" t="b">
        <f t="shared" si="122"/>
        <v>0</v>
      </c>
      <c r="CP68" s="67" t="b">
        <f t="shared" si="123"/>
        <v>0</v>
      </c>
      <c r="CQ68" s="67" t="b">
        <f t="shared" si="124"/>
        <v>0</v>
      </c>
      <c r="CR68" s="67" t="b">
        <f t="shared" si="125"/>
        <v>0</v>
      </c>
      <c r="CS68" s="67" t="b">
        <f t="shared" si="126"/>
        <v>0</v>
      </c>
      <c r="CT68" s="67" t="b">
        <f t="shared" si="127"/>
        <v>0</v>
      </c>
      <c r="CU68" s="67" t="b">
        <f t="shared" si="128"/>
        <v>0</v>
      </c>
      <c r="CV68" s="67" t="b">
        <f t="shared" si="129"/>
        <v>0</v>
      </c>
      <c r="CW68" s="67" t="b">
        <f t="shared" si="130"/>
        <v>0</v>
      </c>
      <c r="CX68" s="30"/>
      <c r="CY68" s="30"/>
      <c r="CZ68" s="30"/>
      <c r="DA68" s="28"/>
      <c r="DB68" s="30"/>
      <c r="DC68" s="30"/>
    </row>
    <row r="69" spans="1:107" ht="15" hidden="1" customHeight="1" x14ac:dyDescent="0.2">
      <c r="A69" s="28"/>
      <c r="B69" s="54"/>
      <c r="C69" s="54"/>
      <c r="D69" s="54"/>
      <c r="E69" s="54"/>
      <c r="F69" s="54"/>
      <c r="G69" s="54"/>
      <c r="H69" s="28"/>
      <c r="I69" s="28"/>
      <c r="J69" s="28"/>
      <c r="K69" s="28"/>
      <c r="L69" s="28">
        <f t="shared" si="131"/>
        <v>0</v>
      </c>
      <c r="M69" s="28">
        <f t="shared" si="132"/>
        <v>0</v>
      </c>
      <c r="N69" s="28">
        <f t="shared" ref="N69:O69" si="158">IF(T69=0,0,(IF(T69&gt;6,6,(IF(T69&lt;1,1,T69)))))</f>
        <v>0</v>
      </c>
      <c r="O69" s="28">
        <f t="shared" si="158"/>
        <v>0</v>
      </c>
      <c r="P69" s="28">
        <f t="shared" si="134"/>
        <v>0</v>
      </c>
      <c r="Q69" s="28"/>
      <c r="R69" s="27">
        <f>IFERROR((VLOOKUP($BP$1&amp;D10,Teams!D:M,2,0)+AL69+AD69),0)</f>
        <v>0</v>
      </c>
      <c r="S69" s="27">
        <f>IFERROR((VLOOKUP($BP$1&amp;D10,Teams!D:M,3,0)+AM69+AE69),0)</f>
        <v>0</v>
      </c>
      <c r="T69" s="27">
        <f>IFERROR((VLOOKUP($BP$1&amp;D10,Teams!D:M,4,0)+AN69-AF69),0)</f>
        <v>0</v>
      </c>
      <c r="U69" s="27">
        <f>IFERROR((VLOOKUP($BP$1&amp;D10,Teams!D:M,5,0)+AO69-AG69),0)</f>
        <v>0</v>
      </c>
      <c r="V69" s="27">
        <f>IFERROR((VLOOKUP($BP$1&amp;D10,Teams!D:M,6,0)+AP69+AH69),0)</f>
        <v>0</v>
      </c>
      <c r="W69" s="28"/>
      <c r="X69" s="28">
        <f>IFERROR((VLOOKUP($BP$1&amp;D10,Teams!D:M,2,0)),0)</f>
        <v>0</v>
      </c>
      <c r="Y69" s="28">
        <f>IFERROR((VLOOKUP($BP$1&amp;D10,Teams!D:M,3,0)),0)</f>
        <v>0</v>
      </c>
      <c r="Z69" s="28">
        <f>IFERROR((VLOOKUP($BP$1&amp;D10,Teams!D:M,4,0)),0)</f>
        <v>0</v>
      </c>
      <c r="AA69" s="28">
        <f>IFERROR((VLOOKUP($BP$1&amp;D10,Teams!D:M,5,0)),0)</f>
        <v>0</v>
      </c>
      <c r="AB69" s="28">
        <f>IFERROR((VLOOKUP($BP$1&amp;D10,Teams!D:M,6,0)),0)</f>
        <v>0</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0</v>
      </c>
      <c r="AM69" s="27">
        <f t="shared" si="159"/>
        <v>0</v>
      </c>
      <c r="AN69" s="27">
        <f t="shared" si="141"/>
        <v>0</v>
      </c>
      <c r="AO69" s="27">
        <f t="shared" si="142"/>
        <v>0</v>
      </c>
      <c r="AP69" s="27">
        <f t="shared" si="143"/>
        <v>0</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50"/>
      <c r="CG69" s="246"/>
      <c r="CH69" s="249" t="b">
        <f t="shared" si="115"/>
        <v>0</v>
      </c>
      <c r="CI69" s="249" t="b">
        <f t="shared" si="116"/>
        <v>0</v>
      </c>
      <c r="CJ69" s="67" t="b">
        <f t="shared" si="117"/>
        <v>0</v>
      </c>
      <c r="CK69" s="67" t="b">
        <f t="shared" si="118"/>
        <v>0</v>
      </c>
      <c r="CL69" s="67" t="b">
        <f t="shared" si="119"/>
        <v>0</v>
      </c>
      <c r="CM69" s="67" t="b">
        <f t="shared" si="120"/>
        <v>0</v>
      </c>
      <c r="CN69" s="67" t="b">
        <f t="shared" si="121"/>
        <v>0</v>
      </c>
      <c r="CO69" s="67" t="b">
        <f t="shared" si="122"/>
        <v>0</v>
      </c>
      <c r="CP69" s="67" t="b">
        <f t="shared" si="123"/>
        <v>0</v>
      </c>
      <c r="CQ69" s="67" t="b">
        <f t="shared" si="124"/>
        <v>0</v>
      </c>
      <c r="CR69" s="67" t="b">
        <f t="shared" si="125"/>
        <v>0</v>
      </c>
      <c r="CS69" s="67" t="b">
        <f t="shared" si="126"/>
        <v>0</v>
      </c>
      <c r="CT69" s="67" t="b">
        <f t="shared" si="127"/>
        <v>0</v>
      </c>
      <c r="CU69" s="67" t="b">
        <f t="shared" si="128"/>
        <v>0</v>
      </c>
      <c r="CV69" s="67" t="b">
        <f t="shared" si="129"/>
        <v>0</v>
      </c>
      <c r="CW69" s="67" t="b">
        <f t="shared" si="130"/>
        <v>0</v>
      </c>
      <c r="CX69" s="30"/>
      <c r="CY69" s="30"/>
      <c r="CZ69" s="30"/>
      <c r="DA69" s="28"/>
      <c r="DB69" s="30"/>
      <c r="DC69" s="30"/>
    </row>
    <row r="70" spans="1:107" ht="15" hidden="1" customHeight="1" x14ac:dyDescent="0.2">
      <c r="A70" s="28"/>
      <c r="B70" s="28"/>
      <c r="C70" s="300"/>
      <c r="D70" s="54"/>
      <c r="E70" s="54"/>
      <c r="F70" s="54"/>
      <c r="G70" s="54"/>
      <c r="H70" s="28"/>
      <c r="I70" s="28"/>
      <c r="J70" s="28"/>
      <c r="K70" s="28"/>
      <c r="L70" s="28">
        <f t="shared" si="131"/>
        <v>0</v>
      </c>
      <c r="M70" s="28">
        <f t="shared" si="132"/>
        <v>0</v>
      </c>
      <c r="N70" s="28">
        <f t="shared" ref="N70:O70" si="160">IF(T70=0,0,(IF(T70&gt;6,6,(IF(T70&lt;1,1,T70)))))</f>
        <v>0</v>
      </c>
      <c r="O70" s="28">
        <f t="shared" si="160"/>
        <v>0</v>
      </c>
      <c r="P70" s="28">
        <f t="shared" si="134"/>
        <v>0</v>
      </c>
      <c r="Q70" s="28"/>
      <c r="R70" s="27">
        <f>IFERROR((VLOOKUP($BP$1&amp;D11,Teams!D:M,2,0)+AL70+AD70),0)</f>
        <v>0</v>
      </c>
      <c r="S70" s="27">
        <f>IFERROR((VLOOKUP($BP$1&amp;D11,Teams!D:M,3,0)+AM70+AE70),0)</f>
        <v>0</v>
      </c>
      <c r="T70" s="27">
        <f>IFERROR((VLOOKUP($BP$1&amp;D11,Teams!D:M,4,0)+AN70-AF70),0)</f>
        <v>0</v>
      </c>
      <c r="U70" s="27">
        <f>IFERROR((VLOOKUP($BP$1&amp;D11,Teams!D:M,5,0)+AO70-AG70),0)</f>
        <v>0</v>
      </c>
      <c r="V70" s="27">
        <f>IFERROR((VLOOKUP($BP$1&amp;D11,Teams!D:M,6,0)+AP70+AH70),0)</f>
        <v>0</v>
      </c>
      <c r="W70" s="28"/>
      <c r="X70" s="28">
        <f>IFERROR((VLOOKUP($BP$1&amp;D11,Teams!D:M,2,0)),0)</f>
        <v>0</v>
      </c>
      <c r="Y70" s="28">
        <f>IFERROR((VLOOKUP($BP$1&amp;D11,Teams!D:M,3,0)),0)</f>
        <v>0</v>
      </c>
      <c r="Z70" s="28">
        <f>IFERROR((VLOOKUP($BP$1&amp;D11,Teams!D:M,4,0)),0)</f>
        <v>0</v>
      </c>
      <c r="AA70" s="28">
        <f>IFERROR((VLOOKUP($BP$1&amp;D11,Teams!D:M,5,0)),0)</f>
        <v>0</v>
      </c>
      <c r="AB70" s="28">
        <f>IFERROR((VLOOKUP($BP$1&amp;D11,Teams!D:M,6,0)),0)</f>
        <v>0</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50"/>
      <c r="CG70" s="246"/>
      <c r="CH70" s="249" t="b">
        <f t="shared" si="115"/>
        <v>0</v>
      </c>
      <c r="CI70" s="249" t="b">
        <f t="shared" si="116"/>
        <v>0</v>
      </c>
      <c r="CJ70" s="67" t="b">
        <f t="shared" si="117"/>
        <v>0</v>
      </c>
      <c r="CK70" s="67" t="b">
        <f t="shared" si="118"/>
        <v>0</v>
      </c>
      <c r="CL70" s="67" t="b">
        <f t="shared" si="119"/>
        <v>0</v>
      </c>
      <c r="CM70" s="67" t="b">
        <f t="shared" si="120"/>
        <v>0</v>
      </c>
      <c r="CN70" s="67" t="b">
        <f t="shared" si="121"/>
        <v>0</v>
      </c>
      <c r="CO70" s="67" t="b">
        <f t="shared" si="122"/>
        <v>0</v>
      </c>
      <c r="CP70" s="67" t="b">
        <f t="shared" si="123"/>
        <v>0</v>
      </c>
      <c r="CQ70" s="67" t="b">
        <f t="shared" si="124"/>
        <v>0</v>
      </c>
      <c r="CR70" s="67" t="b">
        <f t="shared" si="125"/>
        <v>0</v>
      </c>
      <c r="CS70" s="67" t="b">
        <f t="shared" si="126"/>
        <v>0</v>
      </c>
      <c r="CT70" s="67" t="b">
        <f t="shared" si="127"/>
        <v>0</v>
      </c>
      <c r="CU70" s="67" t="b">
        <f t="shared" si="128"/>
        <v>0</v>
      </c>
      <c r="CV70" s="67" t="b">
        <f t="shared" si="129"/>
        <v>0</v>
      </c>
      <c r="CW70" s="67" t="b">
        <f t="shared" si="130"/>
        <v>0</v>
      </c>
      <c r="CX70" s="30"/>
      <c r="CY70" s="30"/>
      <c r="CZ70" s="30"/>
      <c r="DA70" s="28"/>
      <c r="DB70" s="30"/>
      <c r="DC70" s="30"/>
    </row>
    <row r="71" spans="1:107" ht="15" hidden="1" customHeight="1" x14ac:dyDescent="0.2">
      <c r="A71" s="28"/>
      <c r="B71" s="54"/>
      <c r="C71" s="54"/>
      <c r="D71" s="54"/>
      <c r="E71" s="54"/>
      <c r="F71" s="54"/>
      <c r="G71" s="54"/>
      <c r="H71" s="28"/>
      <c r="I71" s="28"/>
      <c r="J71" s="28"/>
      <c r="K71" s="28"/>
      <c r="L71" s="28">
        <f t="shared" si="131"/>
        <v>0</v>
      </c>
      <c r="M71" s="28">
        <f t="shared" si="132"/>
        <v>0</v>
      </c>
      <c r="N71" s="28">
        <f t="shared" ref="N71:O71" si="162">IF(T71=0,0,(IF(T71&gt;6,6,(IF(T71&lt;1,1,T71)))))</f>
        <v>0</v>
      </c>
      <c r="O71" s="28">
        <f t="shared" si="162"/>
        <v>0</v>
      </c>
      <c r="P71" s="28">
        <f t="shared" si="134"/>
        <v>0</v>
      </c>
      <c r="Q71" s="28"/>
      <c r="R71" s="27">
        <f>IFERROR((VLOOKUP($BP$1&amp;D12,Teams!D:M,2,0)+AL71+AD71),0)</f>
        <v>0</v>
      </c>
      <c r="S71" s="27">
        <f>IFERROR((VLOOKUP($BP$1&amp;D12,Teams!D:M,3,0)+AM71+AE71),0)</f>
        <v>0</v>
      </c>
      <c r="T71" s="27">
        <f>IFERROR((VLOOKUP($BP$1&amp;D12,Teams!D:M,4,0)+AN71-AF71),0)</f>
        <v>0</v>
      </c>
      <c r="U71" s="27">
        <f>IFERROR((VLOOKUP($BP$1&amp;D12,Teams!D:M,5,0)+AO71-AG71),0)</f>
        <v>0</v>
      </c>
      <c r="V71" s="27">
        <f>IFERROR((VLOOKUP($BP$1&amp;D12,Teams!D:M,6,0)+AP71+AH71),0)</f>
        <v>0</v>
      </c>
      <c r="W71" s="28"/>
      <c r="X71" s="28">
        <f>IFERROR((VLOOKUP($BP$1&amp;D12,Teams!D:M,2,0)),0)</f>
        <v>0</v>
      </c>
      <c r="Y71" s="28">
        <f>IFERROR((VLOOKUP($BP$1&amp;D12,Teams!D:M,3,0)),0)</f>
        <v>0</v>
      </c>
      <c r="Z71" s="28">
        <f>IFERROR((VLOOKUP($BP$1&amp;D12,Teams!D:M,4,0)),0)</f>
        <v>0</v>
      </c>
      <c r="AA71" s="28">
        <f>IFERROR((VLOOKUP($BP$1&amp;D12,Teams!D:M,5,0)),0)</f>
        <v>0</v>
      </c>
      <c r="AB71" s="28">
        <f>IFERROR((VLOOKUP($BP$1&amp;D12,Teams!D:M,6,0)),0)</f>
        <v>0</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50"/>
      <c r="CG71" s="246"/>
      <c r="CH71" s="249" t="b">
        <f t="shared" si="115"/>
        <v>0</v>
      </c>
      <c r="CI71" s="249" t="b">
        <f t="shared" si="116"/>
        <v>0</v>
      </c>
      <c r="CJ71" s="67" t="b">
        <f t="shared" si="117"/>
        <v>0</v>
      </c>
      <c r="CK71" s="67" t="b">
        <f t="shared" si="118"/>
        <v>0</v>
      </c>
      <c r="CL71" s="67" t="b">
        <f t="shared" si="119"/>
        <v>0</v>
      </c>
      <c r="CM71" s="67" t="b">
        <f t="shared" si="120"/>
        <v>0</v>
      </c>
      <c r="CN71" s="67" t="b">
        <f t="shared" si="121"/>
        <v>0</v>
      </c>
      <c r="CO71" s="67" t="b">
        <f t="shared" si="122"/>
        <v>0</v>
      </c>
      <c r="CP71" s="67" t="b">
        <f t="shared" si="123"/>
        <v>0</v>
      </c>
      <c r="CQ71" s="67" t="b">
        <f t="shared" si="124"/>
        <v>0</v>
      </c>
      <c r="CR71" s="67" t="b">
        <f t="shared" si="125"/>
        <v>0</v>
      </c>
      <c r="CS71" s="67" t="b">
        <f t="shared" si="126"/>
        <v>0</v>
      </c>
      <c r="CT71" s="67" t="b">
        <f t="shared" si="127"/>
        <v>0</v>
      </c>
      <c r="CU71" s="67" t="b">
        <f t="shared" si="128"/>
        <v>0</v>
      </c>
      <c r="CV71" s="67" t="b">
        <f t="shared" si="129"/>
        <v>0</v>
      </c>
      <c r="CW71" s="67" t="b">
        <f t="shared" si="130"/>
        <v>0</v>
      </c>
      <c r="CX71" s="30"/>
      <c r="CY71" s="30"/>
      <c r="CZ71" s="30"/>
      <c r="DA71" s="28"/>
      <c r="DB71" s="30"/>
      <c r="DC71" s="30"/>
    </row>
    <row r="72" spans="1:107" ht="15" hidden="1" customHeight="1" x14ac:dyDescent="0.2">
      <c r="A72" s="28"/>
      <c r="B72" s="79"/>
      <c r="C72" s="79"/>
      <c r="D72" s="79"/>
      <c r="E72" s="79"/>
      <c r="F72" s="79"/>
      <c r="G72" s="79"/>
      <c r="H72" s="28"/>
      <c r="I72" s="28"/>
      <c r="J72" s="28"/>
      <c r="K72" s="28"/>
      <c r="L72" s="28">
        <f t="shared" si="131"/>
        <v>0</v>
      </c>
      <c r="M72" s="28">
        <f t="shared" si="132"/>
        <v>0</v>
      </c>
      <c r="N72" s="28">
        <f t="shared" ref="N72:O72" si="164">IF(T72=0,0,(IF(T72&gt;6,6,(IF(T72&lt;1,1,T72)))))</f>
        <v>0</v>
      </c>
      <c r="O72" s="28">
        <f t="shared" si="164"/>
        <v>0</v>
      </c>
      <c r="P72" s="28">
        <f t="shared" si="134"/>
        <v>0</v>
      </c>
      <c r="Q72" s="28"/>
      <c r="R72" s="27">
        <f>IFERROR((VLOOKUP($BP$1&amp;D13,Teams!D:M,2,0)+AL72+AD72),0)</f>
        <v>0</v>
      </c>
      <c r="S72" s="27">
        <f>IFERROR((VLOOKUP($BP$1&amp;D13,Teams!D:M,3,0)+AM72+AE72),0)</f>
        <v>0</v>
      </c>
      <c r="T72" s="27">
        <f>IFERROR((VLOOKUP($BP$1&amp;D13,Teams!D:M,4,0)+AN72-AF72),0)</f>
        <v>0</v>
      </c>
      <c r="U72" s="27">
        <f>IFERROR((VLOOKUP($BP$1&amp;D13,Teams!D:M,5,0)+AO72-AG72),0)</f>
        <v>0</v>
      </c>
      <c r="V72" s="27">
        <f>IFERROR((VLOOKUP($BP$1&amp;D13,Teams!D:M,6,0)+AP72+AH72),0)</f>
        <v>0</v>
      </c>
      <c r="W72" s="28"/>
      <c r="X72" s="28">
        <f>IFERROR((VLOOKUP($BP$1&amp;D13,Teams!D:M,2,0)),0)</f>
        <v>0</v>
      </c>
      <c r="Y72" s="28">
        <f>IFERROR((VLOOKUP($BP$1&amp;D13,Teams!D:M,3,0)),0)</f>
        <v>0</v>
      </c>
      <c r="Z72" s="28">
        <f>IFERROR((VLOOKUP($BP$1&amp;D13,Teams!D:M,4,0)),0)</f>
        <v>0</v>
      </c>
      <c r="AA72" s="28">
        <f>IFERROR((VLOOKUP($BP$1&amp;D13,Teams!D:M,5,0)),0)</f>
        <v>0</v>
      </c>
      <c r="AB72" s="28">
        <f>IFERROR((VLOOKUP($BP$1&amp;D13,Teams!D:M,6,0)),0)</f>
        <v>0</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0</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50"/>
      <c r="CG72" s="246"/>
      <c r="CH72" s="249" t="b">
        <f t="shared" si="115"/>
        <v>0</v>
      </c>
      <c r="CI72" s="249" t="b">
        <f t="shared" si="116"/>
        <v>0</v>
      </c>
      <c r="CJ72" s="67" t="b">
        <f t="shared" si="117"/>
        <v>0</v>
      </c>
      <c r="CK72" s="67" t="b">
        <f t="shared" si="118"/>
        <v>0</v>
      </c>
      <c r="CL72" s="67" t="b">
        <f t="shared" si="119"/>
        <v>0</v>
      </c>
      <c r="CM72" s="67" t="b">
        <f t="shared" si="120"/>
        <v>0</v>
      </c>
      <c r="CN72" s="67" t="b">
        <f t="shared" si="121"/>
        <v>0</v>
      </c>
      <c r="CO72" s="67" t="b">
        <f t="shared" si="122"/>
        <v>0</v>
      </c>
      <c r="CP72" s="67" t="b">
        <f t="shared" si="123"/>
        <v>0</v>
      </c>
      <c r="CQ72" s="67" t="b">
        <f t="shared" si="124"/>
        <v>0</v>
      </c>
      <c r="CR72" s="67" t="b">
        <f t="shared" si="125"/>
        <v>0</v>
      </c>
      <c r="CS72" s="67" t="b">
        <f t="shared" si="126"/>
        <v>0</v>
      </c>
      <c r="CT72" s="67" t="b">
        <f t="shared" si="127"/>
        <v>0</v>
      </c>
      <c r="CU72" s="67" t="b">
        <f t="shared" si="128"/>
        <v>0</v>
      </c>
      <c r="CV72" s="67" t="b">
        <f t="shared" si="129"/>
        <v>0</v>
      </c>
      <c r="CW72" s="67" t="b">
        <f t="shared" si="130"/>
        <v>0</v>
      </c>
      <c r="CX72" s="30"/>
      <c r="CY72" s="30"/>
      <c r="CZ72" s="30"/>
      <c r="DA72" s="28"/>
      <c r="DB72" s="30"/>
      <c r="DC72" s="30"/>
    </row>
    <row r="73" spans="1:107" ht="15" hidden="1" customHeight="1" x14ac:dyDescent="0.2">
      <c r="A73" s="28"/>
      <c r="B73" s="54"/>
      <c r="C73" s="54"/>
      <c r="D73" s="54"/>
      <c r="E73" s="54"/>
      <c r="F73" s="54"/>
      <c r="G73" s="54"/>
      <c r="H73" s="28"/>
      <c r="I73" s="28"/>
      <c r="J73" s="28"/>
      <c r="K73" s="28"/>
      <c r="L73" s="28">
        <f t="shared" si="131"/>
        <v>0</v>
      </c>
      <c r="M73" s="28">
        <f t="shared" si="132"/>
        <v>0</v>
      </c>
      <c r="N73" s="28">
        <f t="shared" ref="N73:O73" si="166">IF(T73=0,0,(IF(T73&gt;6,6,(IF(T73&lt;1,1,T73)))))</f>
        <v>0</v>
      </c>
      <c r="O73" s="28">
        <f t="shared" si="166"/>
        <v>0</v>
      </c>
      <c r="P73" s="28">
        <f t="shared" si="134"/>
        <v>0</v>
      </c>
      <c r="Q73" s="28"/>
      <c r="R73" s="27">
        <f>IFERROR((VLOOKUP($BP$1&amp;D14,Teams!D:M,2,0)+AL73+AD73),0)</f>
        <v>0</v>
      </c>
      <c r="S73" s="27">
        <f>IFERROR((VLOOKUP($BP$1&amp;D14,Teams!D:M,3,0)+AM73+AE73),0)</f>
        <v>0</v>
      </c>
      <c r="T73" s="27">
        <f>IFERROR((VLOOKUP($BP$1&amp;D14,Teams!D:M,4,0)+AN73-AF73),0)</f>
        <v>0</v>
      </c>
      <c r="U73" s="27">
        <f>IFERROR((VLOOKUP($BP$1&amp;D14,Teams!D:M,5,0)+AO73-AG73),0)</f>
        <v>0</v>
      </c>
      <c r="V73" s="27">
        <f>IFERROR((VLOOKUP($BP$1&amp;D14,Teams!D:M,6,0)+AP73+AH73),0)</f>
        <v>0</v>
      </c>
      <c r="W73" s="28"/>
      <c r="X73" s="28">
        <f>IFERROR((VLOOKUP($BP$1&amp;D14,Teams!D:M,2,0)),0)</f>
        <v>0</v>
      </c>
      <c r="Y73" s="28">
        <f>IFERROR((VLOOKUP($BP$1&amp;D14,Teams!D:M,3,0)),0)</f>
        <v>0</v>
      </c>
      <c r="Z73" s="28">
        <f>IFERROR((VLOOKUP($BP$1&amp;D14,Teams!D:M,4,0)),0)</f>
        <v>0</v>
      </c>
      <c r="AA73" s="28">
        <f>IFERROR((VLOOKUP($BP$1&amp;D14,Teams!D:M,5,0)),0)</f>
        <v>0</v>
      </c>
      <c r="AB73" s="28">
        <f>IFERROR((VLOOKUP($BP$1&amp;D14,Teams!D:M,6,0)),0)</f>
        <v>0</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0</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50"/>
      <c r="CG73" s="246"/>
      <c r="CH73" s="249" t="b">
        <f t="shared" si="115"/>
        <v>0</v>
      </c>
      <c r="CI73" s="249" t="b">
        <f t="shared" si="116"/>
        <v>0</v>
      </c>
      <c r="CJ73" s="67" t="b">
        <f t="shared" si="117"/>
        <v>0</v>
      </c>
      <c r="CK73" s="67" t="b">
        <f t="shared" si="118"/>
        <v>0</v>
      </c>
      <c r="CL73" s="67" t="b">
        <f t="shared" si="119"/>
        <v>0</v>
      </c>
      <c r="CM73" s="67" t="b">
        <f t="shared" si="120"/>
        <v>0</v>
      </c>
      <c r="CN73" s="67" t="b">
        <f t="shared" si="121"/>
        <v>0</v>
      </c>
      <c r="CO73" s="67" t="b">
        <f t="shared" si="122"/>
        <v>0</v>
      </c>
      <c r="CP73" s="67" t="b">
        <f t="shared" si="123"/>
        <v>0</v>
      </c>
      <c r="CQ73" s="67" t="b">
        <f t="shared" si="124"/>
        <v>0</v>
      </c>
      <c r="CR73" s="67" t="b">
        <f t="shared" si="125"/>
        <v>0</v>
      </c>
      <c r="CS73" s="67" t="b">
        <f t="shared" si="126"/>
        <v>0</v>
      </c>
      <c r="CT73" s="67" t="b">
        <f t="shared" si="127"/>
        <v>0</v>
      </c>
      <c r="CU73" s="67" t="b">
        <f t="shared" si="128"/>
        <v>0</v>
      </c>
      <c r="CV73" s="67" t="b">
        <f t="shared" si="129"/>
        <v>0</v>
      </c>
      <c r="CW73" s="67" t="b">
        <f t="shared" si="130"/>
        <v>0</v>
      </c>
      <c r="CX73" s="30"/>
      <c r="CY73" s="30"/>
      <c r="CZ73" s="30"/>
      <c r="DA73" s="28"/>
      <c r="DB73" s="30"/>
      <c r="DC73" s="30"/>
    </row>
    <row r="74" spans="1:107" ht="15" hidden="1" customHeight="1" x14ac:dyDescent="0.2">
      <c r="A74" s="28"/>
      <c r="B74" s="28"/>
      <c r="C74" s="300"/>
      <c r="D74" s="28"/>
      <c r="E74" s="28"/>
      <c r="F74" s="28"/>
      <c r="G74" s="28"/>
      <c r="H74" s="28"/>
      <c r="I74" s="28"/>
      <c r="J74" s="28"/>
      <c r="K74" s="28"/>
      <c r="L74" s="28">
        <f t="shared" si="131"/>
        <v>0</v>
      </c>
      <c r="M74" s="28">
        <f t="shared" si="132"/>
        <v>0</v>
      </c>
      <c r="N74" s="28">
        <f t="shared" ref="N74:O74" si="168">IF(T74=0,0,(IF(T74&gt;6,6,(IF(T74&lt;1,1,T74)))))</f>
        <v>0</v>
      </c>
      <c r="O74" s="28">
        <f t="shared" si="168"/>
        <v>0</v>
      </c>
      <c r="P74" s="28">
        <f t="shared" si="134"/>
        <v>0</v>
      </c>
      <c r="Q74" s="28"/>
      <c r="R74" s="27">
        <f>IFERROR((VLOOKUP($BP$1&amp;D15,Teams!D:M,2,0)+AL74+AD74),0)</f>
        <v>0</v>
      </c>
      <c r="S74" s="27">
        <f>IFERROR((VLOOKUP($BP$1&amp;D15,Teams!D:M,3,0)+AM74+AE74),0)</f>
        <v>0</v>
      </c>
      <c r="T74" s="27">
        <f>IFERROR((VLOOKUP($BP$1&amp;D15,Teams!D:M,4,0)+AN74-AF74),0)</f>
        <v>0</v>
      </c>
      <c r="U74" s="27">
        <f>IFERROR((VLOOKUP($BP$1&amp;D15,Teams!D:M,5,0)+AO74-AG74),0)</f>
        <v>0</v>
      </c>
      <c r="V74" s="27">
        <f>IFERROR((VLOOKUP($BP$1&amp;D15,Teams!D:M,6,0)+AP74+AH74),0)</f>
        <v>0</v>
      </c>
      <c r="W74" s="28"/>
      <c r="X74" s="28">
        <f>IFERROR((VLOOKUP($BP$1&amp;D15,Teams!D:M,2,0)),0)</f>
        <v>0</v>
      </c>
      <c r="Y74" s="28">
        <f>IFERROR((VLOOKUP($BP$1&amp;D15,Teams!D:M,3,0)),0)</f>
        <v>0</v>
      </c>
      <c r="Z74" s="28">
        <f>IFERROR((VLOOKUP($BP$1&amp;D15,Teams!D:M,4,0)),0)</f>
        <v>0</v>
      </c>
      <c r="AA74" s="28">
        <f>IFERROR((VLOOKUP($BP$1&amp;D15,Teams!D:M,5,0)),0)</f>
        <v>0</v>
      </c>
      <c r="AB74" s="28">
        <f>IFERROR((VLOOKUP($BP$1&amp;D15,Teams!D:M,6,0)),0)</f>
        <v>0</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0</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0</v>
      </c>
      <c r="BC74" s="28"/>
      <c r="BD74" s="28"/>
      <c r="BE74" s="75"/>
      <c r="BF74" s="75"/>
      <c r="BG74" s="30"/>
      <c r="BH74" s="30"/>
      <c r="BI74" s="74"/>
      <c r="BJ74" s="75"/>
      <c r="BK74" s="30"/>
      <c r="BL74" s="28"/>
      <c r="BM74" s="30"/>
      <c r="BN74" s="28"/>
      <c r="BO74" s="28"/>
      <c r="BP74" s="28"/>
      <c r="BQ74" s="30"/>
      <c r="BR74" s="306"/>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50"/>
      <c r="CG74" s="246"/>
      <c r="CH74" s="249" t="b">
        <f t="shared" si="115"/>
        <v>0</v>
      </c>
      <c r="CI74" s="249" t="b">
        <f t="shared" si="116"/>
        <v>0</v>
      </c>
      <c r="CJ74" s="67" t="b">
        <f t="shared" si="117"/>
        <v>0</v>
      </c>
      <c r="CK74" s="67" t="b">
        <f t="shared" si="118"/>
        <v>0</v>
      </c>
      <c r="CL74" s="67" t="b">
        <f t="shared" si="119"/>
        <v>0</v>
      </c>
      <c r="CM74" s="67" t="b">
        <f t="shared" si="120"/>
        <v>0</v>
      </c>
      <c r="CN74" s="67" t="b">
        <f t="shared" si="121"/>
        <v>0</v>
      </c>
      <c r="CO74" s="67" t="b">
        <f t="shared" si="122"/>
        <v>0</v>
      </c>
      <c r="CP74" s="67" t="b">
        <f t="shared" si="123"/>
        <v>0</v>
      </c>
      <c r="CQ74" s="67" t="b">
        <f t="shared" si="124"/>
        <v>0</v>
      </c>
      <c r="CR74" s="67" t="b">
        <f t="shared" si="125"/>
        <v>0</v>
      </c>
      <c r="CS74" s="67" t="b">
        <f t="shared" si="126"/>
        <v>0</v>
      </c>
      <c r="CT74" s="67" t="b">
        <f t="shared" si="127"/>
        <v>0</v>
      </c>
      <c r="CU74" s="67" t="b">
        <f t="shared" si="128"/>
        <v>0</v>
      </c>
      <c r="CV74" s="67" t="b">
        <f t="shared" si="129"/>
        <v>0</v>
      </c>
      <c r="CW74" s="67" t="b">
        <f t="shared" si="130"/>
        <v>0</v>
      </c>
      <c r="CX74" s="30"/>
      <c r="CY74" s="30"/>
      <c r="CZ74" s="30"/>
      <c r="DA74" s="28"/>
      <c r="DB74" s="30"/>
      <c r="DC74" s="30"/>
    </row>
    <row r="75" spans="1:107" ht="15" hidden="1" customHeight="1" x14ac:dyDescent="0.2">
      <c r="A75" s="28"/>
      <c r="B75" s="28"/>
      <c r="C75" s="300"/>
      <c r="D75" s="28"/>
      <c r="E75" s="28"/>
      <c r="F75" s="28"/>
      <c r="G75" s="28"/>
      <c r="H75" s="28"/>
      <c r="I75" s="28"/>
      <c r="J75" s="28"/>
      <c r="K75" s="28"/>
      <c r="L75" s="28">
        <f t="shared" si="131"/>
        <v>0</v>
      </c>
      <c r="M75" s="28">
        <f t="shared" si="132"/>
        <v>0</v>
      </c>
      <c r="N75" s="28">
        <f t="shared" ref="N75:O75" si="170">IF(T75=0,0,(IF(T75&gt;6,6,(IF(T75&lt;1,1,T75)))))</f>
        <v>0</v>
      </c>
      <c r="O75" s="28">
        <f t="shared" si="170"/>
        <v>0</v>
      </c>
      <c r="P75" s="28">
        <f t="shared" si="134"/>
        <v>0</v>
      </c>
      <c r="Q75" s="28"/>
      <c r="R75" s="27">
        <f>IFERROR((VLOOKUP($BP$1&amp;D16,Teams!D:M,2,0)+AL75+AD75),0)</f>
        <v>0</v>
      </c>
      <c r="S75" s="27">
        <f>IFERROR((VLOOKUP($BP$1&amp;D16,Teams!D:M,3,0)+AM75+AE75),0)</f>
        <v>0</v>
      </c>
      <c r="T75" s="27">
        <f>IFERROR((VLOOKUP($BP$1&amp;D16,Teams!D:M,4,0)+AN75-AF75),0)</f>
        <v>0</v>
      </c>
      <c r="U75" s="27">
        <f>IFERROR((VLOOKUP($BP$1&amp;D16,Teams!D:M,5,0)+AO75-AG75),0)</f>
        <v>0</v>
      </c>
      <c r="V75" s="27">
        <f>IFERROR((VLOOKUP($BP$1&amp;D16,Teams!D:M,6,0)+AP75+AH75),0)</f>
        <v>0</v>
      </c>
      <c r="W75" s="28"/>
      <c r="X75" s="28">
        <f>IFERROR((VLOOKUP($BP$1&amp;D16,Teams!D:M,2,0)),0)</f>
        <v>0</v>
      </c>
      <c r="Y75" s="28">
        <f>IFERROR((VLOOKUP($BP$1&amp;D16,Teams!D:M,3,0)),0)</f>
        <v>0</v>
      </c>
      <c r="Z75" s="28">
        <f>IFERROR((VLOOKUP($BP$1&amp;D16,Teams!D:M,4,0)),0)</f>
        <v>0</v>
      </c>
      <c r="AA75" s="28">
        <f>IFERROR((VLOOKUP($BP$1&amp;D16,Teams!D:M,5,0)),0)</f>
        <v>0</v>
      </c>
      <c r="AB75" s="28">
        <f>IFERROR((VLOOKUP($BP$1&amp;D16,Teams!D:M,6,0)),0)</f>
        <v>0</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50"/>
      <c r="CG75" s="246"/>
      <c r="CH75" s="249" t="b">
        <f t="shared" si="115"/>
        <v>0</v>
      </c>
      <c r="CI75" s="249" t="b">
        <f t="shared" si="116"/>
        <v>0</v>
      </c>
      <c r="CJ75" s="67" t="b">
        <f t="shared" si="117"/>
        <v>0</v>
      </c>
      <c r="CK75" s="67" t="b">
        <f t="shared" si="118"/>
        <v>0</v>
      </c>
      <c r="CL75" s="67" t="b">
        <f t="shared" si="119"/>
        <v>0</v>
      </c>
      <c r="CM75" s="67" t="b">
        <f t="shared" si="120"/>
        <v>0</v>
      </c>
      <c r="CN75" s="67" t="b">
        <f t="shared" si="121"/>
        <v>0</v>
      </c>
      <c r="CO75" s="67" t="b">
        <f t="shared" si="122"/>
        <v>0</v>
      </c>
      <c r="CP75" s="67" t="b">
        <f t="shared" si="123"/>
        <v>0</v>
      </c>
      <c r="CQ75" s="67" t="b">
        <f t="shared" si="124"/>
        <v>0</v>
      </c>
      <c r="CR75" s="67" t="b">
        <f t="shared" si="125"/>
        <v>0</v>
      </c>
      <c r="CS75" s="67" t="b">
        <f t="shared" si="126"/>
        <v>0</v>
      </c>
      <c r="CT75" s="67" t="b">
        <f t="shared" si="127"/>
        <v>0</v>
      </c>
      <c r="CU75" s="67" t="b">
        <f t="shared" si="128"/>
        <v>0</v>
      </c>
      <c r="CV75" s="67" t="b">
        <f t="shared" si="129"/>
        <v>0</v>
      </c>
      <c r="CW75" s="67" t="b">
        <f t="shared" si="130"/>
        <v>0</v>
      </c>
      <c r="CX75" s="30"/>
      <c r="CY75" s="30"/>
      <c r="CZ75" s="30"/>
      <c r="DA75" s="28"/>
      <c r="DB75" s="30"/>
      <c r="DC75" s="30"/>
    </row>
    <row r="76" spans="1:107" ht="15" hidden="1" customHeight="1" x14ac:dyDescent="0.2">
      <c r="A76" s="28"/>
      <c r="B76" s="28"/>
      <c r="C76" s="300"/>
      <c r="D76" s="28"/>
      <c r="E76" s="28"/>
      <c r="F76" s="28"/>
      <c r="G76" s="28"/>
      <c r="H76" s="28"/>
      <c r="I76" s="28"/>
      <c r="J76" s="28"/>
      <c r="K76" s="28"/>
      <c r="L76" s="28">
        <f t="shared" si="131"/>
        <v>0</v>
      </c>
      <c r="M76" s="28">
        <f t="shared" si="132"/>
        <v>0</v>
      </c>
      <c r="N76" s="28">
        <f t="shared" ref="N76:O76" si="172">IF(T76=0,0,(IF(T76&gt;6,6,(IF(T76&lt;1,1,T76)))))</f>
        <v>0</v>
      </c>
      <c r="O76" s="28">
        <f t="shared" si="172"/>
        <v>0</v>
      </c>
      <c r="P76" s="28">
        <f t="shared" si="134"/>
        <v>0</v>
      </c>
      <c r="Q76" s="28"/>
      <c r="R76" s="27">
        <f>IFERROR((VLOOKUP($BP$1&amp;D17,Teams!D:M,2,0)+AL76+AD76),0)</f>
        <v>0</v>
      </c>
      <c r="S76" s="27">
        <f>IFERROR((VLOOKUP($BP$1&amp;D17,Teams!D:M,3,0)+AM76+AE76),0)</f>
        <v>0</v>
      </c>
      <c r="T76" s="27">
        <f>IFERROR((VLOOKUP($BP$1&amp;D17,Teams!D:M,4,0)+AN76-AF76),0)</f>
        <v>0</v>
      </c>
      <c r="U76" s="27">
        <f>IFERROR((VLOOKUP($BP$1&amp;D17,Teams!D:M,5,0)+AO76-AG76),0)</f>
        <v>0</v>
      </c>
      <c r="V76" s="27">
        <f>IFERROR((VLOOKUP($BP$1&amp;D17,Teams!D:M,6,0)+AP76+AH76),0)</f>
        <v>0</v>
      </c>
      <c r="W76" s="28"/>
      <c r="X76" s="28">
        <f>IFERROR((VLOOKUP($BP$1&amp;D17,Teams!D:M,2,0)),0)</f>
        <v>0</v>
      </c>
      <c r="Y76" s="28">
        <f>IFERROR((VLOOKUP($BP$1&amp;D17,Teams!D:M,3,0)),0)</f>
        <v>0</v>
      </c>
      <c r="Z76" s="28">
        <f>IFERROR((VLOOKUP($BP$1&amp;D17,Teams!D:M,4,0)),0)</f>
        <v>0</v>
      </c>
      <c r="AA76" s="28">
        <f>IFERROR((VLOOKUP($BP$1&amp;D17,Teams!D:M,5,0)),0)</f>
        <v>0</v>
      </c>
      <c r="AB76" s="28">
        <f>IFERROR((VLOOKUP($BP$1&amp;D17,Teams!D:M,6,0)),0)</f>
        <v>0</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6"/>
      <c r="CG76" s="246"/>
      <c r="CH76" s="249" t="b">
        <f t="shared" si="115"/>
        <v>0</v>
      </c>
      <c r="CI76" s="249" t="b">
        <f t="shared" si="116"/>
        <v>0</v>
      </c>
      <c r="CJ76" s="67" t="b">
        <f t="shared" si="117"/>
        <v>0</v>
      </c>
      <c r="CK76" s="67" t="b">
        <f t="shared" si="118"/>
        <v>0</v>
      </c>
      <c r="CL76" s="67" t="b">
        <f t="shared" si="119"/>
        <v>0</v>
      </c>
      <c r="CM76" s="67" t="b">
        <f t="shared" si="120"/>
        <v>0</v>
      </c>
      <c r="CN76" s="67" t="b">
        <f t="shared" si="121"/>
        <v>0</v>
      </c>
      <c r="CO76" s="67" t="b">
        <f t="shared" si="122"/>
        <v>0</v>
      </c>
      <c r="CP76" s="67" t="b">
        <f t="shared" si="123"/>
        <v>0</v>
      </c>
      <c r="CQ76" s="67" t="b">
        <f t="shared" si="124"/>
        <v>0</v>
      </c>
      <c r="CR76" s="67" t="b">
        <f t="shared" si="125"/>
        <v>0</v>
      </c>
      <c r="CS76" s="67" t="b">
        <f t="shared" si="126"/>
        <v>0</v>
      </c>
      <c r="CT76" s="67" t="b">
        <f t="shared" si="127"/>
        <v>0</v>
      </c>
      <c r="CU76" s="67" t="b">
        <f t="shared" si="128"/>
        <v>0</v>
      </c>
      <c r="CV76" s="67" t="b">
        <f t="shared" si="129"/>
        <v>0</v>
      </c>
      <c r="CW76" s="67" t="b">
        <f t="shared" si="130"/>
        <v>0</v>
      </c>
      <c r="CX76" s="30"/>
      <c r="CY76" s="30"/>
      <c r="CZ76" s="30"/>
      <c r="DA76" s="28"/>
      <c r="DB76" s="30"/>
      <c r="DC76" s="30"/>
    </row>
    <row r="77" spans="1:107" ht="15" hidden="1" customHeight="1" x14ac:dyDescent="0.2">
      <c r="A77" s="28"/>
      <c r="B77" s="28"/>
      <c r="C77" s="300"/>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50"/>
      <c r="CG77" s="246"/>
      <c r="CH77" s="249" t="b">
        <f t="shared" si="115"/>
        <v>0</v>
      </c>
      <c r="CI77" s="249" t="b">
        <f t="shared" si="116"/>
        <v>0</v>
      </c>
      <c r="CJ77" s="67" t="b">
        <f t="shared" si="117"/>
        <v>0</v>
      </c>
      <c r="CK77" s="67" t="b">
        <f t="shared" si="118"/>
        <v>0</v>
      </c>
      <c r="CL77" s="67" t="b">
        <f t="shared" si="119"/>
        <v>0</v>
      </c>
      <c r="CM77" s="67" t="b">
        <f t="shared" si="120"/>
        <v>0</v>
      </c>
      <c r="CN77" s="67" t="b">
        <f t="shared" si="121"/>
        <v>0</v>
      </c>
      <c r="CO77" s="67" t="b">
        <f t="shared" si="122"/>
        <v>0</v>
      </c>
      <c r="CP77" s="67" t="b">
        <f t="shared" si="123"/>
        <v>0</v>
      </c>
      <c r="CQ77" s="67" t="b">
        <f t="shared" si="124"/>
        <v>0</v>
      </c>
      <c r="CR77" s="67" t="b">
        <f t="shared" si="125"/>
        <v>0</v>
      </c>
      <c r="CS77" s="67" t="b">
        <f t="shared" si="126"/>
        <v>0</v>
      </c>
      <c r="CT77" s="67" t="b">
        <f t="shared" si="127"/>
        <v>0</v>
      </c>
      <c r="CU77" s="67" t="b">
        <f t="shared" si="128"/>
        <v>0</v>
      </c>
      <c r="CV77" s="67" t="b">
        <f t="shared" si="129"/>
        <v>0</v>
      </c>
      <c r="CW77" s="67" t="b">
        <f t="shared" si="130"/>
        <v>0</v>
      </c>
      <c r="CX77" s="30"/>
      <c r="CY77" s="30"/>
      <c r="CZ77" s="30"/>
      <c r="DA77" s="28"/>
      <c r="DB77" s="30"/>
      <c r="DC77" s="30"/>
    </row>
    <row r="78" spans="1:107" ht="15" hidden="1" customHeight="1" x14ac:dyDescent="0.2">
      <c r="A78" s="28"/>
      <c r="B78" s="28"/>
      <c r="C78" s="300"/>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50"/>
      <c r="CG78" s="246"/>
      <c r="CH78" s="249" t="b">
        <f t="shared" si="115"/>
        <v>0</v>
      </c>
      <c r="CI78" s="249" t="b">
        <f t="shared" si="116"/>
        <v>0</v>
      </c>
      <c r="CJ78" s="67" t="b">
        <f t="shared" si="117"/>
        <v>0</v>
      </c>
      <c r="CK78" s="67" t="b">
        <f t="shared" si="118"/>
        <v>0</v>
      </c>
      <c r="CL78" s="67" t="b">
        <f t="shared" si="119"/>
        <v>0</v>
      </c>
      <c r="CM78" s="67" t="b">
        <f t="shared" si="120"/>
        <v>0</v>
      </c>
      <c r="CN78" s="67" t="b">
        <f t="shared" si="121"/>
        <v>0</v>
      </c>
      <c r="CO78" s="67" t="b">
        <f t="shared" si="122"/>
        <v>0</v>
      </c>
      <c r="CP78" s="67" t="b">
        <f t="shared" si="123"/>
        <v>0</v>
      </c>
      <c r="CQ78" s="67" t="b">
        <f t="shared" si="124"/>
        <v>0</v>
      </c>
      <c r="CR78" s="67" t="b">
        <f t="shared" si="125"/>
        <v>0</v>
      </c>
      <c r="CS78" s="67" t="b">
        <f t="shared" si="126"/>
        <v>0</v>
      </c>
      <c r="CT78" s="67" t="b">
        <f t="shared" si="127"/>
        <v>0</v>
      </c>
      <c r="CU78" s="67" t="b">
        <f t="shared" si="128"/>
        <v>0</v>
      </c>
      <c r="CV78" s="67" t="b">
        <f t="shared" si="129"/>
        <v>0</v>
      </c>
      <c r="CW78" s="67" t="b">
        <f t="shared" si="130"/>
        <v>0</v>
      </c>
      <c r="CX78" s="30"/>
      <c r="CY78" s="30"/>
      <c r="CZ78" s="30"/>
      <c r="DA78" s="28"/>
      <c r="DB78" s="30"/>
      <c r="DC78" s="30"/>
    </row>
    <row r="79" spans="1:107" ht="15" hidden="1" customHeight="1" x14ac:dyDescent="0.2">
      <c r="A79" s="28"/>
      <c r="B79" s="28"/>
      <c r="C79" s="300"/>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50"/>
      <c r="CG79" s="246"/>
      <c r="CH79" s="249" t="b">
        <f t="shared" si="115"/>
        <v>0</v>
      </c>
      <c r="CI79" s="249" t="b">
        <f t="shared" si="116"/>
        <v>0</v>
      </c>
      <c r="CJ79" s="67" t="b">
        <f t="shared" si="117"/>
        <v>0</v>
      </c>
      <c r="CK79" s="67" t="b">
        <f t="shared" si="118"/>
        <v>0</v>
      </c>
      <c r="CL79" s="67" t="b">
        <f t="shared" si="119"/>
        <v>0</v>
      </c>
      <c r="CM79" s="67" t="b">
        <f t="shared" si="120"/>
        <v>0</v>
      </c>
      <c r="CN79" s="67" t="b">
        <f t="shared" si="121"/>
        <v>0</v>
      </c>
      <c r="CO79" s="67" t="b">
        <f t="shared" si="122"/>
        <v>0</v>
      </c>
      <c r="CP79" s="67" t="b">
        <f t="shared" si="123"/>
        <v>0</v>
      </c>
      <c r="CQ79" s="67" t="b">
        <f t="shared" si="124"/>
        <v>0</v>
      </c>
      <c r="CR79" s="67" t="b">
        <f t="shared" si="125"/>
        <v>0</v>
      </c>
      <c r="CS79" s="67" t="b">
        <f t="shared" si="126"/>
        <v>0</v>
      </c>
      <c r="CT79" s="67" t="b">
        <f t="shared" si="127"/>
        <v>0</v>
      </c>
      <c r="CU79" s="67" t="b">
        <f t="shared" si="128"/>
        <v>0</v>
      </c>
      <c r="CV79" s="67" t="b">
        <f t="shared" si="129"/>
        <v>0</v>
      </c>
      <c r="CW79" s="67" t="b">
        <f t="shared" si="130"/>
        <v>0</v>
      </c>
      <c r="CX79" s="30"/>
      <c r="CY79" s="30"/>
      <c r="CZ79" s="30"/>
      <c r="DA79" s="28"/>
      <c r="DB79" s="30"/>
      <c r="DC79" s="30"/>
    </row>
    <row r="80" spans="1:107" ht="15" hidden="1" customHeight="1" x14ac:dyDescent="0.2">
      <c r="A80" s="28"/>
      <c r="B80" s="28"/>
      <c r="C80" s="300"/>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50"/>
      <c r="CG80" s="246"/>
      <c r="CH80" s="249" t="b">
        <f t="shared" si="115"/>
        <v>0</v>
      </c>
      <c r="CI80" s="249" t="b">
        <f t="shared" si="116"/>
        <v>0</v>
      </c>
      <c r="CJ80" s="67" t="b">
        <f t="shared" si="117"/>
        <v>0</v>
      </c>
      <c r="CK80" s="67" t="b">
        <f t="shared" si="118"/>
        <v>0</v>
      </c>
      <c r="CL80" s="67" t="b">
        <f t="shared" si="119"/>
        <v>0</v>
      </c>
      <c r="CM80" s="67" t="b">
        <f t="shared" si="120"/>
        <v>0</v>
      </c>
      <c r="CN80" s="67" t="b">
        <f t="shared" si="121"/>
        <v>0</v>
      </c>
      <c r="CO80" s="67" t="b">
        <f t="shared" si="122"/>
        <v>0</v>
      </c>
      <c r="CP80" s="67" t="b">
        <f t="shared" si="123"/>
        <v>0</v>
      </c>
      <c r="CQ80" s="67" t="b">
        <f t="shared" si="124"/>
        <v>0</v>
      </c>
      <c r="CR80" s="67" t="b">
        <f t="shared" si="125"/>
        <v>0</v>
      </c>
      <c r="CS80" s="67" t="b">
        <f t="shared" si="126"/>
        <v>0</v>
      </c>
      <c r="CT80" s="67" t="b">
        <f t="shared" si="127"/>
        <v>0</v>
      </c>
      <c r="CU80" s="67" t="b">
        <f t="shared" si="128"/>
        <v>0</v>
      </c>
      <c r="CV80" s="67" t="b">
        <f t="shared" si="129"/>
        <v>0</v>
      </c>
      <c r="CW80" s="67" t="b">
        <f t="shared" si="130"/>
        <v>0</v>
      </c>
      <c r="CX80" s="30"/>
      <c r="CY80" s="30"/>
      <c r="CZ80" s="30"/>
      <c r="DA80" s="28"/>
      <c r="DB80" s="30"/>
      <c r="DC80" s="30"/>
    </row>
    <row r="81" spans="1:107" ht="15" hidden="1" customHeight="1" x14ac:dyDescent="0.2">
      <c r="A81" s="28"/>
      <c r="B81" s="28"/>
      <c r="C81" s="300"/>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50"/>
      <c r="CG81" s="246"/>
      <c r="CH81" s="249" t="b">
        <f t="shared" si="115"/>
        <v>0</v>
      </c>
      <c r="CI81" s="249" t="b">
        <f t="shared" si="116"/>
        <v>0</v>
      </c>
      <c r="CJ81" s="67" t="b">
        <f t="shared" si="117"/>
        <v>0</v>
      </c>
      <c r="CK81" s="67" t="b">
        <f t="shared" si="118"/>
        <v>0</v>
      </c>
      <c r="CL81" s="67" t="b">
        <f t="shared" si="119"/>
        <v>0</v>
      </c>
      <c r="CM81" s="67" t="b">
        <f t="shared" si="120"/>
        <v>0</v>
      </c>
      <c r="CN81" s="67" t="b">
        <f t="shared" si="121"/>
        <v>0</v>
      </c>
      <c r="CO81" s="67" t="b">
        <f t="shared" si="122"/>
        <v>0</v>
      </c>
      <c r="CP81" s="67" t="b">
        <f t="shared" si="123"/>
        <v>0</v>
      </c>
      <c r="CQ81" s="67" t="b">
        <f t="shared" si="124"/>
        <v>0</v>
      </c>
      <c r="CR81" s="67" t="b">
        <f t="shared" si="125"/>
        <v>0</v>
      </c>
      <c r="CS81" s="67" t="b">
        <f t="shared" si="126"/>
        <v>0</v>
      </c>
      <c r="CT81" s="67" t="b">
        <f t="shared" si="127"/>
        <v>0</v>
      </c>
      <c r="CU81" s="67" t="b">
        <f t="shared" si="128"/>
        <v>0</v>
      </c>
      <c r="CV81" s="67" t="b">
        <f t="shared" si="129"/>
        <v>0</v>
      </c>
      <c r="CW81" s="67" t="b">
        <f t="shared" si="130"/>
        <v>0</v>
      </c>
      <c r="CX81" s="30"/>
      <c r="CY81" s="30"/>
      <c r="CZ81" s="30"/>
      <c r="DA81" s="28"/>
      <c r="DB81" s="30"/>
      <c r="DC81" s="30"/>
    </row>
    <row r="82" spans="1:107" ht="15" hidden="1" customHeight="1" x14ac:dyDescent="0.2">
      <c r="A82" s="28"/>
      <c r="B82" s="28"/>
      <c r="C82" s="300"/>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50"/>
      <c r="CG82" s="246"/>
      <c r="CH82" s="249" t="b">
        <f t="shared" si="115"/>
        <v>0</v>
      </c>
      <c r="CI82" s="249" t="b">
        <f t="shared" si="116"/>
        <v>0</v>
      </c>
      <c r="CJ82" s="67" t="b">
        <f t="shared" si="117"/>
        <v>0</v>
      </c>
      <c r="CK82" s="67" t="b">
        <f t="shared" si="118"/>
        <v>0</v>
      </c>
      <c r="CL82" s="67" t="b">
        <f t="shared" si="119"/>
        <v>0</v>
      </c>
      <c r="CM82" s="67" t="b">
        <f t="shared" si="120"/>
        <v>0</v>
      </c>
      <c r="CN82" s="67" t="b">
        <f t="shared" si="121"/>
        <v>0</v>
      </c>
      <c r="CO82" s="67" t="b">
        <f t="shared" si="122"/>
        <v>0</v>
      </c>
      <c r="CP82" s="67" t="b">
        <f t="shared" si="123"/>
        <v>0</v>
      </c>
      <c r="CQ82" s="67" t="b">
        <f t="shared" si="124"/>
        <v>0</v>
      </c>
      <c r="CR82" s="67" t="b">
        <f t="shared" si="125"/>
        <v>0</v>
      </c>
      <c r="CS82" s="67" t="b">
        <f t="shared" si="126"/>
        <v>0</v>
      </c>
      <c r="CT82" s="67" t="b">
        <f t="shared" si="127"/>
        <v>0</v>
      </c>
      <c r="CU82" s="67" t="b">
        <f t="shared" si="128"/>
        <v>0</v>
      </c>
      <c r="CV82" s="67" t="b">
        <f t="shared" si="129"/>
        <v>0</v>
      </c>
      <c r="CW82" s="67" t="b">
        <f t="shared" si="130"/>
        <v>0</v>
      </c>
      <c r="CX82" s="30"/>
      <c r="CY82" s="30"/>
      <c r="CZ82" s="30"/>
      <c r="DA82" s="28"/>
      <c r="DB82" s="30"/>
      <c r="DC82" s="30"/>
    </row>
    <row r="83" spans="1:107" ht="15" hidden="1" customHeight="1" x14ac:dyDescent="0.2">
      <c r="A83" s="28"/>
      <c r="B83" s="28"/>
      <c r="C83" s="300"/>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50"/>
      <c r="CG83" s="246"/>
      <c r="CH83" s="249" t="b">
        <f t="shared" si="115"/>
        <v>0</v>
      </c>
      <c r="CI83" s="249" t="b">
        <f t="shared" si="116"/>
        <v>0</v>
      </c>
      <c r="CJ83" s="67" t="b">
        <f t="shared" si="117"/>
        <v>0</v>
      </c>
      <c r="CK83" s="67" t="b">
        <f t="shared" si="118"/>
        <v>0</v>
      </c>
      <c r="CL83" s="67" t="b">
        <f t="shared" si="119"/>
        <v>0</v>
      </c>
      <c r="CM83" s="67" t="b">
        <f t="shared" si="120"/>
        <v>0</v>
      </c>
      <c r="CN83" s="67" t="b">
        <f t="shared" si="121"/>
        <v>0</v>
      </c>
      <c r="CO83" s="67" t="b">
        <f t="shared" si="122"/>
        <v>0</v>
      </c>
      <c r="CP83" s="67" t="b">
        <f t="shared" si="123"/>
        <v>0</v>
      </c>
      <c r="CQ83" s="67" t="b">
        <f t="shared" si="124"/>
        <v>0</v>
      </c>
      <c r="CR83" s="67" t="b">
        <f t="shared" si="125"/>
        <v>0</v>
      </c>
      <c r="CS83" s="67" t="b">
        <f t="shared" si="126"/>
        <v>0</v>
      </c>
      <c r="CT83" s="67" t="b">
        <f t="shared" si="127"/>
        <v>0</v>
      </c>
      <c r="CU83" s="67" t="b">
        <f t="shared" si="128"/>
        <v>0</v>
      </c>
      <c r="CV83" s="67" t="b">
        <f t="shared" si="129"/>
        <v>0</v>
      </c>
      <c r="CW83" s="67" t="b">
        <f t="shared" si="130"/>
        <v>0</v>
      </c>
      <c r="CX83" s="30"/>
      <c r="CY83" s="30"/>
      <c r="CZ83" s="30"/>
      <c r="DA83" s="28"/>
      <c r="DB83" s="30"/>
      <c r="DC83" s="30"/>
    </row>
    <row r="84" spans="1:107" ht="15" hidden="1" customHeight="1" x14ac:dyDescent="0.2">
      <c r="A84" s="28"/>
      <c r="B84" s="407"/>
      <c r="C84" s="407"/>
      <c r="D84" s="396"/>
      <c r="E84" s="396"/>
      <c r="F84" s="396"/>
      <c r="G84" s="396"/>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50" t="s">
        <v>245</v>
      </c>
      <c r="CG84" s="246"/>
      <c r="CH84" s="249" t="b">
        <f t="shared" si="115"/>
        <v>0</v>
      </c>
      <c r="CI84" s="249" t="b">
        <f t="shared" si="116"/>
        <v>0</v>
      </c>
      <c r="CJ84" s="67" t="b">
        <f t="shared" si="117"/>
        <v>0</v>
      </c>
      <c r="CK84" s="67" t="b">
        <f t="shared" si="118"/>
        <v>0</v>
      </c>
      <c r="CL84" s="67" t="b">
        <f t="shared" si="119"/>
        <v>0</v>
      </c>
      <c r="CM84" s="67" t="b">
        <f t="shared" si="120"/>
        <v>0</v>
      </c>
      <c r="CN84" s="67" t="b">
        <f t="shared" si="121"/>
        <v>0</v>
      </c>
      <c r="CO84" s="67" t="b">
        <f t="shared" si="122"/>
        <v>0</v>
      </c>
      <c r="CP84" s="67" t="b">
        <f t="shared" si="123"/>
        <v>0</v>
      </c>
      <c r="CQ84" s="67" t="b">
        <f t="shared" si="124"/>
        <v>0</v>
      </c>
      <c r="CR84" s="67" t="b">
        <f t="shared" si="125"/>
        <v>0</v>
      </c>
      <c r="CS84" s="67" t="b">
        <f t="shared" si="126"/>
        <v>0</v>
      </c>
      <c r="CT84" s="67" t="b">
        <f t="shared" si="127"/>
        <v>0</v>
      </c>
      <c r="CU84" s="67" t="b">
        <f t="shared" si="128"/>
        <v>0</v>
      </c>
      <c r="CV84" s="67" t="b">
        <f t="shared" si="129"/>
        <v>0</v>
      </c>
      <c r="CW84" s="67" t="b">
        <f t="shared" si="130"/>
        <v>0</v>
      </c>
      <c r="CX84" s="30"/>
      <c r="CY84" s="30"/>
      <c r="CZ84" s="30"/>
      <c r="DA84" s="28"/>
      <c r="DB84" s="30"/>
      <c r="DC84" s="30"/>
    </row>
    <row r="85" spans="1:107" ht="15" hidden="1" customHeight="1" x14ac:dyDescent="0.2">
      <c r="A85" s="28"/>
      <c r="B85" s="28"/>
      <c r="C85" s="300"/>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50"/>
      <c r="CG85" s="246"/>
      <c r="CH85" s="249" t="b">
        <f t="shared" si="115"/>
        <v>0</v>
      </c>
      <c r="CI85" s="249" t="b">
        <f t="shared" si="116"/>
        <v>0</v>
      </c>
      <c r="CJ85" s="67" t="b">
        <f t="shared" si="117"/>
        <v>0</v>
      </c>
      <c r="CK85" s="67" t="b">
        <f t="shared" si="118"/>
        <v>0</v>
      </c>
      <c r="CL85" s="67" t="b">
        <f t="shared" si="119"/>
        <v>0</v>
      </c>
      <c r="CM85" s="67" t="b">
        <f t="shared" si="120"/>
        <v>0</v>
      </c>
      <c r="CN85" s="67" t="b">
        <f t="shared" si="121"/>
        <v>0</v>
      </c>
      <c r="CO85" s="67" t="b">
        <f t="shared" si="122"/>
        <v>0</v>
      </c>
      <c r="CP85" s="67" t="b">
        <f t="shared" si="123"/>
        <v>0</v>
      </c>
      <c r="CQ85" s="67" t="b">
        <f t="shared" si="124"/>
        <v>0</v>
      </c>
      <c r="CR85" s="67" t="b">
        <f t="shared" si="125"/>
        <v>0</v>
      </c>
      <c r="CS85" s="67" t="b">
        <f t="shared" si="126"/>
        <v>0</v>
      </c>
      <c r="CT85" s="67" t="b">
        <f t="shared" si="127"/>
        <v>0</v>
      </c>
      <c r="CU85" s="67" t="b">
        <f t="shared" si="128"/>
        <v>0</v>
      </c>
      <c r="CV85" s="67" t="b">
        <f t="shared" si="129"/>
        <v>0</v>
      </c>
      <c r="CW85" s="67" t="b">
        <f t="shared" si="130"/>
        <v>0</v>
      </c>
      <c r="CX85" s="30"/>
      <c r="CY85" s="30"/>
      <c r="CZ85" s="30"/>
      <c r="DA85" s="28"/>
      <c r="DB85" s="30"/>
      <c r="DC85" s="30"/>
    </row>
    <row r="86" spans="1:107" ht="15" hidden="1" customHeight="1" x14ac:dyDescent="0.2">
      <c r="A86" s="28"/>
      <c r="B86" s="28"/>
      <c r="C86" s="300"/>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50"/>
      <c r="CG86" s="246"/>
      <c r="CH86" s="249" t="b">
        <f t="shared" si="115"/>
        <v>0</v>
      </c>
      <c r="CI86" s="249" t="b">
        <f t="shared" si="116"/>
        <v>0</v>
      </c>
      <c r="CJ86" s="67" t="b">
        <f t="shared" si="117"/>
        <v>0</v>
      </c>
      <c r="CK86" s="67" t="b">
        <f t="shared" si="118"/>
        <v>0</v>
      </c>
      <c r="CL86" s="67" t="b">
        <f t="shared" si="119"/>
        <v>0</v>
      </c>
      <c r="CM86" s="67" t="b">
        <f t="shared" si="120"/>
        <v>0</v>
      </c>
      <c r="CN86" s="67" t="b">
        <f t="shared" si="121"/>
        <v>0</v>
      </c>
      <c r="CO86" s="67" t="b">
        <f t="shared" si="122"/>
        <v>0</v>
      </c>
      <c r="CP86" s="67" t="b">
        <f t="shared" si="123"/>
        <v>0</v>
      </c>
      <c r="CQ86" s="67" t="b">
        <f t="shared" si="124"/>
        <v>0</v>
      </c>
      <c r="CR86" s="67" t="b">
        <f t="shared" si="125"/>
        <v>0</v>
      </c>
      <c r="CS86" s="67" t="b">
        <f t="shared" si="126"/>
        <v>0</v>
      </c>
      <c r="CT86" s="67" t="b">
        <f t="shared" si="127"/>
        <v>0</v>
      </c>
      <c r="CU86" s="67" t="b">
        <f t="shared" si="128"/>
        <v>0</v>
      </c>
      <c r="CV86" s="67" t="b">
        <f t="shared" si="129"/>
        <v>0</v>
      </c>
      <c r="CW86" s="67" t="b">
        <f t="shared" si="130"/>
        <v>0</v>
      </c>
      <c r="CX86" s="30"/>
      <c r="CY86" s="30"/>
      <c r="CZ86" s="30"/>
      <c r="DA86" s="28"/>
      <c r="DB86" s="30"/>
      <c r="DC86" s="30"/>
    </row>
    <row r="87" spans="1:107" ht="15" hidden="1" customHeight="1" x14ac:dyDescent="0.2">
      <c r="A87" s="28"/>
      <c r="B87" s="28"/>
      <c r="C87" s="300"/>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50"/>
      <c r="CG87" s="246"/>
      <c r="CH87" s="249" t="b">
        <f t="shared" si="115"/>
        <v>0</v>
      </c>
      <c r="CI87" s="249" t="b">
        <f t="shared" si="116"/>
        <v>0</v>
      </c>
      <c r="CJ87" s="67" t="b">
        <f t="shared" si="117"/>
        <v>0</v>
      </c>
      <c r="CK87" s="67" t="b">
        <f t="shared" si="118"/>
        <v>0</v>
      </c>
      <c r="CL87" s="67" t="b">
        <f t="shared" si="119"/>
        <v>0</v>
      </c>
      <c r="CM87" s="67" t="b">
        <f t="shared" si="120"/>
        <v>0</v>
      </c>
      <c r="CN87" s="67" t="b">
        <f t="shared" si="121"/>
        <v>0</v>
      </c>
      <c r="CO87" s="67" t="b">
        <f t="shared" si="122"/>
        <v>0</v>
      </c>
      <c r="CP87" s="67" t="b">
        <f t="shared" si="123"/>
        <v>0</v>
      </c>
      <c r="CQ87" s="67" t="b">
        <f t="shared" si="124"/>
        <v>0</v>
      </c>
      <c r="CR87" s="67" t="b">
        <f t="shared" si="125"/>
        <v>0</v>
      </c>
      <c r="CS87" s="67" t="b">
        <f t="shared" si="126"/>
        <v>0</v>
      </c>
      <c r="CT87" s="67" t="b">
        <f t="shared" si="127"/>
        <v>0</v>
      </c>
      <c r="CU87" s="67" t="b">
        <f t="shared" si="128"/>
        <v>0</v>
      </c>
      <c r="CV87" s="67" t="b">
        <f t="shared" si="129"/>
        <v>0</v>
      </c>
      <c r="CW87" s="67" t="b">
        <f t="shared" si="130"/>
        <v>0</v>
      </c>
      <c r="CX87" s="30"/>
      <c r="CY87" s="30"/>
      <c r="CZ87" s="30"/>
      <c r="DA87" s="28"/>
      <c r="DB87" s="30"/>
      <c r="DC87" s="30"/>
    </row>
    <row r="88" spans="1:107" ht="15" hidden="1" customHeight="1" x14ac:dyDescent="0.2">
      <c r="A88" s="28"/>
      <c r="B88" s="28"/>
      <c r="C88" s="300"/>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50"/>
      <c r="CG88" s="246"/>
      <c r="CH88" s="249" t="b">
        <f t="shared" si="115"/>
        <v>0</v>
      </c>
      <c r="CI88" s="249" t="b">
        <f t="shared" si="116"/>
        <v>0</v>
      </c>
      <c r="CJ88" s="67" t="b">
        <f t="shared" si="117"/>
        <v>0</v>
      </c>
      <c r="CK88" s="67" t="b">
        <f t="shared" si="118"/>
        <v>0</v>
      </c>
      <c r="CL88" s="67" t="b">
        <f t="shared" si="119"/>
        <v>0</v>
      </c>
      <c r="CM88" s="67" t="b">
        <f t="shared" si="120"/>
        <v>0</v>
      </c>
      <c r="CN88" s="67" t="b">
        <f t="shared" si="121"/>
        <v>0</v>
      </c>
      <c r="CO88" s="67" t="b">
        <f t="shared" si="122"/>
        <v>0</v>
      </c>
      <c r="CP88" s="67" t="b">
        <f t="shared" si="123"/>
        <v>0</v>
      </c>
      <c r="CQ88" s="67" t="b">
        <f t="shared" si="124"/>
        <v>0</v>
      </c>
      <c r="CR88" s="67" t="b">
        <f t="shared" si="125"/>
        <v>0</v>
      </c>
      <c r="CS88" s="67" t="b">
        <f t="shared" si="126"/>
        <v>0</v>
      </c>
      <c r="CT88" s="67" t="b">
        <f t="shared" si="127"/>
        <v>0</v>
      </c>
      <c r="CU88" s="67" t="b">
        <f t="shared" si="128"/>
        <v>0</v>
      </c>
      <c r="CV88" s="67" t="b">
        <f t="shared" si="129"/>
        <v>0</v>
      </c>
      <c r="CW88" s="67" t="b">
        <f t="shared" si="130"/>
        <v>0</v>
      </c>
      <c r="CX88" s="30"/>
      <c r="CY88" s="30"/>
      <c r="CZ88" s="30"/>
      <c r="DA88" s="28"/>
      <c r="DB88" s="30"/>
      <c r="DC88" s="30"/>
    </row>
    <row r="89" spans="1:107" ht="15" hidden="1" customHeight="1" x14ac:dyDescent="0.2">
      <c r="A89" s="28"/>
      <c r="B89" s="28"/>
      <c r="C89" s="300"/>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50"/>
      <c r="CG89" s="246"/>
      <c r="CH89" s="249" t="b">
        <f t="shared" si="115"/>
        <v>0</v>
      </c>
      <c r="CI89" s="249" t="b">
        <f t="shared" si="116"/>
        <v>0</v>
      </c>
      <c r="CJ89" s="67" t="b">
        <f t="shared" si="117"/>
        <v>0</v>
      </c>
      <c r="CK89" s="67" t="b">
        <f t="shared" si="118"/>
        <v>0</v>
      </c>
      <c r="CL89" s="67" t="b">
        <f t="shared" si="119"/>
        <v>0</v>
      </c>
      <c r="CM89" s="67" t="b">
        <f t="shared" si="120"/>
        <v>0</v>
      </c>
      <c r="CN89" s="67" t="b">
        <f t="shared" si="121"/>
        <v>0</v>
      </c>
      <c r="CO89" s="67" t="b">
        <f t="shared" si="122"/>
        <v>0</v>
      </c>
      <c r="CP89" s="67" t="b">
        <f t="shared" si="123"/>
        <v>0</v>
      </c>
      <c r="CQ89" s="67" t="b">
        <f t="shared" si="124"/>
        <v>0</v>
      </c>
      <c r="CR89" s="67" t="b">
        <f t="shared" si="125"/>
        <v>0</v>
      </c>
      <c r="CS89" s="67" t="b">
        <f t="shared" si="126"/>
        <v>0</v>
      </c>
      <c r="CT89" s="67" t="b">
        <f t="shared" si="127"/>
        <v>0</v>
      </c>
      <c r="CU89" s="67" t="b">
        <f t="shared" si="128"/>
        <v>0</v>
      </c>
      <c r="CV89" s="67" t="b">
        <f t="shared" si="129"/>
        <v>0</v>
      </c>
      <c r="CW89" s="67" t="b">
        <f t="shared" si="130"/>
        <v>0</v>
      </c>
      <c r="CX89" s="30"/>
      <c r="CY89" s="30"/>
      <c r="CZ89" s="30"/>
      <c r="DA89" s="28"/>
      <c r="DB89" s="30"/>
      <c r="DC89" s="30"/>
    </row>
    <row r="90" spans="1:107" ht="15" hidden="1" customHeight="1" x14ac:dyDescent="0.2">
      <c r="A90" s="28"/>
      <c r="B90" s="28"/>
      <c r="C90" s="300"/>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50"/>
      <c r="CG90" s="246"/>
      <c r="CH90" s="249" t="b">
        <f t="shared" si="115"/>
        <v>0</v>
      </c>
      <c r="CI90" s="249" t="b">
        <f t="shared" si="116"/>
        <v>0</v>
      </c>
      <c r="CJ90" s="67" t="b">
        <f t="shared" si="117"/>
        <v>0</v>
      </c>
      <c r="CK90" s="67" t="b">
        <f t="shared" si="118"/>
        <v>0</v>
      </c>
      <c r="CL90" s="67" t="b">
        <f t="shared" si="119"/>
        <v>0</v>
      </c>
      <c r="CM90" s="67" t="b">
        <f t="shared" si="120"/>
        <v>0</v>
      </c>
      <c r="CN90" s="67" t="b">
        <f t="shared" si="121"/>
        <v>0</v>
      </c>
      <c r="CO90" s="67" t="b">
        <f t="shared" si="122"/>
        <v>0</v>
      </c>
      <c r="CP90" s="67" t="b">
        <f t="shared" si="123"/>
        <v>0</v>
      </c>
      <c r="CQ90" s="67" t="b">
        <f t="shared" si="124"/>
        <v>0</v>
      </c>
      <c r="CR90" s="67" t="b">
        <f t="shared" si="125"/>
        <v>0</v>
      </c>
      <c r="CS90" s="67" t="b">
        <f t="shared" si="126"/>
        <v>0</v>
      </c>
      <c r="CT90" s="67" t="b">
        <f t="shared" si="127"/>
        <v>0</v>
      </c>
      <c r="CU90" s="67" t="b">
        <f t="shared" si="128"/>
        <v>0</v>
      </c>
      <c r="CV90" s="67" t="b">
        <f t="shared" si="129"/>
        <v>0</v>
      </c>
      <c r="CW90" s="67" t="b">
        <f t="shared" si="130"/>
        <v>0</v>
      </c>
      <c r="CX90" s="30"/>
      <c r="CY90" s="30"/>
      <c r="CZ90" s="30"/>
      <c r="DA90" s="28"/>
      <c r="DB90" s="30"/>
      <c r="DC90" s="30"/>
    </row>
    <row r="91" spans="1:107" ht="15" hidden="1" customHeight="1" x14ac:dyDescent="0.2">
      <c r="A91" s="28"/>
      <c r="B91" s="28"/>
      <c r="C91" s="300"/>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50"/>
      <c r="CG91" s="246"/>
      <c r="CH91" s="249" t="b">
        <f t="shared" si="115"/>
        <v>0</v>
      </c>
      <c r="CI91" s="249" t="b">
        <f t="shared" si="116"/>
        <v>0</v>
      </c>
      <c r="CJ91" s="67" t="b">
        <f t="shared" si="117"/>
        <v>0</v>
      </c>
      <c r="CK91" s="67" t="b">
        <f t="shared" si="118"/>
        <v>0</v>
      </c>
      <c r="CL91" s="67" t="b">
        <f t="shared" si="119"/>
        <v>0</v>
      </c>
      <c r="CM91" s="67" t="b">
        <f t="shared" si="120"/>
        <v>0</v>
      </c>
      <c r="CN91" s="67" t="b">
        <f t="shared" si="121"/>
        <v>0</v>
      </c>
      <c r="CO91" s="67" t="b">
        <f t="shared" si="122"/>
        <v>0</v>
      </c>
      <c r="CP91" s="67" t="b">
        <f t="shared" si="123"/>
        <v>0</v>
      </c>
      <c r="CQ91" s="67" t="b">
        <f t="shared" si="124"/>
        <v>0</v>
      </c>
      <c r="CR91" s="67" t="b">
        <f t="shared" si="125"/>
        <v>0</v>
      </c>
      <c r="CS91" s="67" t="b">
        <f t="shared" si="126"/>
        <v>0</v>
      </c>
      <c r="CT91" s="67" t="b">
        <f t="shared" si="127"/>
        <v>0</v>
      </c>
      <c r="CU91" s="67" t="b">
        <f t="shared" si="128"/>
        <v>0</v>
      </c>
      <c r="CV91" s="67" t="b">
        <f t="shared" si="129"/>
        <v>0</v>
      </c>
      <c r="CW91" s="67" t="b">
        <f t="shared" si="130"/>
        <v>0</v>
      </c>
      <c r="CX91" s="30"/>
      <c r="CY91" s="30"/>
      <c r="CZ91" s="30"/>
      <c r="DA91" s="28"/>
      <c r="DB91" s="30"/>
      <c r="DC91" s="30"/>
    </row>
    <row r="92" spans="1:107" ht="15" hidden="1" customHeight="1" x14ac:dyDescent="0.2">
      <c r="A92" s="28"/>
      <c r="B92" s="28"/>
      <c r="C92" s="300"/>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50"/>
      <c r="CG92" s="246"/>
      <c r="CH92" s="249" t="b">
        <f t="shared" si="115"/>
        <v>0</v>
      </c>
      <c r="CI92" s="249" t="b">
        <f t="shared" si="116"/>
        <v>0</v>
      </c>
      <c r="CJ92" s="67" t="b">
        <f t="shared" si="117"/>
        <v>0</v>
      </c>
      <c r="CK92" s="67" t="b">
        <f t="shared" si="118"/>
        <v>0</v>
      </c>
      <c r="CL92" s="67" t="b">
        <f t="shared" si="119"/>
        <v>0</v>
      </c>
      <c r="CM92" s="67" t="b">
        <f t="shared" si="120"/>
        <v>0</v>
      </c>
      <c r="CN92" s="67" t="b">
        <f t="shared" si="121"/>
        <v>0</v>
      </c>
      <c r="CO92" s="67" t="b">
        <f t="shared" si="122"/>
        <v>0</v>
      </c>
      <c r="CP92" s="67" t="b">
        <f t="shared" si="123"/>
        <v>0</v>
      </c>
      <c r="CQ92" s="67" t="b">
        <f t="shared" si="124"/>
        <v>0</v>
      </c>
      <c r="CR92" s="67" t="b">
        <f t="shared" si="125"/>
        <v>0</v>
      </c>
      <c r="CS92" s="67" t="b">
        <f t="shared" si="126"/>
        <v>0</v>
      </c>
      <c r="CT92" s="67" t="b">
        <f t="shared" si="127"/>
        <v>0</v>
      </c>
      <c r="CU92" s="67" t="b">
        <f t="shared" si="128"/>
        <v>0</v>
      </c>
      <c r="CV92" s="67" t="b">
        <f t="shared" si="129"/>
        <v>0</v>
      </c>
      <c r="CW92" s="67" t="b">
        <f t="shared" si="130"/>
        <v>0</v>
      </c>
      <c r="CX92" s="30"/>
      <c r="CY92" s="30"/>
      <c r="CZ92" s="30"/>
      <c r="DA92" s="28"/>
      <c r="DB92" s="30"/>
      <c r="DC92" s="30"/>
    </row>
    <row r="93" spans="1:107" ht="15" hidden="1" customHeight="1" x14ac:dyDescent="0.2">
      <c r="A93" s="28"/>
      <c r="B93" s="28"/>
      <c r="C93" s="300"/>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50"/>
      <c r="CG93" s="246"/>
      <c r="CH93" s="249" t="b">
        <f t="shared" si="115"/>
        <v>0</v>
      </c>
      <c r="CI93" s="249" t="b">
        <f t="shared" si="116"/>
        <v>0</v>
      </c>
      <c r="CJ93" s="67" t="b">
        <f t="shared" si="117"/>
        <v>0</v>
      </c>
      <c r="CK93" s="67" t="b">
        <f t="shared" si="118"/>
        <v>0</v>
      </c>
      <c r="CL93" s="67" t="b">
        <f t="shared" si="119"/>
        <v>0</v>
      </c>
      <c r="CM93" s="67" t="b">
        <f t="shared" si="120"/>
        <v>0</v>
      </c>
      <c r="CN93" s="67" t="b">
        <f t="shared" si="121"/>
        <v>0</v>
      </c>
      <c r="CO93" s="67" t="b">
        <f t="shared" si="122"/>
        <v>0</v>
      </c>
      <c r="CP93" s="67" t="b">
        <f t="shared" si="123"/>
        <v>0</v>
      </c>
      <c r="CQ93" s="67" t="b">
        <f t="shared" si="124"/>
        <v>0</v>
      </c>
      <c r="CR93" s="67" t="b">
        <f t="shared" si="125"/>
        <v>0</v>
      </c>
      <c r="CS93" s="67" t="b">
        <f t="shared" si="126"/>
        <v>0</v>
      </c>
      <c r="CT93" s="67" t="b">
        <f t="shared" si="127"/>
        <v>0</v>
      </c>
      <c r="CU93" s="67" t="b">
        <f t="shared" si="128"/>
        <v>0</v>
      </c>
      <c r="CV93" s="67" t="b">
        <f t="shared" si="129"/>
        <v>0</v>
      </c>
      <c r="CW93" s="67" t="b">
        <f t="shared" si="130"/>
        <v>0</v>
      </c>
      <c r="CX93" s="30"/>
      <c r="CY93" s="30"/>
      <c r="CZ93" s="30"/>
      <c r="DA93" s="28"/>
      <c r="DB93" s="30"/>
      <c r="DC93" s="30"/>
    </row>
    <row r="94" spans="1:107" ht="15" hidden="1" customHeight="1" x14ac:dyDescent="0.2">
      <c r="A94" s="28"/>
      <c r="B94" s="28"/>
      <c r="C94" s="300"/>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50"/>
      <c r="CG94" s="246"/>
      <c r="CH94" s="249" t="b">
        <f t="shared" si="115"/>
        <v>0</v>
      </c>
      <c r="CI94" s="249" t="b">
        <f t="shared" si="116"/>
        <v>0</v>
      </c>
      <c r="CJ94" s="67" t="b">
        <f t="shared" si="117"/>
        <v>0</v>
      </c>
      <c r="CK94" s="67" t="b">
        <f t="shared" si="118"/>
        <v>0</v>
      </c>
      <c r="CL94" s="67" t="b">
        <f t="shared" si="119"/>
        <v>0</v>
      </c>
      <c r="CM94" s="67" t="b">
        <f t="shared" si="120"/>
        <v>0</v>
      </c>
      <c r="CN94" s="67" t="b">
        <f t="shared" si="121"/>
        <v>0</v>
      </c>
      <c r="CO94" s="67" t="b">
        <f t="shared" si="122"/>
        <v>0</v>
      </c>
      <c r="CP94" s="67" t="b">
        <f t="shared" si="123"/>
        <v>0</v>
      </c>
      <c r="CQ94" s="67" t="b">
        <f t="shared" si="124"/>
        <v>0</v>
      </c>
      <c r="CR94" s="67" t="b">
        <f t="shared" si="125"/>
        <v>0</v>
      </c>
      <c r="CS94" s="67" t="b">
        <f t="shared" si="126"/>
        <v>0</v>
      </c>
      <c r="CT94" s="67" t="b">
        <f t="shared" si="127"/>
        <v>0</v>
      </c>
      <c r="CU94" s="67" t="b">
        <f t="shared" si="128"/>
        <v>0</v>
      </c>
      <c r="CV94" s="67" t="b">
        <f t="shared" si="129"/>
        <v>0</v>
      </c>
      <c r="CW94" s="67" t="b">
        <f t="shared" si="130"/>
        <v>0</v>
      </c>
      <c r="CX94" s="30"/>
      <c r="CY94" s="30"/>
      <c r="CZ94" s="30"/>
      <c r="DA94" s="28"/>
      <c r="DB94" s="30"/>
      <c r="DC94" s="30"/>
    </row>
    <row r="95" spans="1:107" ht="15" hidden="1" customHeight="1" x14ac:dyDescent="0.2">
      <c r="A95" s="28"/>
      <c r="B95" s="28"/>
      <c r="C95" s="300"/>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50"/>
      <c r="CG95" s="246"/>
      <c r="CH95" s="249" t="b">
        <f t="shared" si="115"/>
        <v>0</v>
      </c>
      <c r="CI95" s="249" t="b">
        <f t="shared" si="116"/>
        <v>0</v>
      </c>
      <c r="CJ95" s="67" t="b">
        <f t="shared" si="117"/>
        <v>0</v>
      </c>
      <c r="CK95" s="67" t="b">
        <f t="shared" si="118"/>
        <v>0</v>
      </c>
      <c r="CL95" s="67" t="b">
        <f t="shared" si="119"/>
        <v>0</v>
      </c>
      <c r="CM95" s="67" t="b">
        <f t="shared" si="120"/>
        <v>0</v>
      </c>
      <c r="CN95" s="67" t="b">
        <f t="shared" si="121"/>
        <v>0</v>
      </c>
      <c r="CO95" s="67" t="b">
        <f t="shared" si="122"/>
        <v>0</v>
      </c>
      <c r="CP95" s="67" t="b">
        <f t="shared" si="123"/>
        <v>0</v>
      </c>
      <c r="CQ95" s="67" t="b">
        <f t="shared" si="124"/>
        <v>0</v>
      </c>
      <c r="CR95" s="67" t="b">
        <f t="shared" si="125"/>
        <v>0</v>
      </c>
      <c r="CS95" s="67" t="b">
        <f t="shared" si="126"/>
        <v>0</v>
      </c>
      <c r="CT95" s="67" t="b">
        <f t="shared" si="127"/>
        <v>0</v>
      </c>
      <c r="CU95" s="67" t="b">
        <f t="shared" si="128"/>
        <v>0</v>
      </c>
      <c r="CV95" s="67" t="b">
        <f t="shared" si="129"/>
        <v>0</v>
      </c>
      <c r="CW95" s="67" t="b">
        <f t="shared" si="130"/>
        <v>0</v>
      </c>
      <c r="CX95" s="30"/>
      <c r="CY95" s="30"/>
      <c r="CZ95" s="30"/>
      <c r="DA95" s="28"/>
      <c r="DB95" s="30"/>
      <c r="DC95" s="30"/>
    </row>
    <row r="96" spans="1:107" ht="15" hidden="1" customHeight="1" x14ac:dyDescent="0.2">
      <c r="A96" s="28"/>
      <c r="B96" s="28"/>
      <c r="C96" s="300"/>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50"/>
      <c r="CG96" s="246"/>
      <c r="CH96" s="249" t="b">
        <f t="shared" si="115"/>
        <v>0</v>
      </c>
      <c r="CI96" s="249" t="b">
        <f t="shared" si="116"/>
        <v>0</v>
      </c>
      <c r="CJ96" s="67" t="b">
        <f t="shared" si="117"/>
        <v>0</v>
      </c>
      <c r="CK96" s="67" t="b">
        <f t="shared" si="118"/>
        <v>0</v>
      </c>
      <c r="CL96" s="67" t="b">
        <f t="shared" si="119"/>
        <v>0</v>
      </c>
      <c r="CM96" s="67" t="b">
        <f t="shared" si="120"/>
        <v>0</v>
      </c>
      <c r="CN96" s="67" t="b">
        <f t="shared" si="121"/>
        <v>0</v>
      </c>
      <c r="CO96" s="67" t="b">
        <f t="shared" si="122"/>
        <v>0</v>
      </c>
      <c r="CP96" s="67" t="b">
        <f t="shared" si="123"/>
        <v>0</v>
      </c>
      <c r="CQ96" s="67" t="b">
        <f t="shared" si="124"/>
        <v>0</v>
      </c>
      <c r="CR96" s="67" t="b">
        <f t="shared" si="125"/>
        <v>0</v>
      </c>
      <c r="CS96" s="67" t="b">
        <f t="shared" si="126"/>
        <v>0</v>
      </c>
      <c r="CT96" s="67" t="b">
        <f t="shared" si="127"/>
        <v>0</v>
      </c>
      <c r="CU96" s="67" t="b">
        <f t="shared" si="128"/>
        <v>0</v>
      </c>
      <c r="CV96" s="67" t="b">
        <f t="shared" si="129"/>
        <v>0</v>
      </c>
      <c r="CW96" s="67" t="b">
        <f t="shared" si="130"/>
        <v>0</v>
      </c>
      <c r="CX96" s="30"/>
      <c r="CY96" s="30"/>
      <c r="CZ96" s="30"/>
      <c r="DA96" s="28"/>
      <c r="DB96" s="30"/>
      <c r="DC96" s="30"/>
    </row>
    <row r="97" spans="1:107" ht="15" hidden="1" customHeight="1" x14ac:dyDescent="0.2">
      <c r="A97" s="28"/>
      <c r="B97" s="28"/>
      <c r="C97" s="300"/>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50"/>
      <c r="CG97" s="246"/>
      <c r="CH97" s="249" t="b">
        <f t="shared" si="115"/>
        <v>0</v>
      </c>
      <c r="CI97" s="249" t="b">
        <f t="shared" si="116"/>
        <v>0</v>
      </c>
      <c r="CJ97" s="67" t="b">
        <f t="shared" si="117"/>
        <v>0</v>
      </c>
      <c r="CK97" s="67" t="b">
        <f t="shared" si="118"/>
        <v>0</v>
      </c>
      <c r="CL97" s="67" t="b">
        <f t="shared" si="119"/>
        <v>0</v>
      </c>
      <c r="CM97" s="67" t="b">
        <f t="shared" si="120"/>
        <v>0</v>
      </c>
      <c r="CN97" s="67" t="b">
        <f t="shared" si="121"/>
        <v>0</v>
      </c>
      <c r="CO97" s="67" t="b">
        <f t="shared" si="122"/>
        <v>0</v>
      </c>
      <c r="CP97" s="67" t="b">
        <f t="shared" si="123"/>
        <v>0</v>
      </c>
      <c r="CQ97" s="67" t="b">
        <f t="shared" si="124"/>
        <v>0</v>
      </c>
      <c r="CR97" s="67" t="b">
        <f t="shared" si="125"/>
        <v>0</v>
      </c>
      <c r="CS97" s="67" t="b">
        <f t="shared" si="126"/>
        <v>0</v>
      </c>
      <c r="CT97" s="67" t="b">
        <f t="shared" si="127"/>
        <v>0</v>
      </c>
      <c r="CU97" s="67" t="b">
        <f t="shared" si="128"/>
        <v>0</v>
      </c>
      <c r="CV97" s="67" t="b">
        <f t="shared" si="129"/>
        <v>0</v>
      </c>
      <c r="CW97" s="67" t="b">
        <f t="shared" si="130"/>
        <v>0</v>
      </c>
      <c r="CX97" s="30"/>
      <c r="CY97" s="30"/>
      <c r="CZ97" s="30"/>
      <c r="DA97" s="28"/>
      <c r="DB97" s="30"/>
      <c r="DC97" s="30"/>
    </row>
    <row r="98" spans="1:107" ht="15" hidden="1" customHeight="1" x14ac:dyDescent="0.2">
      <c r="A98" s="28"/>
      <c r="B98" s="28"/>
      <c r="C98" s="300"/>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50"/>
      <c r="CG98" s="246"/>
      <c r="CH98" s="249" t="b">
        <f t="shared" si="115"/>
        <v>0</v>
      </c>
      <c r="CI98" s="249" t="b">
        <f t="shared" si="116"/>
        <v>0</v>
      </c>
      <c r="CJ98" s="67" t="b">
        <f t="shared" si="117"/>
        <v>0</v>
      </c>
      <c r="CK98" s="67" t="b">
        <f t="shared" si="118"/>
        <v>0</v>
      </c>
      <c r="CL98" s="67" t="b">
        <f t="shared" si="119"/>
        <v>0</v>
      </c>
      <c r="CM98" s="67" t="b">
        <f t="shared" si="120"/>
        <v>0</v>
      </c>
      <c r="CN98" s="67" t="b">
        <f t="shared" si="121"/>
        <v>0</v>
      </c>
      <c r="CO98" s="67" t="b">
        <f t="shared" si="122"/>
        <v>0</v>
      </c>
      <c r="CP98" s="67" t="b">
        <f t="shared" si="123"/>
        <v>0</v>
      </c>
      <c r="CQ98" s="67" t="b">
        <f t="shared" si="124"/>
        <v>0</v>
      </c>
      <c r="CR98" s="67" t="b">
        <f t="shared" si="125"/>
        <v>0</v>
      </c>
      <c r="CS98" s="67" t="b">
        <f t="shared" si="126"/>
        <v>0</v>
      </c>
      <c r="CT98" s="67" t="b">
        <f t="shared" si="127"/>
        <v>0</v>
      </c>
      <c r="CU98" s="67" t="b">
        <f t="shared" si="128"/>
        <v>0</v>
      </c>
      <c r="CV98" s="67" t="b">
        <f t="shared" si="129"/>
        <v>0</v>
      </c>
      <c r="CW98" s="67" t="b">
        <f t="shared" si="130"/>
        <v>0</v>
      </c>
      <c r="CX98" s="30"/>
      <c r="CY98" s="30"/>
      <c r="CZ98" s="30"/>
      <c r="DA98" s="28"/>
      <c r="DB98" s="30"/>
      <c r="DC98" s="30"/>
    </row>
    <row r="99" spans="1:107" ht="15" hidden="1" customHeight="1" x14ac:dyDescent="0.2">
      <c r="A99" s="28"/>
      <c r="B99" s="28"/>
      <c r="C99" s="300"/>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50"/>
      <c r="CG99" s="246"/>
      <c r="CH99" s="249" t="b">
        <f t="shared" si="115"/>
        <v>0</v>
      </c>
      <c r="CI99" s="249" t="b">
        <f t="shared" si="116"/>
        <v>0</v>
      </c>
      <c r="CJ99" s="67" t="b">
        <f t="shared" si="117"/>
        <v>0</v>
      </c>
      <c r="CK99" s="67" t="b">
        <f t="shared" si="118"/>
        <v>0</v>
      </c>
      <c r="CL99" s="67" t="b">
        <f t="shared" si="119"/>
        <v>0</v>
      </c>
      <c r="CM99" s="67" t="b">
        <f t="shared" si="120"/>
        <v>0</v>
      </c>
      <c r="CN99" s="67" t="b">
        <f t="shared" si="121"/>
        <v>0</v>
      </c>
      <c r="CO99" s="67" t="b">
        <f t="shared" si="122"/>
        <v>0</v>
      </c>
      <c r="CP99" s="67" t="b">
        <f t="shared" si="123"/>
        <v>0</v>
      </c>
      <c r="CQ99" s="67" t="b">
        <f t="shared" si="124"/>
        <v>0</v>
      </c>
      <c r="CR99" s="67" t="b">
        <f t="shared" si="125"/>
        <v>0</v>
      </c>
      <c r="CS99" s="67" t="b">
        <f t="shared" si="126"/>
        <v>0</v>
      </c>
      <c r="CT99" s="67" t="b">
        <f t="shared" si="127"/>
        <v>0</v>
      </c>
      <c r="CU99" s="67" t="b">
        <f t="shared" si="128"/>
        <v>0</v>
      </c>
      <c r="CV99" s="67" t="b">
        <f t="shared" si="129"/>
        <v>0</v>
      </c>
      <c r="CW99" s="67" t="b">
        <f t="shared" si="130"/>
        <v>0</v>
      </c>
      <c r="CX99" s="30"/>
      <c r="CY99" s="30"/>
      <c r="CZ99" s="30"/>
      <c r="DA99" s="28"/>
      <c r="DB99" s="30"/>
      <c r="DC99" s="30"/>
    </row>
    <row r="100" spans="1:107" ht="15" hidden="1" customHeight="1" x14ac:dyDescent="0.2">
      <c r="A100" s="28"/>
      <c r="B100" s="28"/>
      <c r="C100" s="300"/>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50"/>
      <c r="CG100" s="246"/>
      <c r="CH100" s="249" t="b">
        <f t="shared" si="115"/>
        <v>0</v>
      </c>
      <c r="CI100" s="249" t="b">
        <f t="shared" si="116"/>
        <v>0</v>
      </c>
      <c r="CJ100" s="67" t="b">
        <f t="shared" si="117"/>
        <v>0</v>
      </c>
      <c r="CK100" s="67" t="b">
        <f t="shared" si="118"/>
        <v>0</v>
      </c>
      <c r="CL100" s="67" t="b">
        <f t="shared" si="119"/>
        <v>0</v>
      </c>
      <c r="CM100" s="67" t="b">
        <f t="shared" si="120"/>
        <v>0</v>
      </c>
      <c r="CN100" s="67" t="b">
        <f t="shared" si="121"/>
        <v>0</v>
      </c>
      <c r="CO100" s="67" t="b">
        <f t="shared" si="122"/>
        <v>0</v>
      </c>
      <c r="CP100" s="67" t="b">
        <f t="shared" si="123"/>
        <v>0</v>
      </c>
      <c r="CQ100" s="67" t="b">
        <f t="shared" si="124"/>
        <v>0</v>
      </c>
      <c r="CR100" s="67" t="b">
        <f t="shared" si="125"/>
        <v>0</v>
      </c>
      <c r="CS100" s="67" t="b">
        <f t="shared" si="126"/>
        <v>0</v>
      </c>
      <c r="CT100" s="67" t="b">
        <f t="shared" si="127"/>
        <v>0</v>
      </c>
      <c r="CU100" s="67" t="b">
        <f t="shared" si="128"/>
        <v>0</v>
      </c>
      <c r="CV100" s="67" t="b">
        <f t="shared" si="129"/>
        <v>0</v>
      </c>
      <c r="CW100" s="67" t="b">
        <f t="shared" si="130"/>
        <v>0</v>
      </c>
      <c r="CX100" s="30"/>
      <c r="CY100" s="30"/>
      <c r="CZ100" s="30"/>
      <c r="DA100" s="28"/>
      <c r="DB100" s="30"/>
      <c r="DC100" s="30"/>
    </row>
    <row r="101" spans="1:107" ht="15" hidden="1" customHeight="1" x14ac:dyDescent="0.2">
      <c r="A101" s="28"/>
      <c r="B101" s="28"/>
      <c r="C101" s="300"/>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50"/>
      <c r="CG101" s="246"/>
      <c r="CH101" s="249" t="b">
        <f t="shared" si="115"/>
        <v>0</v>
      </c>
      <c r="CI101" s="249" t="b">
        <f t="shared" si="116"/>
        <v>0</v>
      </c>
      <c r="CJ101" s="67" t="b">
        <f t="shared" si="117"/>
        <v>0</v>
      </c>
      <c r="CK101" s="67" t="b">
        <f t="shared" si="118"/>
        <v>0</v>
      </c>
      <c r="CL101" s="67" t="b">
        <f t="shared" si="119"/>
        <v>0</v>
      </c>
      <c r="CM101" s="67" t="b">
        <f t="shared" si="120"/>
        <v>0</v>
      </c>
      <c r="CN101" s="67" t="b">
        <f t="shared" si="121"/>
        <v>0</v>
      </c>
      <c r="CO101" s="67" t="b">
        <f t="shared" si="122"/>
        <v>0</v>
      </c>
      <c r="CP101" s="67" t="b">
        <f t="shared" si="123"/>
        <v>0</v>
      </c>
      <c r="CQ101" s="67" t="b">
        <f t="shared" si="124"/>
        <v>0</v>
      </c>
      <c r="CR101" s="67" t="b">
        <f t="shared" si="125"/>
        <v>0</v>
      </c>
      <c r="CS101" s="67" t="b">
        <f t="shared" si="126"/>
        <v>0</v>
      </c>
      <c r="CT101" s="67" t="b">
        <f t="shared" si="127"/>
        <v>0</v>
      </c>
      <c r="CU101" s="67" t="b">
        <f t="shared" si="128"/>
        <v>0</v>
      </c>
      <c r="CV101" s="67" t="b">
        <f t="shared" si="129"/>
        <v>0</v>
      </c>
      <c r="CW101" s="67" t="b">
        <f t="shared" si="130"/>
        <v>0</v>
      </c>
      <c r="CX101" s="30"/>
      <c r="CY101" s="30"/>
      <c r="CZ101" s="30"/>
      <c r="DA101" s="28"/>
      <c r="DB101" s="30"/>
      <c r="DC101" s="30"/>
    </row>
    <row r="102" spans="1:107" ht="15" hidden="1" customHeight="1" x14ac:dyDescent="0.2">
      <c r="A102" s="28"/>
      <c r="B102" s="28"/>
      <c r="C102" s="300"/>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50"/>
      <c r="CG102" s="246"/>
      <c r="CH102" s="249" t="b">
        <f t="shared" si="115"/>
        <v>0</v>
      </c>
      <c r="CI102" s="249" t="b">
        <f t="shared" si="116"/>
        <v>0</v>
      </c>
      <c r="CJ102" s="67" t="b">
        <f t="shared" si="117"/>
        <v>0</v>
      </c>
      <c r="CK102" s="67" t="b">
        <f t="shared" si="118"/>
        <v>0</v>
      </c>
      <c r="CL102" s="67" t="b">
        <f t="shared" si="119"/>
        <v>0</v>
      </c>
      <c r="CM102" s="67" t="b">
        <f t="shared" si="120"/>
        <v>0</v>
      </c>
      <c r="CN102" s="67" t="b">
        <f t="shared" si="121"/>
        <v>0</v>
      </c>
      <c r="CO102" s="67" t="b">
        <f t="shared" si="122"/>
        <v>0</v>
      </c>
      <c r="CP102" s="67" t="b">
        <f t="shared" si="123"/>
        <v>0</v>
      </c>
      <c r="CQ102" s="67" t="b">
        <f t="shared" si="124"/>
        <v>0</v>
      </c>
      <c r="CR102" s="67" t="b">
        <f t="shared" si="125"/>
        <v>0</v>
      </c>
      <c r="CS102" s="67" t="b">
        <f t="shared" si="126"/>
        <v>0</v>
      </c>
      <c r="CT102" s="67" t="b">
        <f t="shared" si="127"/>
        <v>0</v>
      </c>
      <c r="CU102" s="67" t="b">
        <f t="shared" si="128"/>
        <v>0</v>
      </c>
      <c r="CV102" s="67" t="b">
        <f t="shared" si="129"/>
        <v>0</v>
      </c>
      <c r="CW102" s="67" t="b">
        <f t="shared" si="130"/>
        <v>0</v>
      </c>
      <c r="CX102" s="30"/>
      <c r="CY102" s="30"/>
      <c r="CZ102" s="30"/>
      <c r="DA102" s="28"/>
      <c r="DB102" s="30"/>
      <c r="DC102" s="30"/>
    </row>
    <row r="103" spans="1:107" ht="15" hidden="1" customHeight="1" x14ac:dyDescent="0.2">
      <c r="A103" s="28"/>
      <c r="B103" s="28"/>
      <c r="C103" s="300"/>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50"/>
      <c r="CG103" s="246"/>
      <c r="CH103" s="249" t="b">
        <f t="shared" si="115"/>
        <v>0</v>
      </c>
      <c r="CI103" s="249" t="b">
        <f t="shared" si="116"/>
        <v>0</v>
      </c>
      <c r="CJ103" s="67" t="b">
        <f t="shared" si="117"/>
        <v>0</v>
      </c>
      <c r="CK103" s="67" t="b">
        <f t="shared" si="118"/>
        <v>0</v>
      </c>
      <c r="CL103" s="67" t="b">
        <f t="shared" si="119"/>
        <v>0</v>
      </c>
      <c r="CM103" s="67" t="b">
        <f t="shared" si="120"/>
        <v>0</v>
      </c>
      <c r="CN103" s="67" t="b">
        <f t="shared" si="121"/>
        <v>0</v>
      </c>
      <c r="CO103" s="67" t="b">
        <f t="shared" si="122"/>
        <v>0</v>
      </c>
      <c r="CP103" s="67" t="b">
        <f t="shared" si="123"/>
        <v>0</v>
      </c>
      <c r="CQ103" s="67" t="b">
        <f t="shared" si="124"/>
        <v>0</v>
      </c>
      <c r="CR103" s="67" t="b">
        <f t="shared" si="125"/>
        <v>0</v>
      </c>
      <c r="CS103" s="67" t="b">
        <f t="shared" si="126"/>
        <v>0</v>
      </c>
      <c r="CT103" s="67" t="b">
        <f t="shared" si="127"/>
        <v>0</v>
      </c>
      <c r="CU103" s="67" t="b">
        <f t="shared" si="128"/>
        <v>0</v>
      </c>
      <c r="CV103" s="67" t="b">
        <f t="shared" si="129"/>
        <v>0</v>
      </c>
      <c r="CW103" s="67" t="b">
        <f t="shared" si="130"/>
        <v>0</v>
      </c>
      <c r="CX103" s="30"/>
      <c r="CY103" s="30"/>
      <c r="CZ103" s="30"/>
      <c r="DA103" s="28"/>
      <c r="DB103" s="30"/>
      <c r="DC103" s="30"/>
    </row>
    <row r="104" spans="1:107" ht="15" hidden="1" customHeight="1" x14ac:dyDescent="0.2">
      <c r="A104" s="28"/>
      <c r="B104" s="28"/>
      <c r="C104" s="300"/>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50"/>
      <c r="CG104" s="246"/>
      <c r="CH104" s="249" t="b">
        <f t="shared" si="115"/>
        <v>0</v>
      </c>
      <c r="CI104" s="249" t="b">
        <f t="shared" si="116"/>
        <v>0</v>
      </c>
      <c r="CJ104" s="67" t="b">
        <f t="shared" si="117"/>
        <v>0</v>
      </c>
      <c r="CK104" s="67" t="b">
        <f t="shared" si="118"/>
        <v>0</v>
      </c>
      <c r="CL104" s="67" t="b">
        <f t="shared" si="119"/>
        <v>0</v>
      </c>
      <c r="CM104" s="67" t="b">
        <f t="shared" si="120"/>
        <v>0</v>
      </c>
      <c r="CN104" s="67" t="b">
        <f t="shared" si="121"/>
        <v>0</v>
      </c>
      <c r="CO104" s="67" t="b">
        <f t="shared" si="122"/>
        <v>0</v>
      </c>
      <c r="CP104" s="67" t="b">
        <f t="shared" si="123"/>
        <v>0</v>
      </c>
      <c r="CQ104" s="67" t="b">
        <f t="shared" si="124"/>
        <v>0</v>
      </c>
      <c r="CR104" s="67" t="b">
        <f t="shared" si="125"/>
        <v>0</v>
      </c>
      <c r="CS104" s="67" t="b">
        <f t="shared" si="126"/>
        <v>0</v>
      </c>
      <c r="CT104" s="67" t="b">
        <f t="shared" si="127"/>
        <v>0</v>
      </c>
      <c r="CU104" s="67" t="b">
        <f t="shared" si="128"/>
        <v>0</v>
      </c>
      <c r="CV104" s="67" t="b">
        <f t="shared" si="129"/>
        <v>0</v>
      </c>
      <c r="CW104" s="67" t="b">
        <f t="shared" si="130"/>
        <v>0</v>
      </c>
      <c r="CX104" s="30"/>
      <c r="CY104" s="30"/>
      <c r="CZ104" s="30"/>
      <c r="DA104" s="28"/>
      <c r="DB104" s="30"/>
      <c r="DC104" s="30"/>
    </row>
    <row r="105" spans="1:107" ht="15" hidden="1" customHeight="1" x14ac:dyDescent="0.2">
      <c r="A105" s="28"/>
      <c r="B105" s="28"/>
      <c r="C105" s="300"/>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50"/>
      <c r="CG105" s="246"/>
      <c r="CH105" s="249" t="b">
        <f t="shared" si="115"/>
        <v>0</v>
      </c>
      <c r="CI105" s="249" t="b">
        <f t="shared" si="116"/>
        <v>0</v>
      </c>
      <c r="CJ105" s="67" t="b">
        <f t="shared" si="117"/>
        <v>0</v>
      </c>
      <c r="CK105" s="67" t="b">
        <f t="shared" si="118"/>
        <v>0</v>
      </c>
      <c r="CL105" s="67" t="b">
        <f t="shared" si="119"/>
        <v>0</v>
      </c>
      <c r="CM105" s="67" t="b">
        <f t="shared" si="120"/>
        <v>0</v>
      </c>
      <c r="CN105" s="67" t="b">
        <f t="shared" si="121"/>
        <v>0</v>
      </c>
      <c r="CO105" s="67" t="b">
        <f t="shared" si="122"/>
        <v>0</v>
      </c>
      <c r="CP105" s="67" t="b">
        <f t="shared" si="123"/>
        <v>0</v>
      </c>
      <c r="CQ105" s="67" t="b">
        <f t="shared" si="124"/>
        <v>0</v>
      </c>
      <c r="CR105" s="67" t="b">
        <f t="shared" si="125"/>
        <v>0</v>
      </c>
      <c r="CS105" s="67" t="b">
        <f t="shared" si="126"/>
        <v>0</v>
      </c>
      <c r="CT105" s="67" t="b">
        <f t="shared" si="127"/>
        <v>0</v>
      </c>
      <c r="CU105" s="67" t="b">
        <f t="shared" si="128"/>
        <v>0</v>
      </c>
      <c r="CV105" s="67" t="b">
        <f t="shared" si="129"/>
        <v>0</v>
      </c>
      <c r="CW105" s="67" t="b">
        <f t="shared" si="130"/>
        <v>0</v>
      </c>
      <c r="CX105" s="30"/>
      <c r="CY105" s="30"/>
      <c r="CZ105" s="30"/>
      <c r="DA105" s="28"/>
      <c r="DB105" s="30"/>
      <c r="DC105" s="30"/>
    </row>
    <row r="106" spans="1:107" ht="15" hidden="1" customHeight="1" x14ac:dyDescent="0.2">
      <c r="A106" s="28"/>
      <c r="B106" s="28"/>
      <c r="C106" s="30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50"/>
      <c r="CG106" s="246"/>
      <c r="CH106" s="249" t="b">
        <f t="shared" si="115"/>
        <v>0</v>
      </c>
      <c r="CI106" s="249" t="b">
        <f t="shared" si="116"/>
        <v>0</v>
      </c>
      <c r="CJ106" s="67" t="b">
        <f t="shared" si="117"/>
        <v>0</v>
      </c>
      <c r="CK106" s="67" t="b">
        <f t="shared" si="118"/>
        <v>0</v>
      </c>
      <c r="CL106" s="67" t="b">
        <f t="shared" si="119"/>
        <v>0</v>
      </c>
      <c r="CM106" s="67" t="b">
        <f t="shared" si="120"/>
        <v>0</v>
      </c>
      <c r="CN106" s="67" t="b">
        <f t="shared" si="121"/>
        <v>0</v>
      </c>
      <c r="CO106" s="67" t="b">
        <f t="shared" si="122"/>
        <v>0</v>
      </c>
      <c r="CP106" s="67" t="b">
        <f t="shared" si="123"/>
        <v>0</v>
      </c>
      <c r="CQ106" s="67" t="b">
        <f t="shared" si="124"/>
        <v>0</v>
      </c>
      <c r="CR106" s="67" t="b">
        <f t="shared" si="125"/>
        <v>0</v>
      </c>
      <c r="CS106" s="67" t="b">
        <f t="shared" si="126"/>
        <v>0</v>
      </c>
      <c r="CT106" s="67" t="b">
        <f t="shared" si="127"/>
        <v>0</v>
      </c>
      <c r="CU106" s="67" t="b">
        <f t="shared" si="128"/>
        <v>0</v>
      </c>
      <c r="CV106" s="67" t="b">
        <f t="shared" si="129"/>
        <v>0</v>
      </c>
      <c r="CW106" s="67" t="b">
        <f t="shared" si="130"/>
        <v>0</v>
      </c>
      <c r="CX106" s="30"/>
      <c r="CY106" s="30"/>
      <c r="CZ106" s="30"/>
      <c r="DA106" s="28"/>
      <c r="DB106" s="30"/>
      <c r="DC106" s="30"/>
    </row>
    <row r="107" spans="1:107" ht="15" hidden="1" customHeight="1" x14ac:dyDescent="0.2">
      <c r="A107" s="28"/>
      <c r="B107" s="28"/>
      <c r="C107" s="300"/>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50"/>
      <c r="CG107" s="246"/>
      <c r="CH107" s="249" t="b">
        <f t="shared" si="115"/>
        <v>0</v>
      </c>
      <c r="CI107" s="249" t="b">
        <f t="shared" si="116"/>
        <v>0</v>
      </c>
      <c r="CJ107" s="67" t="b">
        <f t="shared" si="117"/>
        <v>0</v>
      </c>
      <c r="CK107" s="67" t="b">
        <f t="shared" si="118"/>
        <v>0</v>
      </c>
      <c r="CL107" s="67" t="b">
        <f t="shared" si="119"/>
        <v>0</v>
      </c>
      <c r="CM107" s="67" t="b">
        <f t="shared" si="120"/>
        <v>0</v>
      </c>
      <c r="CN107" s="67" t="b">
        <f t="shared" si="121"/>
        <v>0</v>
      </c>
      <c r="CO107" s="67" t="b">
        <f t="shared" si="122"/>
        <v>0</v>
      </c>
      <c r="CP107" s="67" t="b">
        <f t="shared" si="123"/>
        <v>0</v>
      </c>
      <c r="CQ107" s="67" t="b">
        <f t="shared" si="124"/>
        <v>0</v>
      </c>
      <c r="CR107" s="67" t="b">
        <f t="shared" si="125"/>
        <v>0</v>
      </c>
      <c r="CS107" s="67" t="b">
        <f t="shared" si="126"/>
        <v>0</v>
      </c>
      <c r="CT107" s="67" t="b">
        <f t="shared" si="127"/>
        <v>0</v>
      </c>
      <c r="CU107" s="67" t="b">
        <f t="shared" si="128"/>
        <v>0</v>
      </c>
      <c r="CV107" s="67" t="b">
        <f t="shared" si="129"/>
        <v>0</v>
      </c>
      <c r="CW107" s="67" t="b">
        <f t="shared" si="130"/>
        <v>0</v>
      </c>
      <c r="CX107" s="30"/>
      <c r="CY107" s="30"/>
      <c r="CZ107" s="30"/>
      <c r="DA107" s="28"/>
      <c r="DB107" s="30"/>
      <c r="DC107" s="30"/>
    </row>
    <row r="108" spans="1:107" ht="15" hidden="1" customHeight="1" x14ac:dyDescent="0.2">
      <c r="A108" s="28"/>
      <c r="B108" s="28"/>
      <c r="C108" s="300"/>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50"/>
      <c r="CG108" s="246"/>
      <c r="CH108" s="249" t="b">
        <f t="shared" si="115"/>
        <v>0</v>
      </c>
      <c r="CI108" s="249" t="b">
        <f t="shared" si="116"/>
        <v>0</v>
      </c>
      <c r="CJ108" s="67" t="b">
        <f t="shared" si="117"/>
        <v>0</v>
      </c>
      <c r="CK108" s="67" t="b">
        <f t="shared" si="118"/>
        <v>0</v>
      </c>
      <c r="CL108" s="67" t="b">
        <f t="shared" si="119"/>
        <v>0</v>
      </c>
      <c r="CM108" s="67" t="b">
        <f t="shared" si="120"/>
        <v>0</v>
      </c>
      <c r="CN108" s="67" t="b">
        <f t="shared" si="121"/>
        <v>0</v>
      </c>
      <c r="CO108" s="67" t="b">
        <f t="shared" si="122"/>
        <v>0</v>
      </c>
      <c r="CP108" s="67" t="b">
        <f t="shared" si="123"/>
        <v>0</v>
      </c>
      <c r="CQ108" s="67" t="b">
        <f t="shared" si="124"/>
        <v>0</v>
      </c>
      <c r="CR108" s="67" t="b">
        <f t="shared" si="125"/>
        <v>0</v>
      </c>
      <c r="CS108" s="67" t="b">
        <f t="shared" si="126"/>
        <v>0</v>
      </c>
      <c r="CT108" s="67" t="b">
        <f t="shared" si="127"/>
        <v>0</v>
      </c>
      <c r="CU108" s="67" t="b">
        <f t="shared" si="128"/>
        <v>0</v>
      </c>
      <c r="CV108" s="67" t="b">
        <f t="shared" si="129"/>
        <v>0</v>
      </c>
      <c r="CW108" s="67" t="b">
        <f t="shared" si="130"/>
        <v>0</v>
      </c>
      <c r="CX108" s="30"/>
      <c r="CY108" s="30"/>
      <c r="CZ108" s="30"/>
      <c r="DA108" s="28"/>
      <c r="DB108" s="30"/>
      <c r="DC108" s="30"/>
    </row>
    <row r="109" spans="1:107" ht="15" hidden="1" customHeight="1" x14ac:dyDescent="0.2">
      <c r="A109" s="28"/>
      <c r="B109" s="28"/>
      <c r="C109" s="300"/>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50"/>
      <c r="CG109" s="246"/>
      <c r="CH109" s="249" t="b">
        <f t="shared" si="115"/>
        <v>0</v>
      </c>
      <c r="CI109" s="249" t="b">
        <f t="shared" si="116"/>
        <v>0</v>
      </c>
      <c r="CJ109" s="67" t="b">
        <f t="shared" si="117"/>
        <v>0</v>
      </c>
      <c r="CK109" s="67" t="b">
        <f t="shared" si="118"/>
        <v>0</v>
      </c>
      <c r="CL109" s="67" t="b">
        <f t="shared" si="119"/>
        <v>0</v>
      </c>
      <c r="CM109" s="67" t="b">
        <f t="shared" si="120"/>
        <v>0</v>
      </c>
      <c r="CN109" s="67" t="b">
        <f t="shared" si="121"/>
        <v>0</v>
      </c>
      <c r="CO109" s="67" t="b">
        <f t="shared" si="122"/>
        <v>0</v>
      </c>
      <c r="CP109" s="67" t="b">
        <f t="shared" si="123"/>
        <v>0</v>
      </c>
      <c r="CQ109" s="67" t="b">
        <f t="shared" si="124"/>
        <v>0</v>
      </c>
      <c r="CR109" s="67" t="b">
        <f t="shared" si="125"/>
        <v>0</v>
      </c>
      <c r="CS109" s="67" t="b">
        <f t="shared" si="126"/>
        <v>0</v>
      </c>
      <c r="CT109" s="67" t="b">
        <f t="shared" si="127"/>
        <v>0</v>
      </c>
      <c r="CU109" s="67" t="b">
        <f t="shared" si="128"/>
        <v>0</v>
      </c>
      <c r="CV109" s="67" t="b">
        <f t="shared" si="129"/>
        <v>0</v>
      </c>
      <c r="CW109" s="67" t="b">
        <f t="shared" si="130"/>
        <v>0</v>
      </c>
      <c r="CX109" s="30"/>
      <c r="CY109" s="30"/>
      <c r="CZ109" s="30"/>
      <c r="DA109" s="28"/>
      <c r="DB109" s="30"/>
      <c r="DC109" s="30"/>
    </row>
    <row r="110" spans="1:107" ht="15" hidden="1" customHeight="1" x14ac:dyDescent="0.2">
      <c r="A110" s="28"/>
      <c r="B110" s="28"/>
      <c r="C110" s="300"/>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50"/>
      <c r="CG110" s="246"/>
      <c r="CH110" s="249" t="b">
        <f t="shared" si="115"/>
        <v>0</v>
      </c>
      <c r="CI110" s="249" t="b">
        <f t="shared" si="116"/>
        <v>0</v>
      </c>
      <c r="CJ110" s="67" t="b">
        <f t="shared" si="117"/>
        <v>0</v>
      </c>
      <c r="CK110" s="67" t="b">
        <f t="shared" si="118"/>
        <v>0</v>
      </c>
      <c r="CL110" s="67" t="b">
        <f t="shared" si="119"/>
        <v>0</v>
      </c>
      <c r="CM110" s="67" t="b">
        <f t="shared" si="120"/>
        <v>0</v>
      </c>
      <c r="CN110" s="67" t="b">
        <f t="shared" si="121"/>
        <v>0</v>
      </c>
      <c r="CO110" s="67" t="b">
        <f t="shared" si="122"/>
        <v>0</v>
      </c>
      <c r="CP110" s="67" t="b">
        <f t="shared" si="123"/>
        <v>0</v>
      </c>
      <c r="CQ110" s="67" t="b">
        <f t="shared" si="124"/>
        <v>0</v>
      </c>
      <c r="CR110" s="67" t="b">
        <f t="shared" si="125"/>
        <v>0</v>
      </c>
      <c r="CS110" s="67" t="b">
        <f t="shared" si="126"/>
        <v>0</v>
      </c>
      <c r="CT110" s="67" t="b">
        <f t="shared" si="127"/>
        <v>0</v>
      </c>
      <c r="CU110" s="67" t="b">
        <f t="shared" si="128"/>
        <v>0</v>
      </c>
      <c r="CV110" s="67" t="b">
        <f t="shared" si="129"/>
        <v>0</v>
      </c>
      <c r="CW110" s="67" t="b">
        <f t="shared" si="130"/>
        <v>0</v>
      </c>
      <c r="CX110" s="30"/>
      <c r="CY110" s="30"/>
      <c r="CZ110" s="30"/>
      <c r="DA110" s="28"/>
      <c r="DB110" s="30"/>
      <c r="DC110" s="30"/>
    </row>
    <row r="111" spans="1:107" ht="15" hidden="1" customHeight="1" x14ac:dyDescent="0.2">
      <c r="A111" s="28"/>
      <c r="B111" s="28"/>
      <c r="C111" s="300"/>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50"/>
      <c r="CG111" s="246"/>
      <c r="CH111" s="249" t="b">
        <f t="shared" si="115"/>
        <v>0</v>
      </c>
      <c r="CI111" s="249" t="b">
        <f t="shared" si="116"/>
        <v>0</v>
      </c>
      <c r="CJ111" s="67" t="b">
        <f t="shared" si="117"/>
        <v>0</v>
      </c>
      <c r="CK111" s="67" t="b">
        <f t="shared" si="118"/>
        <v>0</v>
      </c>
      <c r="CL111" s="67" t="b">
        <f t="shared" si="119"/>
        <v>0</v>
      </c>
      <c r="CM111" s="67" t="b">
        <f t="shared" si="120"/>
        <v>0</v>
      </c>
      <c r="CN111" s="67" t="b">
        <f t="shared" si="121"/>
        <v>0</v>
      </c>
      <c r="CO111" s="67" t="b">
        <f t="shared" si="122"/>
        <v>0</v>
      </c>
      <c r="CP111" s="67" t="b">
        <f t="shared" si="123"/>
        <v>0</v>
      </c>
      <c r="CQ111" s="67" t="b">
        <f t="shared" si="124"/>
        <v>0</v>
      </c>
      <c r="CR111" s="67" t="b">
        <f t="shared" si="125"/>
        <v>0</v>
      </c>
      <c r="CS111" s="67" t="b">
        <f t="shared" si="126"/>
        <v>0</v>
      </c>
      <c r="CT111" s="67" t="b">
        <f t="shared" si="127"/>
        <v>0</v>
      </c>
      <c r="CU111" s="67" t="b">
        <f t="shared" si="128"/>
        <v>0</v>
      </c>
      <c r="CV111" s="67" t="b">
        <f t="shared" si="129"/>
        <v>0</v>
      </c>
      <c r="CW111" s="67" t="b">
        <f t="shared" si="130"/>
        <v>0</v>
      </c>
      <c r="CX111" s="30"/>
      <c r="CY111" s="30"/>
      <c r="CZ111" s="30"/>
      <c r="DA111" s="28"/>
      <c r="DB111" s="30"/>
      <c r="DC111" s="30"/>
    </row>
    <row r="112" spans="1:107" ht="15" hidden="1" customHeight="1" x14ac:dyDescent="0.2">
      <c r="A112" s="28"/>
      <c r="B112" s="28"/>
      <c r="C112" s="300"/>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50"/>
      <c r="CG112" s="246"/>
      <c r="CH112" s="249" t="b">
        <f t="shared" si="115"/>
        <v>0</v>
      </c>
      <c r="CI112" s="249" t="b">
        <f t="shared" si="116"/>
        <v>0</v>
      </c>
      <c r="CJ112" s="67" t="b">
        <f t="shared" si="117"/>
        <v>0</v>
      </c>
      <c r="CK112" s="67" t="b">
        <f t="shared" si="118"/>
        <v>0</v>
      </c>
      <c r="CL112" s="67" t="b">
        <f t="shared" si="119"/>
        <v>0</v>
      </c>
      <c r="CM112" s="67" t="b">
        <f t="shared" si="120"/>
        <v>0</v>
      </c>
      <c r="CN112" s="67" t="b">
        <f t="shared" si="121"/>
        <v>0</v>
      </c>
      <c r="CO112" s="67" t="b">
        <f t="shared" si="122"/>
        <v>0</v>
      </c>
      <c r="CP112" s="67" t="b">
        <f t="shared" si="123"/>
        <v>0</v>
      </c>
      <c r="CQ112" s="67" t="b">
        <f t="shared" si="124"/>
        <v>0</v>
      </c>
      <c r="CR112" s="67" t="b">
        <f t="shared" si="125"/>
        <v>0</v>
      </c>
      <c r="CS112" s="67" t="b">
        <f t="shared" si="126"/>
        <v>0</v>
      </c>
      <c r="CT112" s="67" t="b">
        <f t="shared" si="127"/>
        <v>0</v>
      </c>
      <c r="CU112" s="67" t="b">
        <f t="shared" si="128"/>
        <v>0</v>
      </c>
      <c r="CV112" s="67" t="b">
        <f t="shared" si="129"/>
        <v>0</v>
      </c>
      <c r="CW112" s="67" t="b">
        <f t="shared" si="130"/>
        <v>0</v>
      </c>
      <c r="CX112" s="30"/>
      <c r="CY112" s="30"/>
      <c r="CZ112" s="30"/>
      <c r="DA112" s="28"/>
      <c r="DB112" s="30"/>
      <c r="DC112" s="30"/>
    </row>
    <row r="113" spans="1:107" ht="15" hidden="1" customHeight="1" x14ac:dyDescent="0.2">
      <c r="A113" s="28"/>
      <c r="B113" s="28"/>
      <c r="C113" s="300"/>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50"/>
      <c r="CG113" s="246"/>
      <c r="CH113" s="249" t="b">
        <f t="shared" si="115"/>
        <v>0</v>
      </c>
      <c r="CI113" s="249" t="b">
        <f t="shared" si="116"/>
        <v>0</v>
      </c>
      <c r="CJ113" s="67" t="b">
        <f t="shared" si="117"/>
        <v>0</v>
      </c>
      <c r="CK113" s="67" t="b">
        <f t="shared" si="118"/>
        <v>0</v>
      </c>
      <c r="CL113" s="67" t="b">
        <f t="shared" si="119"/>
        <v>0</v>
      </c>
      <c r="CM113" s="67" t="b">
        <f t="shared" si="120"/>
        <v>0</v>
      </c>
      <c r="CN113" s="67" t="b">
        <f t="shared" si="121"/>
        <v>0</v>
      </c>
      <c r="CO113" s="67" t="b">
        <f t="shared" si="122"/>
        <v>0</v>
      </c>
      <c r="CP113" s="67" t="b">
        <f t="shared" si="123"/>
        <v>0</v>
      </c>
      <c r="CQ113" s="67" t="b">
        <f t="shared" si="124"/>
        <v>0</v>
      </c>
      <c r="CR113" s="67" t="b">
        <f t="shared" si="125"/>
        <v>0</v>
      </c>
      <c r="CS113" s="67" t="b">
        <f t="shared" si="126"/>
        <v>0</v>
      </c>
      <c r="CT113" s="67" t="b">
        <f t="shared" si="127"/>
        <v>0</v>
      </c>
      <c r="CU113" s="67" t="b">
        <f t="shared" si="128"/>
        <v>0</v>
      </c>
      <c r="CV113" s="67" t="b">
        <f t="shared" si="129"/>
        <v>0</v>
      </c>
      <c r="CW113" s="67" t="b">
        <f t="shared" si="130"/>
        <v>0</v>
      </c>
      <c r="CX113" s="30"/>
      <c r="CY113" s="30"/>
      <c r="CZ113" s="30"/>
      <c r="DA113" s="28"/>
      <c r="DB113" s="30"/>
      <c r="DC113" s="30"/>
    </row>
    <row r="114" spans="1:107" ht="15" hidden="1" customHeight="1" x14ac:dyDescent="0.2">
      <c r="A114" s="28"/>
      <c r="B114" s="28"/>
      <c r="C114" s="300"/>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50"/>
      <c r="CG114" s="246"/>
      <c r="CH114" s="249" t="b">
        <f t="shared" si="115"/>
        <v>0</v>
      </c>
      <c r="CI114" s="249" t="b">
        <f t="shared" si="116"/>
        <v>0</v>
      </c>
      <c r="CJ114" s="67" t="b">
        <f t="shared" si="117"/>
        <v>0</v>
      </c>
      <c r="CK114" s="67" t="b">
        <f t="shared" si="118"/>
        <v>0</v>
      </c>
      <c r="CL114" s="67" t="b">
        <f t="shared" si="119"/>
        <v>0</v>
      </c>
      <c r="CM114" s="67" t="b">
        <f t="shared" si="120"/>
        <v>0</v>
      </c>
      <c r="CN114" s="67" t="b">
        <f t="shared" si="121"/>
        <v>0</v>
      </c>
      <c r="CO114" s="67" t="b">
        <f t="shared" si="122"/>
        <v>0</v>
      </c>
      <c r="CP114" s="67" t="b">
        <f t="shared" si="123"/>
        <v>0</v>
      </c>
      <c r="CQ114" s="67" t="b">
        <f t="shared" si="124"/>
        <v>0</v>
      </c>
      <c r="CR114" s="67" t="b">
        <f t="shared" si="125"/>
        <v>0</v>
      </c>
      <c r="CS114" s="67" t="b">
        <f t="shared" si="126"/>
        <v>0</v>
      </c>
      <c r="CT114" s="67" t="b">
        <f t="shared" si="127"/>
        <v>0</v>
      </c>
      <c r="CU114" s="67" t="b">
        <f t="shared" si="128"/>
        <v>0</v>
      </c>
      <c r="CV114" s="67" t="b">
        <f t="shared" si="129"/>
        <v>0</v>
      </c>
      <c r="CW114" s="67" t="b">
        <f t="shared" si="130"/>
        <v>0</v>
      </c>
      <c r="CX114" s="30"/>
      <c r="CY114" s="30"/>
      <c r="CZ114" s="30"/>
      <c r="DA114" s="28"/>
      <c r="DB114" s="30"/>
      <c r="DC114" s="30"/>
    </row>
    <row r="115" spans="1:107" ht="15" hidden="1" customHeight="1" x14ac:dyDescent="0.2">
      <c r="A115" s="28"/>
      <c r="B115" s="28"/>
      <c r="C115" s="300"/>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50"/>
      <c r="CG115" s="246"/>
      <c r="CH115" s="249" t="b">
        <f t="shared" si="115"/>
        <v>0</v>
      </c>
      <c r="CI115" s="249" t="b">
        <f t="shared" si="116"/>
        <v>0</v>
      </c>
      <c r="CJ115" s="67" t="b">
        <f t="shared" si="117"/>
        <v>0</v>
      </c>
      <c r="CK115" s="67" t="b">
        <f t="shared" si="118"/>
        <v>0</v>
      </c>
      <c r="CL115" s="67" t="b">
        <f t="shared" si="119"/>
        <v>0</v>
      </c>
      <c r="CM115" s="67" t="b">
        <f t="shared" si="120"/>
        <v>0</v>
      </c>
      <c r="CN115" s="67" t="b">
        <f t="shared" si="121"/>
        <v>0</v>
      </c>
      <c r="CO115" s="67" t="b">
        <f t="shared" si="122"/>
        <v>0</v>
      </c>
      <c r="CP115" s="67" t="b">
        <f t="shared" si="123"/>
        <v>0</v>
      </c>
      <c r="CQ115" s="67" t="b">
        <f t="shared" si="124"/>
        <v>0</v>
      </c>
      <c r="CR115" s="67" t="b">
        <f t="shared" si="125"/>
        <v>0</v>
      </c>
      <c r="CS115" s="67" t="b">
        <f t="shared" si="126"/>
        <v>0</v>
      </c>
      <c r="CT115" s="67" t="b">
        <f t="shared" si="127"/>
        <v>0</v>
      </c>
      <c r="CU115" s="67" t="b">
        <f t="shared" si="128"/>
        <v>0</v>
      </c>
      <c r="CV115" s="67" t="b">
        <f t="shared" si="129"/>
        <v>0</v>
      </c>
      <c r="CW115" s="67" t="b">
        <f t="shared" si="130"/>
        <v>0</v>
      </c>
      <c r="CX115" s="30"/>
      <c r="CY115" s="30"/>
      <c r="CZ115" s="30"/>
      <c r="DA115" s="28"/>
      <c r="DB115" s="30"/>
      <c r="DC115" s="30"/>
    </row>
    <row r="116" spans="1:107" ht="15" hidden="1" customHeight="1" x14ac:dyDescent="0.2">
      <c r="A116" s="28"/>
      <c r="B116" s="28"/>
      <c r="C116" s="300"/>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50"/>
      <c r="CG116" s="246"/>
      <c r="CH116" s="249" t="b">
        <f t="shared" si="115"/>
        <v>0</v>
      </c>
      <c r="CI116" s="249" t="b">
        <f t="shared" si="116"/>
        <v>0</v>
      </c>
      <c r="CJ116" s="67" t="b">
        <f t="shared" si="117"/>
        <v>0</v>
      </c>
      <c r="CK116" s="67" t="b">
        <f t="shared" si="118"/>
        <v>0</v>
      </c>
      <c r="CL116" s="67" t="b">
        <f t="shared" si="119"/>
        <v>0</v>
      </c>
      <c r="CM116" s="67" t="b">
        <f t="shared" si="120"/>
        <v>0</v>
      </c>
      <c r="CN116" s="67" t="b">
        <f t="shared" si="121"/>
        <v>0</v>
      </c>
      <c r="CO116" s="67" t="b">
        <f t="shared" si="122"/>
        <v>0</v>
      </c>
      <c r="CP116" s="67" t="b">
        <f t="shared" si="123"/>
        <v>0</v>
      </c>
      <c r="CQ116" s="67" t="b">
        <f t="shared" si="124"/>
        <v>0</v>
      </c>
      <c r="CR116" s="67" t="b">
        <f t="shared" si="125"/>
        <v>0</v>
      </c>
      <c r="CS116" s="67" t="b">
        <f t="shared" si="126"/>
        <v>0</v>
      </c>
      <c r="CT116" s="67" t="b">
        <f t="shared" si="127"/>
        <v>0</v>
      </c>
      <c r="CU116" s="67" t="b">
        <f t="shared" si="128"/>
        <v>0</v>
      </c>
      <c r="CV116" s="67" t="b">
        <f t="shared" si="129"/>
        <v>0</v>
      </c>
      <c r="CW116" s="67" t="b">
        <f t="shared" si="130"/>
        <v>0</v>
      </c>
      <c r="CX116" s="30"/>
      <c r="CY116" s="30"/>
      <c r="CZ116" s="30"/>
      <c r="DA116" s="28"/>
      <c r="DB116" s="30"/>
      <c r="DC116" s="30"/>
    </row>
    <row r="117" spans="1:107" ht="15" hidden="1" customHeight="1" x14ac:dyDescent="0.2">
      <c r="A117" s="28"/>
      <c r="B117" s="28"/>
      <c r="C117" s="300"/>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50"/>
      <c r="CG117" s="246"/>
      <c r="CH117" s="249" t="b">
        <f t="shared" si="115"/>
        <v>0</v>
      </c>
      <c r="CI117" s="249" t="b">
        <f t="shared" si="116"/>
        <v>0</v>
      </c>
      <c r="CJ117" s="67" t="b">
        <f t="shared" si="117"/>
        <v>0</v>
      </c>
      <c r="CK117" s="67" t="b">
        <f t="shared" si="118"/>
        <v>0</v>
      </c>
      <c r="CL117" s="67" t="b">
        <f t="shared" si="119"/>
        <v>0</v>
      </c>
      <c r="CM117" s="67" t="b">
        <f t="shared" si="120"/>
        <v>0</v>
      </c>
      <c r="CN117" s="67" t="b">
        <f t="shared" si="121"/>
        <v>0</v>
      </c>
      <c r="CO117" s="67" t="b">
        <f t="shared" si="122"/>
        <v>0</v>
      </c>
      <c r="CP117" s="67" t="b">
        <f t="shared" si="123"/>
        <v>0</v>
      </c>
      <c r="CQ117" s="67" t="b">
        <f t="shared" si="124"/>
        <v>0</v>
      </c>
      <c r="CR117" s="67" t="b">
        <f t="shared" si="125"/>
        <v>0</v>
      </c>
      <c r="CS117" s="67" t="b">
        <f t="shared" si="126"/>
        <v>0</v>
      </c>
      <c r="CT117" s="67" t="b">
        <f t="shared" si="127"/>
        <v>0</v>
      </c>
      <c r="CU117" s="67" t="b">
        <f t="shared" si="128"/>
        <v>0</v>
      </c>
      <c r="CV117" s="67" t="b">
        <f t="shared" si="129"/>
        <v>0</v>
      </c>
      <c r="CW117" s="67" t="b">
        <f t="shared" si="130"/>
        <v>0</v>
      </c>
      <c r="CX117" s="30"/>
      <c r="CY117" s="30"/>
      <c r="CZ117" s="30"/>
      <c r="DA117" s="28"/>
      <c r="DB117" s="30"/>
      <c r="DC117" s="30"/>
    </row>
    <row r="118" spans="1:107" ht="15" hidden="1" customHeight="1" x14ac:dyDescent="0.2">
      <c r="A118" s="28"/>
      <c r="B118" s="28"/>
      <c r="C118" s="300"/>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50"/>
      <c r="CG118" s="246"/>
      <c r="CH118" s="249" t="b">
        <f t="shared" si="115"/>
        <v>0</v>
      </c>
      <c r="CI118" s="249" t="b">
        <f t="shared" si="116"/>
        <v>0</v>
      </c>
      <c r="CJ118" s="67" t="b">
        <f t="shared" si="117"/>
        <v>0</v>
      </c>
      <c r="CK118" s="67" t="b">
        <f t="shared" si="118"/>
        <v>0</v>
      </c>
      <c r="CL118" s="67" t="b">
        <f t="shared" si="119"/>
        <v>0</v>
      </c>
      <c r="CM118" s="67" t="b">
        <f t="shared" si="120"/>
        <v>0</v>
      </c>
      <c r="CN118" s="67" t="b">
        <f t="shared" si="121"/>
        <v>0</v>
      </c>
      <c r="CO118" s="67" t="b">
        <f t="shared" si="122"/>
        <v>0</v>
      </c>
      <c r="CP118" s="67" t="b">
        <f t="shared" si="123"/>
        <v>0</v>
      </c>
      <c r="CQ118" s="67" t="b">
        <f t="shared" si="124"/>
        <v>0</v>
      </c>
      <c r="CR118" s="67" t="b">
        <f t="shared" si="125"/>
        <v>0</v>
      </c>
      <c r="CS118" s="67" t="b">
        <f t="shared" si="126"/>
        <v>0</v>
      </c>
      <c r="CT118" s="67" t="b">
        <f t="shared" si="127"/>
        <v>0</v>
      </c>
      <c r="CU118" s="67" t="b">
        <f t="shared" si="128"/>
        <v>0</v>
      </c>
      <c r="CV118" s="67" t="b">
        <f t="shared" si="129"/>
        <v>0</v>
      </c>
      <c r="CW118" s="67" t="b">
        <f t="shared" si="130"/>
        <v>0</v>
      </c>
      <c r="CX118" s="30"/>
      <c r="CY118" s="30"/>
      <c r="CZ118" s="30"/>
      <c r="DA118" s="28"/>
      <c r="DB118" s="30"/>
      <c r="DC118" s="30"/>
    </row>
    <row r="119" spans="1:107" ht="15" hidden="1" customHeight="1" x14ac:dyDescent="0.2">
      <c r="A119" s="28"/>
      <c r="B119" s="28"/>
      <c r="C119" s="300"/>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50"/>
      <c r="CG119" s="246"/>
      <c r="CH119" s="249" t="b">
        <f t="shared" si="115"/>
        <v>0</v>
      </c>
      <c r="CI119" s="249" t="b">
        <f t="shared" si="116"/>
        <v>0</v>
      </c>
      <c r="CJ119" s="67" t="b">
        <f t="shared" si="117"/>
        <v>0</v>
      </c>
      <c r="CK119" s="67" t="b">
        <f t="shared" si="118"/>
        <v>0</v>
      </c>
      <c r="CL119" s="67" t="b">
        <f t="shared" si="119"/>
        <v>0</v>
      </c>
      <c r="CM119" s="67" t="b">
        <f t="shared" si="120"/>
        <v>0</v>
      </c>
      <c r="CN119" s="67" t="b">
        <f t="shared" si="121"/>
        <v>0</v>
      </c>
      <c r="CO119" s="67" t="b">
        <f t="shared" si="122"/>
        <v>0</v>
      </c>
      <c r="CP119" s="67" t="b">
        <f t="shared" si="123"/>
        <v>0</v>
      </c>
      <c r="CQ119" s="67" t="b">
        <f t="shared" si="124"/>
        <v>0</v>
      </c>
      <c r="CR119" s="67" t="b">
        <f t="shared" si="125"/>
        <v>0</v>
      </c>
      <c r="CS119" s="67" t="b">
        <f t="shared" si="126"/>
        <v>0</v>
      </c>
      <c r="CT119" s="67" t="b">
        <f t="shared" si="127"/>
        <v>0</v>
      </c>
      <c r="CU119" s="67" t="b">
        <f t="shared" si="128"/>
        <v>0</v>
      </c>
      <c r="CV119" s="67" t="b">
        <f t="shared" si="129"/>
        <v>0</v>
      </c>
      <c r="CW119" s="67" t="b">
        <f t="shared" si="130"/>
        <v>0</v>
      </c>
      <c r="CX119" s="30"/>
      <c r="CY119" s="30"/>
      <c r="CZ119" s="30"/>
      <c r="DA119" s="28"/>
      <c r="DB119" s="30"/>
      <c r="DC119" s="30"/>
    </row>
    <row r="120" spans="1:107" ht="15" hidden="1" customHeight="1" x14ac:dyDescent="0.2">
      <c r="A120" s="28"/>
      <c r="B120" s="28"/>
      <c r="C120" s="300"/>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50"/>
      <c r="CG120" s="246"/>
      <c r="CH120" s="249" t="b">
        <f t="shared" si="115"/>
        <v>0</v>
      </c>
      <c r="CI120" s="249" t="b">
        <f t="shared" si="116"/>
        <v>0</v>
      </c>
      <c r="CJ120" s="67" t="b">
        <f t="shared" si="117"/>
        <v>0</v>
      </c>
      <c r="CK120" s="67" t="b">
        <f t="shared" si="118"/>
        <v>0</v>
      </c>
      <c r="CL120" s="67" t="b">
        <f t="shared" si="119"/>
        <v>0</v>
      </c>
      <c r="CM120" s="67" t="b">
        <f t="shared" si="120"/>
        <v>0</v>
      </c>
      <c r="CN120" s="67" t="b">
        <f t="shared" si="121"/>
        <v>0</v>
      </c>
      <c r="CO120" s="67" t="b">
        <f t="shared" si="122"/>
        <v>0</v>
      </c>
      <c r="CP120" s="67" t="b">
        <f t="shared" si="123"/>
        <v>0</v>
      </c>
      <c r="CQ120" s="67" t="b">
        <f t="shared" si="124"/>
        <v>0</v>
      </c>
      <c r="CR120" s="67" t="b">
        <f t="shared" si="125"/>
        <v>0</v>
      </c>
      <c r="CS120" s="67" t="b">
        <f t="shared" si="126"/>
        <v>0</v>
      </c>
      <c r="CT120" s="67" t="b">
        <f t="shared" si="127"/>
        <v>0</v>
      </c>
      <c r="CU120" s="67" t="b">
        <f t="shared" si="128"/>
        <v>0</v>
      </c>
      <c r="CV120" s="67" t="b">
        <f t="shared" si="129"/>
        <v>0</v>
      </c>
      <c r="CW120" s="67" t="b">
        <f t="shared" si="130"/>
        <v>0</v>
      </c>
      <c r="CX120" s="30"/>
      <c r="CY120" s="30"/>
      <c r="CZ120" s="30"/>
      <c r="DA120" s="28"/>
      <c r="DB120" s="30"/>
      <c r="DC120" s="30"/>
    </row>
    <row r="121" spans="1:107" ht="15" hidden="1" customHeight="1" x14ac:dyDescent="0.2">
      <c r="A121" s="28"/>
      <c r="B121" s="28"/>
      <c r="C121" s="300"/>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50"/>
      <c r="CG121" s="246"/>
      <c r="CH121" s="249" t="b">
        <f t="shared" si="115"/>
        <v>0</v>
      </c>
      <c r="CI121" s="249" t="b">
        <f t="shared" si="116"/>
        <v>0</v>
      </c>
      <c r="CJ121" s="67" t="b">
        <f t="shared" si="117"/>
        <v>0</v>
      </c>
      <c r="CK121" s="67" t="b">
        <f t="shared" si="118"/>
        <v>0</v>
      </c>
      <c r="CL121" s="67" t="b">
        <f t="shared" si="119"/>
        <v>0</v>
      </c>
      <c r="CM121" s="67" t="b">
        <f t="shared" si="120"/>
        <v>0</v>
      </c>
      <c r="CN121" s="67" t="b">
        <f t="shared" si="121"/>
        <v>0</v>
      </c>
      <c r="CO121" s="67" t="b">
        <f t="shared" si="122"/>
        <v>0</v>
      </c>
      <c r="CP121" s="67" t="b">
        <f t="shared" si="123"/>
        <v>0</v>
      </c>
      <c r="CQ121" s="67" t="b">
        <f t="shared" si="124"/>
        <v>0</v>
      </c>
      <c r="CR121" s="67" t="b">
        <f t="shared" si="125"/>
        <v>0</v>
      </c>
      <c r="CS121" s="67" t="b">
        <f t="shared" si="126"/>
        <v>0</v>
      </c>
      <c r="CT121" s="67" t="b">
        <f t="shared" si="127"/>
        <v>0</v>
      </c>
      <c r="CU121" s="67" t="b">
        <f t="shared" si="128"/>
        <v>0</v>
      </c>
      <c r="CV121" s="67" t="b">
        <f t="shared" si="129"/>
        <v>0</v>
      </c>
      <c r="CW121" s="67" t="b">
        <f t="shared" si="130"/>
        <v>0</v>
      </c>
      <c r="CX121" s="30"/>
      <c r="CY121" s="30"/>
      <c r="CZ121" s="30"/>
      <c r="DA121" s="28"/>
      <c r="DB121" s="30"/>
      <c r="DC121" s="30"/>
    </row>
    <row r="122" spans="1:107" ht="15" hidden="1" customHeight="1" x14ac:dyDescent="0.2">
      <c r="A122" s="28"/>
      <c r="B122" s="28"/>
      <c r="C122" s="300"/>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50"/>
      <c r="CG122" s="246"/>
      <c r="CH122" s="249" t="b">
        <f t="shared" si="115"/>
        <v>0</v>
      </c>
      <c r="CI122" s="249" t="b">
        <f t="shared" si="116"/>
        <v>0</v>
      </c>
      <c r="CJ122" s="67" t="b">
        <f t="shared" si="117"/>
        <v>0</v>
      </c>
      <c r="CK122" s="67" t="b">
        <f t="shared" si="118"/>
        <v>0</v>
      </c>
      <c r="CL122" s="67" t="b">
        <f t="shared" si="119"/>
        <v>0</v>
      </c>
      <c r="CM122" s="67" t="b">
        <f t="shared" si="120"/>
        <v>0</v>
      </c>
      <c r="CN122" s="67" t="b">
        <f t="shared" si="121"/>
        <v>0</v>
      </c>
      <c r="CO122" s="67" t="b">
        <f t="shared" si="122"/>
        <v>0</v>
      </c>
      <c r="CP122" s="67" t="b">
        <f t="shared" si="123"/>
        <v>0</v>
      </c>
      <c r="CQ122" s="67" t="b">
        <f t="shared" si="124"/>
        <v>0</v>
      </c>
      <c r="CR122" s="67" t="b">
        <f t="shared" si="125"/>
        <v>0</v>
      </c>
      <c r="CS122" s="67" t="b">
        <f t="shared" si="126"/>
        <v>0</v>
      </c>
      <c r="CT122" s="67" t="b">
        <f t="shared" si="127"/>
        <v>0</v>
      </c>
      <c r="CU122" s="67" t="b">
        <f t="shared" si="128"/>
        <v>0</v>
      </c>
      <c r="CV122" s="67" t="b">
        <f t="shared" si="129"/>
        <v>0</v>
      </c>
      <c r="CW122" s="67" t="b">
        <f t="shared" si="130"/>
        <v>0</v>
      </c>
      <c r="CX122" s="30"/>
      <c r="CY122" s="30"/>
      <c r="CZ122" s="30"/>
      <c r="DA122" s="28"/>
      <c r="DB122" s="30"/>
      <c r="DC122" s="30"/>
    </row>
    <row r="123" spans="1:107" ht="15" hidden="1" customHeight="1" x14ac:dyDescent="0.2">
      <c r="A123" s="28"/>
      <c r="B123" s="28"/>
      <c r="C123" s="300"/>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50"/>
      <c r="CG123" s="246"/>
      <c r="CH123" s="249" t="b">
        <f t="shared" si="115"/>
        <v>0</v>
      </c>
      <c r="CI123" s="249" t="b">
        <f t="shared" si="116"/>
        <v>0</v>
      </c>
      <c r="CJ123" s="67" t="b">
        <f t="shared" si="117"/>
        <v>0</v>
      </c>
      <c r="CK123" s="67" t="b">
        <f t="shared" si="118"/>
        <v>0</v>
      </c>
      <c r="CL123" s="67" t="b">
        <f t="shared" si="119"/>
        <v>0</v>
      </c>
      <c r="CM123" s="67" t="b">
        <f t="shared" si="120"/>
        <v>0</v>
      </c>
      <c r="CN123" s="67" t="b">
        <f t="shared" si="121"/>
        <v>0</v>
      </c>
      <c r="CO123" s="67" t="b">
        <f t="shared" si="122"/>
        <v>0</v>
      </c>
      <c r="CP123" s="67" t="b">
        <f t="shared" si="123"/>
        <v>0</v>
      </c>
      <c r="CQ123" s="67" t="b">
        <f t="shared" si="124"/>
        <v>0</v>
      </c>
      <c r="CR123" s="67" t="b">
        <f t="shared" si="125"/>
        <v>0</v>
      </c>
      <c r="CS123" s="67" t="b">
        <f t="shared" si="126"/>
        <v>0</v>
      </c>
      <c r="CT123" s="67" t="b">
        <f t="shared" si="127"/>
        <v>0</v>
      </c>
      <c r="CU123" s="67" t="b">
        <f t="shared" si="128"/>
        <v>0</v>
      </c>
      <c r="CV123" s="67" t="b">
        <f t="shared" si="129"/>
        <v>0</v>
      </c>
      <c r="CW123" s="67" t="b">
        <f t="shared" si="130"/>
        <v>0</v>
      </c>
      <c r="CX123" s="30"/>
      <c r="CY123" s="30"/>
      <c r="CZ123" s="30"/>
      <c r="DA123" s="28"/>
      <c r="DB123" s="30"/>
      <c r="DC123" s="30"/>
    </row>
    <row r="124" spans="1:107" ht="15" hidden="1" customHeight="1" x14ac:dyDescent="0.2">
      <c r="A124" s="28"/>
      <c r="B124" s="28"/>
      <c r="C124" s="300"/>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50"/>
      <c r="CG124" s="246"/>
      <c r="CH124" s="249" t="b">
        <f t="shared" si="115"/>
        <v>0</v>
      </c>
      <c r="CI124" s="249" t="b">
        <f t="shared" si="116"/>
        <v>0</v>
      </c>
      <c r="CJ124" s="67" t="b">
        <f t="shared" si="117"/>
        <v>0</v>
      </c>
      <c r="CK124" s="67" t="b">
        <f t="shared" si="118"/>
        <v>0</v>
      </c>
      <c r="CL124" s="67" t="b">
        <f t="shared" si="119"/>
        <v>0</v>
      </c>
      <c r="CM124" s="67" t="b">
        <f t="shared" si="120"/>
        <v>0</v>
      </c>
      <c r="CN124" s="67" t="b">
        <f t="shared" si="121"/>
        <v>0</v>
      </c>
      <c r="CO124" s="67" t="b">
        <f t="shared" si="122"/>
        <v>0</v>
      </c>
      <c r="CP124" s="67" t="b">
        <f t="shared" si="123"/>
        <v>0</v>
      </c>
      <c r="CQ124" s="67" t="b">
        <f t="shared" si="124"/>
        <v>0</v>
      </c>
      <c r="CR124" s="67" t="b">
        <f t="shared" si="125"/>
        <v>0</v>
      </c>
      <c r="CS124" s="67" t="b">
        <f t="shared" si="126"/>
        <v>0</v>
      </c>
      <c r="CT124" s="67" t="b">
        <f t="shared" si="127"/>
        <v>0</v>
      </c>
      <c r="CU124" s="67" t="b">
        <f t="shared" si="128"/>
        <v>0</v>
      </c>
      <c r="CV124" s="67" t="b">
        <f t="shared" si="129"/>
        <v>0</v>
      </c>
      <c r="CW124" s="67" t="b">
        <f t="shared" si="130"/>
        <v>0</v>
      </c>
      <c r="CX124" s="30"/>
      <c r="CY124" s="30"/>
      <c r="CZ124" s="30"/>
      <c r="DA124" s="28"/>
      <c r="DB124" s="30"/>
      <c r="DC124" s="30"/>
    </row>
    <row r="125" spans="1:107" ht="15" hidden="1" customHeight="1" x14ac:dyDescent="0.2">
      <c r="A125" s="28"/>
      <c r="B125" s="28"/>
      <c r="C125" s="300"/>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6"/>
      <c r="CG125" s="246"/>
      <c r="CH125" s="249" t="b">
        <f t="shared" si="115"/>
        <v>0</v>
      </c>
      <c r="CI125" s="249" t="b">
        <f t="shared" si="116"/>
        <v>0</v>
      </c>
      <c r="CJ125" s="67" t="b">
        <f t="shared" si="117"/>
        <v>0</v>
      </c>
      <c r="CK125" s="67" t="b">
        <f t="shared" si="118"/>
        <v>0</v>
      </c>
      <c r="CL125" s="67" t="b">
        <f t="shared" si="119"/>
        <v>0</v>
      </c>
      <c r="CM125" s="67" t="b">
        <f t="shared" si="120"/>
        <v>0</v>
      </c>
      <c r="CN125" s="67" t="b">
        <f t="shared" si="121"/>
        <v>0</v>
      </c>
      <c r="CO125" s="67" t="b">
        <f t="shared" si="122"/>
        <v>0</v>
      </c>
      <c r="CP125" s="67" t="b">
        <f t="shared" si="123"/>
        <v>0</v>
      </c>
      <c r="CQ125" s="67" t="b">
        <f t="shared" si="124"/>
        <v>0</v>
      </c>
      <c r="CR125" s="67" t="b">
        <f t="shared" si="125"/>
        <v>0</v>
      </c>
      <c r="CS125" s="67" t="b">
        <f t="shared" si="126"/>
        <v>0</v>
      </c>
      <c r="CT125" s="67" t="b">
        <f t="shared" si="127"/>
        <v>0</v>
      </c>
      <c r="CU125" s="67" t="b">
        <f t="shared" si="128"/>
        <v>0</v>
      </c>
      <c r="CV125" s="67" t="b">
        <f t="shared" si="129"/>
        <v>0</v>
      </c>
      <c r="CW125" s="67" t="b">
        <f t="shared" si="130"/>
        <v>0</v>
      </c>
      <c r="CX125" s="30"/>
      <c r="CY125" s="30"/>
      <c r="CZ125" s="30"/>
      <c r="DA125" s="28"/>
      <c r="DB125" s="30"/>
      <c r="DC125" s="30"/>
    </row>
    <row r="126" spans="1:107" ht="15" hidden="1" customHeight="1" x14ac:dyDescent="0.2">
      <c r="A126" s="28"/>
      <c r="B126" s="28"/>
      <c r="C126" s="300"/>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6"/>
      <c r="CG126" s="246"/>
      <c r="CH126" s="249" t="b">
        <f t="shared" si="115"/>
        <v>0</v>
      </c>
      <c r="CI126" s="249" t="b">
        <f t="shared" si="116"/>
        <v>0</v>
      </c>
      <c r="CJ126" s="67" t="b">
        <f t="shared" si="117"/>
        <v>0</v>
      </c>
      <c r="CK126" s="67" t="b">
        <f t="shared" si="118"/>
        <v>0</v>
      </c>
      <c r="CL126" s="67" t="b">
        <f t="shared" si="119"/>
        <v>0</v>
      </c>
      <c r="CM126" s="67" t="b">
        <f t="shared" si="120"/>
        <v>0</v>
      </c>
      <c r="CN126" s="67" t="b">
        <f t="shared" si="121"/>
        <v>0</v>
      </c>
      <c r="CO126" s="67" t="b">
        <f t="shared" si="122"/>
        <v>0</v>
      </c>
      <c r="CP126" s="67" t="b">
        <f t="shared" si="123"/>
        <v>0</v>
      </c>
      <c r="CQ126" s="67" t="b">
        <f t="shared" si="124"/>
        <v>0</v>
      </c>
      <c r="CR126" s="67" t="b">
        <f t="shared" si="125"/>
        <v>0</v>
      </c>
      <c r="CS126" s="67" t="b">
        <f t="shared" si="126"/>
        <v>0</v>
      </c>
      <c r="CT126" s="67" t="b">
        <f t="shared" si="127"/>
        <v>0</v>
      </c>
      <c r="CU126" s="67" t="b">
        <f t="shared" si="128"/>
        <v>0</v>
      </c>
      <c r="CV126" s="67" t="b">
        <f t="shared" si="129"/>
        <v>0</v>
      </c>
      <c r="CW126" s="28"/>
      <c r="CX126" s="28" t="b">
        <f t="shared" ref="CX126:CX143" si="199">IFERROR((IF($CP$57="M",BX126,IF($CP$57="PM",BZ126,IF($CP$57="P",BV126,IF($CP$57="FULL",BT126))))),"")</f>
        <v>0</v>
      </c>
      <c r="CY126" s="28"/>
      <c r="CZ126" s="28" t="b">
        <f t="shared" ref="CZ126:CZ143" si="200">IFERROR((IF($CQ$57="M",BX126,IF($CQ$57="PM",BZ126,IF($CQ$57="P",BV126,IF($CQ$57="FULL",BT126))))),"")</f>
        <v>0</v>
      </c>
      <c r="DA126" s="28"/>
      <c r="DB126" s="28" t="b">
        <f t="shared" ref="DB126:DB143" si="201">IFERROR((IF($CR$57="M",BX126,IF($CR$57="PM",BZ126,IF($CR$57="P",BV126,IF($CR$57="FULL",BT126))))),"")</f>
        <v>0</v>
      </c>
      <c r="DC126" s="28"/>
    </row>
    <row r="127" spans="1:107" ht="15" hidden="1" customHeight="1" x14ac:dyDescent="0.2">
      <c r="A127" s="28"/>
      <c r="B127" s="28"/>
      <c r="C127" s="300"/>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6"/>
      <c r="CG127" s="246"/>
      <c r="CH127" s="249" t="b">
        <f t="shared" si="115"/>
        <v>0</v>
      </c>
      <c r="CI127" s="249" t="b">
        <f t="shared" si="116"/>
        <v>0</v>
      </c>
      <c r="CJ127" s="67" t="b">
        <f t="shared" si="117"/>
        <v>0</v>
      </c>
      <c r="CK127" s="67" t="b">
        <f t="shared" si="118"/>
        <v>0</v>
      </c>
      <c r="CL127" s="67" t="b">
        <f t="shared" si="119"/>
        <v>0</v>
      </c>
      <c r="CM127" s="67" t="b">
        <f t="shared" si="120"/>
        <v>0</v>
      </c>
      <c r="CN127" s="67" t="b">
        <f t="shared" si="121"/>
        <v>0</v>
      </c>
      <c r="CO127" s="67" t="b">
        <f t="shared" si="122"/>
        <v>0</v>
      </c>
      <c r="CP127" s="67" t="b">
        <f t="shared" si="123"/>
        <v>0</v>
      </c>
      <c r="CQ127" s="67" t="b">
        <f t="shared" si="124"/>
        <v>0</v>
      </c>
      <c r="CR127" s="67" t="b">
        <f t="shared" si="125"/>
        <v>0</v>
      </c>
      <c r="CS127" s="67" t="b">
        <f t="shared" si="126"/>
        <v>0</v>
      </c>
      <c r="CT127" s="67" t="b">
        <f t="shared" si="127"/>
        <v>0</v>
      </c>
      <c r="CU127" s="67" t="b">
        <f t="shared" si="128"/>
        <v>0</v>
      </c>
      <c r="CV127" s="67" t="b">
        <f t="shared" si="129"/>
        <v>0</v>
      </c>
      <c r="CW127" s="28"/>
      <c r="CX127" s="28" t="b">
        <f t="shared" si="199"/>
        <v>0</v>
      </c>
      <c r="CY127" s="28"/>
      <c r="CZ127" s="28" t="b">
        <f t="shared" si="200"/>
        <v>0</v>
      </c>
      <c r="DA127" s="28"/>
      <c r="DB127" s="28" t="b">
        <f t="shared" si="201"/>
        <v>0</v>
      </c>
      <c r="DC127" s="28"/>
    </row>
    <row r="128" spans="1:107" ht="15" hidden="1" customHeight="1" x14ac:dyDescent="0.2">
      <c r="A128" s="28"/>
      <c r="B128" s="28"/>
      <c r="C128" s="300"/>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6"/>
      <c r="CG128" s="246"/>
      <c r="CH128" s="249" t="b">
        <f t="shared" si="115"/>
        <v>0</v>
      </c>
      <c r="CI128" s="249" t="b">
        <f t="shared" si="116"/>
        <v>0</v>
      </c>
      <c r="CJ128" s="67" t="b">
        <f t="shared" si="117"/>
        <v>0</v>
      </c>
      <c r="CK128" s="67" t="b">
        <f t="shared" si="118"/>
        <v>0</v>
      </c>
      <c r="CL128" s="67" t="b">
        <f t="shared" si="119"/>
        <v>0</v>
      </c>
      <c r="CM128" s="67" t="b">
        <f t="shared" si="120"/>
        <v>0</v>
      </c>
      <c r="CN128" s="67" t="b">
        <f t="shared" si="121"/>
        <v>0</v>
      </c>
      <c r="CO128" s="67" t="b">
        <f t="shared" si="122"/>
        <v>0</v>
      </c>
      <c r="CP128" s="67" t="b">
        <f t="shared" si="123"/>
        <v>0</v>
      </c>
      <c r="CQ128" s="67" t="b">
        <f t="shared" si="124"/>
        <v>0</v>
      </c>
      <c r="CR128" s="67" t="b">
        <f t="shared" si="125"/>
        <v>0</v>
      </c>
      <c r="CS128" s="67" t="b">
        <f t="shared" si="126"/>
        <v>0</v>
      </c>
      <c r="CT128" s="67" t="b">
        <f t="shared" si="127"/>
        <v>0</v>
      </c>
      <c r="CU128" s="67" t="b">
        <f t="shared" si="128"/>
        <v>0</v>
      </c>
      <c r="CV128" s="67" t="b">
        <f t="shared" si="129"/>
        <v>0</v>
      </c>
      <c r="CW128" s="28"/>
      <c r="CX128" s="28" t="b">
        <f t="shared" si="199"/>
        <v>0</v>
      </c>
      <c r="CY128" s="28"/>
      <c r="CZ128" s="28" t="b">
        <f t="shared" si="200"/>
        <v>0</v>
      </c>
      <c r="DA128" s="28"/>
      <c r="DB128" s="28" t="b">
        <f t="shared" si="201"/>
        <v>0</v>
      </c>
      <c r="DC128" s="28"/>
    </row>
    <row r="129" spans="1:107" ht="15" hidden="1" customHeight="1" x14ac:dyDescent="0.2">
      <c r="A129" s="28"/>
      <c r="B129" s="28"/>
      <c r="C129" s="300"/>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6"/>
      <c r="CG129" s="246"/>
      <c r="CH129" s="249" t="b">
        <f t="shared" si="115"/>
        <v>0</v>
      </c>
      <c r="CI129" s="249" t="b">
        <f t="shared" si="116"/>
        <v>0</v>
      </c>
      <c r="CJ129" s="67" t="b">
        <f t="shared" si="117"/>
        <v>0</v>
      </c>
      <c r="CK129" s="67" t="b">
        <f t="shared" si="118"/>
        <v>0</v>
      </c>
      <c r="CL129" s="67" t="b">
        <f t="shared" si="119"/>
        <v>0</v>
      </c>
      <c r="CM129" s="67" t="b">
        <f t="shared" si="120"/>
        <v>0</v>
      </c>
      <c r="CN129" s="67" t="b">
        <f t="shared" si="121"/>
        <v>0</v>
      </c>
      <c r="CO129" s="67" t="b">
        <f t="shared" si="122"/>
        <v>0</v>
      </c>
      <c r="CP129" s="67" t="b">
        <f t="shared" si="123"/>
        <v>0</v>
      </c>
      <c r="CQ129" s="67" t="b">
        <f t="shared" si="124"/>
        <v>0</v>
      </c>
      <c r="CR129" s="67" t="b">
        <f t="shared" si="125"/>
        <v>0</v>
      </c>
      <c r="CS129" s="67" t="b">
        <f t="shared" si="126"/>
        <v>0</v>
      </c>
      <c r="CT129" s="67" t="b">
        <f t="shared" si="127"/>
        <v>0</v>
      </c>
      <c r="CU129" s="67" t="b">
        <f t="shared" si="128"/>
        <v>0</v>
      </c>
      <c r="CV129" s="67" t="b">
        <f t="shared" si="129"/>
        <v>0</v>
      </c>
      <c r="CW129" s="28"/>
      <c r="CX129" s="28" t="b">
        <f t="shared" si="199"/>
        <v>0</v>
      </c>
      <c r="CY129" s="28"/>
      <c r="CZ129" s="28" t="b">
        <f t="shared" si="200"/>
        <v>0</v>
      </c>
      <c r="DA129" s="28"/>
      <c r="DB129" s="28" t="b">
        <f t="shared" si="201"/>
        <v>0</v>
      </c>
      <c r="DC129" s="28"/>
    </row>
    <row r="130" spans="1:107" ht="15" hidden="1" customHeight="1" x14ac:dyDescent="0.2">
      <c r="A130" s="28"/>
      <c r="B130" s="28"/>
      <c r="C130" s="300"/>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6"/>
      <c r="CG130" s="246"/>
      <c r="CH130" s="249" t="b">
        <f t="shared" si="115"/>
        <v>0</v>
      </c>
      <c r="CI130" s="249" t="b">
        <f t="shared" si="116"/>
        <v>0</v>
      </c>
      <c r="CJ130" s="67" t="b">
        <f t="shared" si="117"/>
        <v>0</v>
      </c>
      <c r="CK130" s="67" t="b">
        <f t="shared" si="118"/>
        <v>0</v>
      </c>
      <c r="CL130" s="67" t="b">
        <f t="shared" si="119"/>
        <v>0</v>
      </c>
      <c r="CM130" s="67" t="b">
        <f t="shared" si="120"/>
        <v>0</v>
      </c>
      <c r="CN130" s="67" t="b">
        <f t="shared" si="121"/>
        <v>0</v>
      </c>
      <c r="CO130" s="67" t="b">
        <f t="shared" si="122"/>
        <v>0</v>
      </c>
      <c r="CP130" s="67" t="b">
        <f t="shared" si="123"/>
        <v>0</v>
      </c>
      <c r="CQ130" s="67" t="b">
        <f t="shared" si="124"/>
        <v>0</v>
      </c>
      <c r="CR130" s="67" t="b">
        <f t="shared" si="125"/>
        <v>0</v>
      </c>
      <c r="CS130" s="67" t="b">
        <f t="shared" si="126"/>
        <v>0</v>
      </c>
      <c r="CT130" s="67" t="b">
        <f t="shared" si="127"/>
        <v>0</v>
      </c>
      <c r="CU130" s="67" t="b">
        <f t="shared" si="128"/>
        <v>0</v>
      </c>
      <c r="CV130" s="67" t="b">
        <f t="shared" si="129"/>
        <v>0</v>
      </c>
      <c r="CW130" s="28"/>
      <c r="CX130" s="28" t="b">
        <f t="shared" si="199"/>
        <v>0</v>
      </c>
      <c r="CY130" s="28"/>
      <c r="CZ130" s="28" t="b">
        <f t="shared" si="200"/>
        <v>0</v>
      </c>
      <c r="DA130" s="28"/>
      <c r="DB130" s="28" t="b">
        <f t="shared" si="201"/>
        <v>0</v>
      </c>
      <c r="DC130" s="28"/>
    </row>
    <row r="131" spans="1:107" ht="15" hidden="1" customHeight="1" x14ac:dyDescent="0.2">
      <c r="A131" s="28"/>
      <c r="B131" s="28"/>
      <c r="C131" s="300"/>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6"/>
      <c r="CG131" s="246"/>
      <c r="CH131" s="249" t="b">
        <f t="shared" si="115"/>
        <v>0</v>
      </c>
      <c r="CI131" s="249" t="b">
        <f t="shared" si="116"/>
        <v>0</v>
      </c>
      <c r="CJ131" s="67" t="b">
        <f t="shared" si="117"/>
        <v>0</v>
      </c>
      <c r="CK131" s="67" t="b">
        <f t="shared" si="118"/>
        <v>0</v>
      </c>
      <c r="CL131" s="67" t="b">
        <f t="shared" si="119"/>
        <v>0</v>
      </c>
      <c r="CM131" s="67" t="b">
        <f t="shared" si="120"/>
        <v>0</v>
      </c>
      <c r="CN131" s="67" t="b">
        <f t="shared" si="121"/>
        <v>0</v>
      </c>
      <c r="CO131" s="67" t="b">
        <f t="shared" si="122"/>
        <v>0</v>
      </c>
      <c r="CP131" s="67" t="b">
        <f t="shared" si="123"/>
        <v>0</v>
      </c>
      <c r="CQ131" s="67" t="b">
        <f t="shared" si="124"/>
        <v>0</v>
      </c>
      <c r="CR131" s="67" t="b">
        <f t="shared" si="125"/>
        <v>0</v>
      </c>
      <c r="CS131" s="67" t="b">
        <f t="shared" si="126"/>
        <v>0</v>
      </c>
      <c r="CT131" s="67" t="b">
        <f t="shared" si="127"/>
        <v>0</v>
      </c>
      <c r="CU131" s="67" t="b">
        <f t="shared" si="128"/>
        <v>0</v>
      </c>
      <c r="CV131" s="67" t="b">
        <f t="shared" si="129"/>
        <v>0</v>
      </c>
      <c r="CW131" s="28"/>
      <c r="CX131" s="28" t="b">
        <f t="shared" si="199"/>
        <v>0</v>
      </c>
      <c r="CY131" s="28"/>
      <c r="CZ131" s="28" t="b">
        <f t="shared" si="200"/>
        <v>0</v>
      </c>
      <c r="DA131" s="28"/>
      <c r="DB131" s="28" t="b">
        <f t="shared" si="201"/>
        <v>0</v>
      </c>
      <c r="DC131" s="28"/>
    </row>
    <row r="132" spans="1:107" ht="15" hidden="1" customHeight="1" x14ac:dyDescent="0.2">
      <c r="A132" s="28"/>
      <c r="B132" s="28"/>
      <c r="C132" s="300"/>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6"/>
      <c r="CG132" s="246"/>
      <c r="CH132" s="249" t="b">
        <f t="shared" si="115"/>
        <v>0</v>
      </c>
      <c r="CI132" s="249" t="b">
        <f t="shared" si="116"/>
        <v>0</v>
      </c>
      <c r="CJ132" s="67" t="b">
        <f t="shared" si="117"/>
        <v>0</v>
      </c>
      <c r="CK132" s="67" t="b">
        <f t="shared" si="118"/>
        <v>0</v>
      </c>
      <c r="CL132" s="67" t="b">
        <f t="shared" si="119"/>
        <v>0</v>
      </c>
      <c r="CM132" s="67" t="b">
        <f t="shared" si="120"/>
        <v>0</v>
      </c>
      <c r="CN132" s="67" t="b">
        <f t="shared" si="121"/>
        <v>0</v>
      </c>
      <c r="CO132" s="67" t="b">
        <f t="shared" si="122"/>
        <v>0</v>
      </c>
      <c r="CP132" s="67" t="b">
        <f t="shared" si="123"/>
        <v>0</v>
      </c>
      <c r="CQ132" s="67" t="b">
        <f t="shared" si="124"/>
        <v>0</v>
      </c>
      <c r="CR132" s="67" t="b">
        <f t="shared" si="125"/>
        <v>0</v>
      </c>
      <c r="CS132" s="67" t="b">
        <f t="shared" si="126"/>
        <v>0</v>
      </c>
      <c r="CT132" s="67" t="b">
        <f t="shared" si="127"/>
        <v>0</v>
      </c>
      <c r="CU132" s="67" t="b">
        <f t="shared" si="128"/>
        <v>0</v>
      </c>
      <c r="CV132" s="67" t="b">
        <f t="shared" si="129"/>
        <v>0</v>
      </c>
      <c r="CW132" s="28"/>
      <c r="CX132" s="28" t="b">
        <f t="shared" si="199"/>
        <v>0</v>
      </c>
      <c r="CY132" s="28"/>
      <c r="CZ132" s="28" t="b">
        <f t="shared" si="200"/>
        <v>0</v>
      </c>
      <c r="DA132" s="28"/>
      <c r="DB132" s="28" t="b">
        <f t="shared" si="201"/>
        <v>0</v>
      </c>
      <c r="DC132" s="28"/>
    </row>
    <row r="133" spans="1:107" ht="15" hidden="1" customHeight="1" x14ac:dyDescent="0.2">
      <c r="A133" s="28"/>
      <c r="B133" s="28"/>
      <c r="C133" s="30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6"/>
      <c r="CG133" s="246"/>
      <c r="CH133" s="249" t="b">
        <f t="shared" si="115"/>
        <v>0</v>
      </c>
      <c r="CI133" s="249" t="b">
        <f t="shared" si="116"/>
        <v>0</v>
      </c>
      <c r="CJ133" s="67" t="b">
        <f t="shared" si="117"/>
        <v>0</v>
      </c>
      <c r="CK133" s="67" t="b">
        <f t="shared" si="118"/>
        <v>0</v>
      </c>
      <c r="CL133" s="67" t="b">
        <f t="shared" si="119"/>
        <v>0</v>
      </c>
      <c r="CM133" s="67" t="b">
        <f t="shared" si="120"/>
        <v>0</v>
      </c>
      <c r="CN133" s="67" t="b">
        <f t="shared" si="121"/>
        <v>0</v>
      </c>
      <c r="CO133" s="67" t="b">
        <f t="shared" si="122"/>
        <v>0</v>
      </c>
      <c r="CP133" s="67" t="b">
        <f t="shared" si="123"/>
        <v>0</v>
      </c>
      <c r="CQ133" s="67" t="b">
        <f t="shared" si="124"/>
        <v>0</v>
      </c>
      <c r="CR133" s="67" t="b">
        <f t="shared" si="125"/>
        <v>0</v>
      </c>
      <c r="CS133" s="67" t="b">
        <f t="shared" si="126"/>
        <v>0</v>
      </c>
      <c r="CT133" s="67" t="b">
        <f t="shared" si="127"/>
        <v>0</v>
      </c>
      <c r="CU133" s="67" t="b">
        <f t="shared" si="128"/>
        <v>0</v>
      </c>
      <c r="CV133" s="67" t="b">
        <f t="shared" si="129"/>
        <v>0</v>
      </c>
      <c r="CW133" s="28"/>
      <c r="CX133" s="28" t="b">
        <f t="shared" si="199"/>
        <v>0</v>
      </c>
      <c r="CY133" s="28"/>
      <c r="CZ133" s="28" t="b">
        <f t="shared" si="200"/>
        <v>0</v>
      </c>
      <c r="DA133" s="28"/>
      <c r="DB133" s="28" t="b">
        <f t="shared" si="201"/>
        <v>0</v>
      </c>
      <c r="DC133" s="28"/>
    </row>
    <row r="134" spans="1:107" ht="15" hidden="1" customHeight="1" x14ac:dyDescent="0.2">
      <c r="A134" s="28"/>
      <c r="B134" s="28"/>
      <c r="C134" s="300"/>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6"/>
      <c r="CH134" s="249" t="b">
        <f t="shared" si="115"/>
        <v>0</v>
      </c>
      <c r="CI134" s="249" t="b">
        <f t="shared" si="116"/>
        <v>0</v>
      </c>
      <c r="CJ134" s="67" t="b">
        <f t="shared" si="117"/>
        <v>0</v>
      </c>
      <c r="CK134" s="67" t="b">
        <f t="shared" si="118"/>
        <v>0</v>
      </c>
      <c r="CL134" s="67" t="b">
        <f t="shared" si="119"/>
        <v>0</v>
      </c>
      <c r="CM134" s="67" t="b">
        <f t="shared" si="120"/>
        <v>0</v>
      </c>
      <c r="CN134" s="67" t="b">
        <f t="shared" si="121"/>
        <v>0</v>
      </c>
      <c r="CO134" s="67" t="b">
        <f t="shared" si="122"/>
        <v>0</v>
      </c>
      <c r="CP134" s="67" t="b">
        <f t="shared" si="123"/>
        <v>0</v>
      </c>
      <c r="CQ134" s="67" t="b">
        <f t="shared" si="124"/>
        <v>0</v>
      </c>
      <c r="CR134" s="67" t="b">
        <f t="shared" si="125"/>
        <v>0</v>
      </c>
      <c r="CS134" s="67" t="b">
        <f t="shared" si="126"/>
        <v>0</v>
      </c>
      <c r="CT134" s="67" t="b">
        <f t="shared" si="127"/>
        <v>0</v>
      </c>
      <c r="CU134" s="67" t="b">
        <f t="shared" si="128"/>
        <v>0</v>
      </c>
      <c r="CV134" s="67" t="b">
        <f t="shared" si="129"/>
        <v>0</v>
      </c>
      <c r="CW134" s="28"/>
      <c r="CX134" s="28" t="b">
        <f t="shared" si="199"/>
        <v>0</v>
      </c>
      <c r="CY134" s="28"/>
      <c r="CZ134" s="28" t="b">
        <f t="shared" si="200"/>
        <v>0</v>
      </c>
      <c r="DA134" s="28"/>
      <c r="DB134" s="28" t="b">
        <f t="shared" si="201"/>
        <v>0</v>
      </c>
      <c r="DC134" s="28"/>
    </row>
    <row r="135" spans="1:107" ht="15" hidden="1" customHeight="1" x14ac:dyDescent="0.2">
      <c r="A135" s="28"/>
      <c r="B135" s="28"/>
      <c r="C135" s="300"/>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6"/>
      <c r="CH135" s="249" t="b">
        <f t="shared" si="115"/>
        <v>0</v>
      </c>
      <c r="CI135" s="249" t="b">
        <f t="shared" si="116"/>
        <v>0</v>
      </c>
      <c r="CJ135" s="67" t="b">
        <f t="shared" si="117"/>
        <v>0</v>
      </c>
      <c r="CK135" s="67" t="b">
        <f t="shared" si="118"/>
        <v>0</v>
      </c>
      <c r="CL135" s="67" t="b">
        <f t="shared" si="119"/>
        <v>0</v>
      </c>
      <c r="CM135" s="67" t="b">
        <f t="shared" si="120"/>
        <v>0</v>
      </c>
      <c r="CN135" s="67" t="b">
        <f t="shared" si="121"/>
        <v>0</v>
      </c>
      <c r="CO135" s="67" t="b">
        <f t="shared" si="122"/>
        <v>0</v>
      </c>
      <c r="CP135" s="67" t="b">
        <f t="shared" si="123"/>
        <v>0</v>
      </c>
      <c r="CQ135" s="67" t="b">
        <f t="shared" si="124"/>
        <v>0</v>
      </c>
      <c r="CR135" s="67" t="b">
        <f t="shared" si="125"/>
        <v>0</v>
      </c>
      <c r="CS135" s="67" t="b">
        <f t="shared" si="126"/>
        <v>0</v>
      </c>
      <c r="CT135" s="67" t="b">
        <f t="shared" si="127"/>
        <v>0</v>
      </c>
      <c r="CU135" s="67" t="b">
        <f t="shared" si="128"/>
        <v>0</v>
      </c>
      <c r="CV135" s="67" t="b">
        <f t="shared" si="129"/>
        <v>0</v>
      </c>
      <c r="CW135" s="28"/>
      <c r="CX135" s="28" t="b">
        <f t="shared" si="199"/>
        <v>0</v>
      </c>
      <c r="CY135" s="28"/>
      <c r="CZ135" s="28" t="b">
        <f t="shared" si="200"/>
        <v>0</v>
      </c>
      <c r="DA135" s="28"/>
      <c r="DB135" s="28" t="b">
        <f t="shared" si="201"/>
        <v>0</v>
      </c>
      <c r="DC135" s="28"/>
    </row>
    <row r="136" spans="1:107" ht="15" hidden="1" customHeight="1" x14ac:dyDescent="0.2">
      <c r="A136" s="28"/>
      <c r="B136" s="28"/>
      <c r="C136" s="30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6"/>
      <c r="CH136" s="249" t="b">
        <f t="shared" si="115"/>
        <v>0</v>
      </c>
      <c r="CI136" s="249" t="b">
        <f t="shared" si="116"/>
        <v>0</v>
      </c>
      <c r="CJ136" s="67" t="b">
        <f t="shared" si="117"/>
        <v>0</v>
      </c>
      <c r="CK136" s="67" t="b">
        <f t="shared" si="118"/>
        <v>0</v>
      </c>
      <c r="CL136" s="67" t="b">
        <f t="shared" si="119"/>
        <v>0</v>
      </c>
      <c r="CM136" s="67" t="b">
        <f t="shared" si="120"/>
        <v>0</v>
      </c>
      <c r="CN136" s="67" t="b">
        <f t="shared" si="121"/>
        <v>0</v>
      </c>
      <c r="CO136" s="67" t="b">
        <f t="shared" si="122"/>
        <v>0</v>
      </c>
      <c r="CP136" s="67" t="b">
        <f t="shared" si="123"/>
        <v>0</v>
      </c>
      <c r="CQ136" s="67" t="b">
        <f t="shared" si="124"/>
        <v>0</v>
      </c>
      <c r="CR136" s="67" t="b">
        <f t="shared" si="125"/>
        <v>0</v>
      </c>
      <c r="CS136" s="67" t="b">
        <f t="shared" si="126"/>
        <v>0</v>
      </c>
      <c r="CT136" s="67" t="b">
        <f t="shared" si="127"/>
        <v>0</v>
      </c>
      <c r="CU136" s="67" t="b">
        <f t="shared" si="128"/>
        <v>0</v>
      </c>
      <c r="CV136" s="67" t="b">
        <f t="shared" si="129"/>
        <v>0</v>
      </c>
      <c r="CW136" s="28"/>
      <c r="CX136" s="28" t="b">
        <f t="shared" si="199"/>
        <v>0</v>
      </c>
      <c r="CY136" s="28"/>
      <c r="CZ136" s="28" t="b">
        <f t="shared" si="200"/>
        <v>0</v>
      </c>
      <c r="DA136" s="28"/>
      <c r="DB136" s="28" t="b">
        <f t="shared" si="201"/>
        <v>0</v>
      </c>
      <c r="DC136" s="28"/>
    </row>
    <row r="137" spans="1:107" ht="15" hidden="1" customHeight="1" x14ac:dyDescent="0.2">
      <c r="A137" s="28"/>
      <c r="B137" s="28"/>
      <c r="C137" s="300"/>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6"/>
      <c r="CH137" s="249" t="b">
        <f t="shared" si="115"/>
        <v>0</v>
      </c>
      <c r="CI137" s="249" t="b">
        <f t="shared" si="116"/>
        <v>0</v>
      </c>
      <c r="CJ137" s="67" t="b">
        <f t="shared" si="117"/>
        <v>0</v>
      </c>
      <c r="CK137" s="67" t="b">
        <f t="shared" si="118"/>
        <v>0</v>
      </c>
      <c r="CL137" s="67" t="b">
        <f t="shared" si="119"/>
        <v>0</v>
      </c>
      <c r="CM137" s="67" t="b">
        <f t="shared" si="120"/>
        <v>0</v>
      </c>
      <c r="CN137" s="67" t="b">
        <f t="shared" si="121"/>
        <v>0</v>
      </c>
      <c r="CO137" s="67" t="b">
        <f t="shared" si="122"/>
        <v>0</v>
      </c>
      <c r="CP137" s="67" t="b">
        <f t="shared" si="123"/>
        <v>0</v>
      </c>
      <c r="CQ137" s="67" t="b">
        <f t="shared" si="124"/>
        <v>0</v>
      </c>
      <c r="CR137" s="67" t="b">
        <f t="shared" si="125"/>
        <v>0</v>
      </c>
      <c r="CS137" s="67" t="b">
        <f t="shared" si="126"/>
        <v>0</v>
      </c>
      <c r="CT137" s="67" t="b">
        <f t="shared" si="127"/>
        <v>0</v>
      </c>
      <c r="CU137" s="67" t="b">
        <f t="shared" si="128"/>
        <v>0</v>
      </c>
      <c r="CV137" s="67" t="b">
        <f t="shared" si="129"/>
        <v>0</v>
      </c>
      <c r="CW137" s="28"/>
      <c r="CX137" s="28" t="b">
        <f t="shared" si="199"/>
        <v>0</v>
      </c>
      <c r="CY137" s="28"/>
      <c r="CZ137" s="28" t="b">
        <f t="shared" si="200"/>
        <v>0</v>
      </c>
      <c r="DA137" s="28"/>
      <c r="DB137" s="28" t="b">
        <f t="shared" si="201"/>
        <v>0</v>
      </c>
      <c r="DC137" s="28"/>
    </row>
    <row r="138" spans="1:107" ht="15" hidden="1" customHeight="1" x14ac:dyDescent="0.2">
      <c r="A138" s="28"/>
      <c r="B138" s="28"/>
      <c r="C138" s="300"/>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6"/>
      <c r="CH138" s="249" t="b">
        <f t="shared" si="115"/>
        <v>0</v>
      </c>
      <c r="CI138" s="249" t="b">
        <f t="shared" si="116"/>
        <v>0</v>
      </c>
      <c r="CJ138" s="67" t="b">
        <f t="shared" si="117"/>
        <v>0</v>
      </c>
      <c r="CK138" s="67" t="b">
        <f t="shared" si="118"/>
        <v>0</v>
      </c>
      <c r="CL138" s="67" t="b">
        <f t="shared" si="119"/>
        <v>0</v>
      </c>
      <c r="CM138" s="67" t="b">
        <f t="shared" si="120"/>
        <v>0</v>
      </c>
      <c r="CN138" s="67" t="b">
        <f t="shared" si="121"/>
        <v>0</v>
      </c>
      <c r="CO138" s="67" t="b">
        <f t="shared" si="122"/>
        <v>0</v>
      </c>
      <c r="CP138" s="67" t="b">
        <f t="shared" si="123"/>
        <v>0</v>
      </c>
      <c r="CQ138" s="67" t="b">
        <f t="shared" si="124"/>
        <v>0</v>
      </c>
      <c r="CR138" s="67" t="b">
        <f t="shared" si="125"/>
        <v>0</v>
      </c>
      <c r="CS138" s="67" t="b">
        <f t="shared" si="126"/>
        <v>0</v>
      </c>
      <c r="CT138" s="67" t="b">
        <f t="shared" si="127"/>
        <v>0</v>
      </c>
      <c r="CU138" s="67" t="b">
        <f t="shared" si="128"/>
        <v>0</v>
      </c>
      <c r="CV138" s="67" t="b">
        <f t="shared" si="129"/>
        <v>0</v>
      </c>
      <c r="CW138" s="28"/>
      <c r="CX138" s="28" t="b">
        <f t="shared" si="199"/>
        <v>0</v>
      </c>
      <c r="CY138" s="28"/>
      <c r="CZ138" s="28" t="b">
        <f t="shared" si="200"/>
        <v>0</v>
      </c>
      <c r="DA138" s="28"/>
      <c r="DB138" s="28" t="b">
        <f t="shared" si="201"/>
        <v>0</v>
      </c>
      <c r="DC138" s="28"/>
    </row>
    <row r="139" spans="1:107" ht="15" hidden="1" customHeight="1" x14ac:dyDescent="0.2">
      <c r="A139" s="28"/>
      <c r="B139" s="28"/>
      <c r="C139" s="300"/>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6"/>
      <c r="CH139" s="249" t="b">
        <f t="shared" si="115"/>
        <v>0</v>
      </c>
      <c r="CI139" s="249" t="b">
        <f t="shared" si="116"/>
        <v>0</v>
      </c>
      <c r="CJ139" s="67" t="b">
        <f t="shared" si="117"/>
        <v>0</v>
      </c>
      <c r="CK139" s="67" t="b">
        <f t="shared" si="118"/>
        <v>0</v>
      </c>
      <c r="CL139" s="67" t="b">
        <f t="shared" si="119"/>
        <v>0</v>
      </c>
      <c r="CM139" s="67" t="b">
        <f t="shared" si="120"/>
        <v>0</v>
      </c>
      <c r="CN139" s="67" t="b">
        <f t="shared" si="121"/>
        <v>0</v>
      </c>
      <c r="CO139" s="67" t="b">
        <f t="shared" si="122"/>
        <v>0</v>
      </c>
      <c r="CP139" s="67" t="b">
        <f t="shared" si="123"/>
        <v>0</v>
      </c>
      <c r="CQ139" s="67" t="b">
        <f t="shared" si="124"/>
        <v>0</v>
      </c>
      <c r="CR139" s="67" t="b">
        <f t="shared" si="125"/>
        <v>0</v>
      </c>
      <c r="CS139" s="67" t="b">
        <f t="shared" si="126"/>
        <v>0</v>
      </c>
      <c r="CT139" s="67" t="b">
        <f t="shared" si="127"/>
        <v>0</v>
      </c>
      <c r="CU139" s="67" t="b">
        <f t="shared" si="128"/>
        <v>0</v>
      </c>
      <c r="CV139" s="67" t="b">
        <f t="shared" si="129"/>
        <v>0</v>
      </c>
      <c r="CW139" s="28"/>
      <c r="CX139" s="28" t="b">
        <f t="shared" si="199"/>
        <v>0</v>
      </c>
      <c r="CY139" s="28"/>
      <c r="CZ139" s="28" t="b">
        <f t="shared" si="200"/>
        <v>0</v>
      </c>
      <c r="DA139" s="28"/>
      <c r="DB139" s="28" t="b">
        <f t="shared" si="201"/>
        <v>0</v>
      </c>
      <c r="DC139" s="28"/>
    </row>
    <row r="140" spans="1:107" ht="15" hidden="1" customHeight="1" x14ac:dyDescent="0.2">
      <c r="A140" s="28"/>
      <c r="B140" s="28"/>
      <c r="C140" s="300"/>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6"/>
      <c r="CH140" s="249" t="b">
        <f t="shared" si="115"/>
        <v>0</v>
      </c>
      <c r="CJ140" s="67" t="b">
        <f>IFERROR((IF($CI$57="M",BX140,IF($CI$57="PM",BZ140,IF($CI$57="P",BV140,IF($CI$57="FULL",BT140))))),"")</f>
        <v>0</v>
      </c>
      <c r="CK140" s="28"/>
      <c r="CL140" s="67" t="b">
        <f t="shared" ref="CL140:CL145" si="213">IFERROR((IF($CJ$57="M",BX140,IF($CJ$57="PM",BZ140,IF($CJ$57="P",BV140,IF($CJ$57="FULL",BT140))))),"")</f>
        <v>0</v>
      </c>
      <c r="CM140" s="30"/>
      <c r="CN140" s="67" t="b">
        <f t="shared" ref="CN140:CN143" si="214">IFERROR((IF($CK$57="M",BX140,IF($CK$57="PM",BZ140,IF($CK$57="P",BV140,IF($CK$57="FULL",BT140))))),"")</f>
        <v>0</v>
      </c>
      <c r="CO140" s="30"/>
      <c r="CP140" s="67" t="b">
        <f t="shared" ref="CP140:CP143" si="215">IFERROR((IF($CL$57="M",BX140,IF($CL$57="PM",BZ140,IF($CL$57="P",BV140,IF($CL$57="FULL",BT140))))),"")</f>
        <v>0</v>
      </c>
      <c r="CQ140" s="28"/>
      <c r="CR140" s="28" t="b">
        <f t="shared" ref="CR140:CR143" si="216">IFERROR((IF($CM$57="M",BX140,IF($CM$57="PM",BZ140,IF($CM$57="P",BV140,IF($CM$57="FULL",BT140))))),"")</f>
        <v>0</v>
      </c>
      <c r="CS140" s="28"/>
      <c r="CT140" s="28" t="b">
        <f t="shared" ref="CT140:CT143" si="217">IFERROR((IF($CN$57="M",BX140,IF($CN$57="PM",BZ140,IF($CN$57="P",BV140,IF($CN$57="FULL",BT140))))),"")</f>
        <v>0</v>
      </c>
      <c r="CU140" s="28"/>
      <c r="CV140" s="28" t="b">
        <f t="shared" ref="CV140:CV143" si="218">IFERROR((IF($CO$57="M",BX140,IF($CO$57="PM",BZ140,IF($CO$57="P",BV140,IF($CO$57="FULL",BT140))))),"")</f>
        <v>0</v>
      </c>
      <c r="CW140" s="28"/>
      <c r="CX140" s="28" t="b">
        <f t="shared" si="199"/>
        <v>0</v>
      </c>
      <c r="CY140" s="28"/>
      <c r="CZ140" s="28" t="b">
        <f t="shared" si="200"/>
        <v>0</v>
      </c>
      <c r="DA140" s="28"/>
      <c r="DB140" s="28" t="b">
        <f t="shared" si="201"/>
        <v>0</v>
      </c>
      <c r="DC140" s="28"/>
    </row>
    <row r="141" spans="1:107" ht="15" hidden="1" customHeight="1" x14ac:dyDescent="0.2">
      <c r="A141" s="28"/>
      <c r="B141" s="28"/>
      <c r="C141" s="300"/>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6"/>
      <c r="CH141" s="246"/>
      <c r="CI141" s="27"/>
      <c r="CJ141" s="28"/>
      <c r="CK141" s="28"/>
      <c r="CL141" s="67" t="b">
        <f t="shared" si="213"/>
        <v>0</v>
      </c>
      <c r="CM141" s="30"/>
      <c r="CN141" s="67" t="b">
        <f t="shared" si="214"/>
        <v>0</v>
      </c>
      <c r="CO141" s="30"/>
      <c r="CP141" s="67" t="b">
        <f t="shared" si="215"/>
        <v>0</v>
      </c>
      <c r="CQ141" s="28"/>
      <c r="CR141" s="28" t="b">
        <f t="shared" si="216"/>
        <v>0</v>
      </c>
      <c r="CS141" s="28"/>
      <c r="CT141" s="28" t="b">
        <f t="shared" si="217"/>
        <v>0</v>
      </c>
      <c r="CU141" s="28"/>
      <c r="CV141" s="28" t="b">
        <f t="shared" si="218"/>
        <v>0</v>
      </c>
      <c r="CW141" s="28"/>
      <c r="CX141" s="28" t="b">
        <f t="shared" si="199"/>
        <v>0</v>
      </c>
      <c r="CY141" s="28"/>
      <c r="CZ141" s="28" t="b">
        <f t="shared" si="200"/>
        <v>0</v>
      </c>
      <c r="DA141" s="28"/>
      <c r="DB141" s="28" t="b">
        <f t="shared" si="201"/>
        <v>0</v>
      </c>
      <c r="DC141" s="28"/>
    </row>
    <row r="142" spans="1:107" ht="15" hidden="1" customHeight="1" x14ac:dyDescent="0.2">
      <c r="A142" s="28"/>
      <c r="B142" s="28"/>
      <c r="C142" s="300"/>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6"/>
      <c r="CH142" s="246"/>
      <c r="CI142" s="27"/>
      <c r="CJ142" s="28"/>
      <c r="CK142" s="28"/>
      <c r="CL142" s="67" t="b">
        <f t="shared" si="213"/>
        <v>0</v>
      </c>
      <c r="CM142" s="30"/>
      <c r="CN142" s="67" t="b">
        <f t="shared" si="214"/>
        <v>0</v>
      </c>
      <c r="CO142" s="30"/>
      <c r="CP142" s="67" t="b">
        <f t="shared" si="215"/>
        <v>0</v>
      </c>
      <c r="CQ142" s="28"/>
      <c r="CR142" s="28" t="b">
        <f t="shared" si="216"/>
        <v>0</v>
      </c>
      <c r="CS142" s="28"/>
      <c r="CT142" s="28" t="b">
        <f t="shared" si="217"/>
        <v>0</v>
      </c>
      <c r="CU142" s="28"/>
      <c r="CV142" s="28" t="b">
        <f t="shared" si="218"/>
        <v>0</v>
      </c>
      <c r="CW142" s="28"/>
      <c r="CX142" s="28" t="b">
        <f t="shared" si="199"/>
        <v>0</v>
      </c>
      <c r="CY142" s="28"/>
      <c r="CZ142" s="28" t="b">
        <f t="shared" si="200"/>
        <v>0</v>
      </c>
      <c r="DA142" s="28"/>
      <c r="DB142" s="28" t="b">
        <f t="shared" si="201"/>
        <v>0</v>
      </c>
      <c r="DC142" s="28"/>
    </row>
    <row r="143" spans="1:107" ht="15" hidden="1" customHeight="1" x14ac:dyDescent="0.2">
      <c r="A143" s="28"/>
      <c r="B143" s="28"/>
      <c r="C143" s="300"/>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6"/>
      <c r="CH143" s="246"/>
      <c r="CI143" s="27"/>
      <c r="CJ143" s="28"/>
      <c r="CK143" s="28"/>
      <c r="CL143" s="67" t="b">
        <f t="shared" si="213"/>
        <v>0</v>
      </c>
      <c r="CM143" s="30"/>
      <c r="CN143" s="67" t="b">
        <f t="shared" si="214"/>
        <v>0</v>
      </c>
      <c r="CO143" s="30"/>
      <c r="CP143" s="67" t="b">
        <f t="shared" si="215"/>
        <v>0</v>
      </c>
      <c r="CQ143" s="28"/>
      <c r="CR143" s="28" t="b">
        <f t="shared" si="216"/>
        <v>0</v>
      </c>
      <c r="CS143" s="28"/>
      <c r="CT143" s="28" t="b">
        <f t="shared" si="217"/>
        <v>0</v>
      </c>
      <c r="CU143" s="28"/>
      <c r="CV143" s="28" t="b">
        <f t="shared" si="218"/>
        <v>0</v>
      </c>
      <c r="CW143" s="28"/>
      <c r="CX143" s="28" t="b">
        <f t="shared" si="199"/>
        <v>0</v>
      </c>
      <c r="CY143" s="28"/>
      <c r="CZ143" s="28" t="b">
        <f t="shared" si="200"/>
        <v>0</v>
      </c>
      <c r="DA143" s="28"/>
      <c r="DB143" s="28" t="b">
        <f t="shared" si="201"/>
        <v>0</v>
      </c>
      <c r="DC143" s="28"/>
    </row>
    <row r="144" spans="1:107" ht="15" hidden="1" customHeight="1" x14ac:dyDescent="0.2">
      <c r="A144" s="28"/>
      <c r="B144" s="28"/>
      <c r="C144" s="300"/>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6"/>
      <c r="CH144" s="246"/>
      <c r="CI144" s="27"/>
      <c r="CJ144" s="28"/>
      <c r="CK144" s="28"/>
      <c r="CL144" s="67" t="b">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x14ac:dyDescent="0.2">
      <c r="A145" s="28"/>
      <c r="B145" s="28"/>
      <c r="C145" s="300"/>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6"/>
      <c r="CH145" s="246"/>
      <c r="CI145" s="27"/>
      <c r="CJ145" s="28"/>
      <c r="CK145" s="28"/>
      <c r="CL145" s="67" t="b">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x14ac:dyDescent="0.2">
      <c r="A146" s="28"/>
      <c r="B146" s="28"/>
      <c r="C146" s="300"/>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6"/>
      <c r="CH146" s="246"/>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x14ac:dyDescent="0.2">
      <c r="A147" s="28"/>
      <c r="B147" s="28"/>
      <c r="C147" s="300"/>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x14ac:dyDescent="0.2">
      <c r="A148" s="28"/>
      <c r="B148" s="28"/>
      <c r="C148" s="300"/>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x14ac:dyDescent="0.2">
      <c r="A149" s="28"/>
      <c r="B149" s="28"/>
      <c r="C149" s="300"/>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x14ac:dyDescent="0.2">
      <c r="A150" s="28"/>
      <c r="B150" s="28"/>
      <c r="C150" s="300"/>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x14ac:dyDescent="0.2">
      <c r="A151" s="28"/>
      <c r="B151" s="28"/>
      <c r="C151" s="300"/>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x14ac:dyDescent="0.2">
      <c r="A152" s="28"/>
      <c r="B152" s="28"/>
      <c r="C152" s="300"/>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x14ac:dyDescent="0.2">
      <c r="A153" s="28"/>
      <c r="B153" s="28"/>
      <c r="C153" s="300"/>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x14ac:dyDescent="0.2">
      <c r="A154" s="28"/>
      <c r="B154" s="28"/>
      <c r="C154" s="300"/>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x14ac:dyDescent="0.2">
      <c r="A155" s="28"/>
      <c r="B155" s="28"/>
      <c r="C155" s="300"/>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x14ac:dyDescent="0.2">
      <c r="A156" s="28"/>
      <c r="B156" s="28"/>
      <c r="C156" s="300"/>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x14ac:dyDescent="0.2">
      <c r="A157" s="28"/>
      <c r="B157" s="28"/>
      <c r="C157" s="300"/>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x14ac:dyDescent="0.2">
      <c r="A158" s="28"/>
      <c r="B158" s="28"/>
      <c r="C158" s="300"/>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x14ac:dyDescent="0.2">
      <c r="A159" s="28"/>
      <c r="B159" s="28"/>
      <c r="C159" s="300"/>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x14ac:dyDescent="0.2">
      <c r="A160" s="28"/>
      <c r="B160" s="28"/>
      <c r="C160" s="300"/>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x14ac:dyDescent="0.2">
      <c r="A161" s="28"/>
      <c r="B161" s="28"/>
      <c r="C161" s="300"/>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x14ac:dyDescent="0.2">
      <c r="A162" s="28"/>
      <c r="B162" s="28"/>
      <c r="C162" s="300"/>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x14ac:dyDescent="0.2">
      <c r="A163" s="28"/>
      <c r="B163" s="28"/>
      <c r="C163" s="300"/>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x14ac:dyDescent="0.2">
      <c r="A164" s="28"/>
      <c r="B164" s="28"/>
      <c r="C164" s="300"/>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x14ac:dyDescent="0.2">
      <c r="A165" s="28"/>
      <c r="B165" s="28"/>
      <c r="C165" s="300"/>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x14ac:dyDescent="0.2">
      <c r="A166" s="28"/>
      <c r="B166" s="28"/>
      <c r="C166" s="300"/>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x14ac:dyDescent="0.2">
      <c r="A167" s="28"/>
      <c r="B167" s="28"/>
      <c r="C167" s="300"/>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x14ac:dyDescent="0.2">
      <c r="A168" s="28"/>
      <c r="B168" s="28"/>
      <c r="C168" s="300"/>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x14ac:dyDescent="0.2">
      <c r="A169" s="28"/>
      <c r="B169" s="28"/>
      <c r="C169" s="300"/>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x14ac:dyDescent="0.2">
      <c r="A170" s="28"/>
      <c r="B170" s="28"/>
      <c r="C170" s="300"/>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x14ac:dyDescent="0.2">
      <c r="A171" s="28"/>
      <c r="B171" s="28"/>
      <c r="C171" s="30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x14ac:dyDescent="0.2">
      <c r="A172" s="28"/>
      <c r="B172" s="28"/>
      <c r="C172" s="300"/>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x14ac:dyDescent="0.2">
      <c r="A173" s="28"/>
      <c r="B173" s="28"/>
      <c r="C173" s="300"/>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x14ac:dyDescent="0.2">
      <c r="A174" s="28"/>
      <c r="B174" s="28"/>
      <c r="C174" s="300"/>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x14ac:dyDescent="0.2">
      <c r="A175" s="28"/>
      <c r="B175" s="28"/>
      <c r="C175" s="300"/>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x14ac:dyDescent="0.2">
      <c r="A176" s="28"/>
      <c r="B176" s="28"/>
      <c r="C176" s="300"/>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x14ac:dyDescent="0.2">
      <c r="A177" s="28"/>
      <c r="B177" s="28"/>
      <c r="C177" s="300"/>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x14ac:dyDescent="0.2">
      <c r="A178" s="28"/>
      <c r="B178" s="28"/>
      <c r="C178" s="300"/>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x14ac:dyDescent="0.2">
      <c r="A179" s="28"/>
      <c r="B179" s="28"/>
      <c r="C179" s="300"/>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x14ac:dyDescent="0.2">
      <c r="A180" s="28"/>
      <c r="B180" s="28"/>
      <c r="C180" s="30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x14ac:dyDescent="0.2">
      <c r="A181" s="28"/>
      <c r="B181" s="28"/>
      <c r="C181" s="300"/>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x14ac:dyDescent="0.2">
      <c r="A182" s="28"/>
      <c r="B182" s="28"/>
      <c r="C182" s="300"/>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x14ac:dyDescent="0.2">
      <c r="A183" s="28"/>
      <c r="B183" s="28"/>
      <c r="C183" s="300"/>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x14ac:dyDescent="0.2">
      <c r="A184" s="28"/>
      <c r="B184" s="28"/>
      <c r="C184" s="300"/>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x14ac:dyDescent="0.2">
      <c r="A185" s="28"/>
      <c r="B185" s="28"/>
      <c r="C185" s="300"/>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x14ac:dyDescent="0.2">
      <c r="A186" s="28"/>
      <c r="B186" s="28"/>
      <c r="C186" s="300"/>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x14ac:dyDescent="0.2">
      <c r="A187" s="28"/>
      <c r="B187" s="28"/>
      <c r="C187" s="300"/>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x14ac:dyDescent="0.2">
      <c r="A188" s="28"/>
      <c r="B188" s="28"/>
      <c r="C188" s="300"/>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x14ac:dyDescent="0.2">
      <c r="A189" s="28"/>
      <c r="B189" s="28"/>
      <c r="C189" s="300"/>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x14ac:dyDescent="0.2">
      <c r="A190" s="28"/>
      <c r="B190" s="28"/>
      <c r="C190" s="300"/>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x14ac:dyDescent="0.2">
      <c r="A191" s="28"/>
      <c r="B191" s="28"/>
      <c r="C191" s="300"/>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x14ac:dyDescent="0.2">
      <c r="A192" s="28"/>
      <c r="B192" s="28"/>
      <c r="C192" s="300"/>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x14ac:dyDescent="0.2">
      <c r="A193" s="28"/>
      <c r="B193" s="28"/>
      <c r="C193" s="300"/>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x14ac:dyDescent="0.2">
      <c r="A194" s="28"/>
      <c r="B194" s="28"/>
      <c r="C194" s="300"/>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x14ac:dyDescent="0.2">
      <c r="A195" s="28"/>
      <c r="B195" s="28"/>
      <c r="C195" s="300"/>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x14ac:dyDescent="0.2">
      <c r="A196" s="28"/>
      <c r="B196" s="28"/>
      <c r="C196" s="300"/>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x14ac:dyDescent="0.2">
      <c r="A197" s="28"/>
      <c r="B197" s="28"/>
      <c r="C197" s="300"/>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x14ac:dyDescent="0.2">
      <c r="A198" s="28"/>
      <c r="B198" s="28"/>
      <c r="C198" s="300"/>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x14ac:dyDescent="0.2">
      <c r="A199" s="28"/>
      <c r="B199" s="28"/>
      <c r="C199" s="300"/>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x14ac:dyDescent="0.2">
      <c r="A200" s="28"/>
      <c r="B200" s="28"/>
      <c r="C200" s="300"/>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x14ac:dyDescent="0.2">
      <c r="A201" s="28"/>
      <c r="B201" s="28"/>
      <c r="C201" s="300"/>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x14ac:dyDescent="0.2">
      <c r="A202" s="28"/>
      <c r="B202" s="28"/>
      <c r="C202" s="300"/>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x14ac:dyDescent="0.2">
      <c r="A203" s="28"/>
      <c r="B203" s="28"/>
      <c r="C203" s="300"/>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x14ac:dyDescent="0.2">
      <c r="A204" s="28"/>
      <c r="B204" s="28"/>
      <c r="C204" s="300"/>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x14ac:dyDescent="0.2">
      <c r="A205" s="28"/>
      <c r="B205" s="28"/>
      <c r="C205" s="300"/>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x14ac:dyDescent="0.2">
      <c r="A206" s="28"/>
      <c r="B206" s="28"/>
      <c r="C206" s="300"/>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x14ac:dyDescent="0.2">
      <c r="A207" s="28"/>
      <c r="B207" s="28"/>
      <c r="C207" s="300"/>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x14ac:dyDescent="0.2">
      <c r="A208" s="28"/>
      <c r="B208" s="28"/>
      <c r="C208" s="300"/>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x14ac:dyDescent="0.2">
      <c r="A209" s="28"/>
      <c r="B209" s="28"/>
      <c r="C209" s="300"/>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x14ac:dyDescent="0.2">
      <c r="A210" s="28"/>
      <c r="B210" s="28"/>
      <c r="C210" s="300"/>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x14ac:dyDescent="0.2">
      <c r="A211" s="28"/>
      <c r="B211" s="28"/>
      <c r="C211" s="300"/>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x14ac:dyDescent="0.2">
      <c r="A212" s="28"/>
      <c r="B212" s="28"/>
      <c r="C212" s="300"/>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x14ac:dyDescent="0.2">
      <c r="A213" s="28"/>
      <c r="B213" s="28"/>
      <c r="C213" s="300"/>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x14ac:dyDescent="0.2">
      <c r="A214" s="28"/>
      <c r="B214" s="28"/>
      <c r="C214" s="300"/>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x14ac:dyDescent="0.2">
      <c r="A215" s="28"/>
      <c r="B215" s="28"/>
      <c r="C215" s="300"/>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x14ac:dyDescent="0.2">
      <c r="A216" s="28"/>
      <c r="B216" s="28"/>
      <c r="C216" s="300"/>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x14ac:dyDescent="0.2">
      <c r="A217" s="28"/>
      <c r="B217" s="28"/>
      <c r="C217" s="300"/>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x14ac:dyDescent="0.2">
      <c r="A218" s="28"/>
      <c r="B218" s="28"/>
      <c r="C218" s="300"/>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x14ac:dyDescent="0.2">
      <c r="A219" s="28"/>
      <c r="B219" s="28"/>
      <c r="C219" s="300"/>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x14ac:dyDescent="0.2">
      <c r="A220" s="28"/>
      <c r="B220" s="28"/>
      <c r="C220" s="300"/>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x14ac:dyDescent="0.2">
      <c r="A221" s="28"/>
      <c r="B221" s="28"/>
      <c r="C221" s="300"/>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x14ac:dyDescent="0.2">
      <c r="A222" s="28"/>
      <c r="B222" s="28"/>
      <c r="C222" s="300"/>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x14ac:dyDescent="0.2">
      <c r="A223" s="28"/>
      <c r="B223" s="28"/>
      <c r="C223" s="300"/>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x14ac:dyDescent="0.2">
      <c r="A224" s="28"/>
      <c r="B224" s="28"/>
      <c r="C224" s="300"/>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x14ac:dyDescent="0.2">
      <c r="A225" s="28"/>
      <c r="B225" s="28"/>
      <c r="C225" s="300"/>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x14ac:dyDescent="0.2">
      <c r="A226" s="28"/>
      <c r="B226" s="28"/>
      <c r="C226" s="300"/>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x14ac:dyDescent="0.2">
      <c r="A227" s="28"/>
      <c r="B227" s="28"/>
      <c r="C227" s="300"/>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x14ac:dyDescent="0.2">
      <c r="A228" s="28"/>
      <c r="B228" s="28"/>
      <c r="C228" s="300"/>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x14ac:dyDescent="0.2">
      <c r="A229" s="28"/>
      <c r="B229" s="28"/>
      <c r="C229" s="300"/>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x14ac:dyDescent="0.2">
      <c r="A230" s="28"/>
      <c r="B230" s="28"/>
      <c r="C230" s="300"/>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x14ac:dyDescent="0.2">
      <c r="A231" s="28"/>
      <c r="B231" s="28"/>
      <c r="C231" s="300"/>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x14ac:dyDescent="0.2">
      <c r="A232" s="28"/>
      <c r="B232" s="28"/>
      <c r="C232" s="300"/>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x14ac:dyDescent="0.2">
      <c r="A233" s="28"/>
      <c r="B233" s="28"/>
      <c r="C233" s="300"/>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x14ac:dyDescent="0.2">
      <c r="A234" s="28"/>
      <c r="B234" s="28"/>
      <c r="C234" s="300"/>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x14ac:dyDescent="0.2">
      <c r="A235" s="28"/>
      <c r="B235" s="28"/>
      <c r="C235" s="300"/>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x14ac:dyDescent="0.2">
      <c r="A236" s="28"/>
      <c r="B236" s="28"/>
      <c r="C236" s="300"/>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x14ac:dyDescent="0.2">
      <c r="A237" s="28"/>
      <c r="B237" s="28"/>
      <c r="C237" s="300"/>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x14ac:dyDescent="0.2">
      <c r="A238" s="28"/>
      <c r="B238" s="28"/>
      <c r="C238" s="300"/>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x14ac:dyDescent="0.2">
      <c r="A239" s="28"/>
      <c r="B239" s="28"/>
      <c r="C239" s="300"/>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x14ac:dyDescent="0.2">
      <c r="A240" s="28"/>
      <c r="B240" s="28"/>
      <c r="C240" s="300"/>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x14ac:dyDescent="0.2">
      <c r="A241" s="28"/>
      <c r="B241" s="28"/>
      <c r="C241" s="300"/>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x14ac:dyDescent="0.2">
      <c r="A242" s="28"/>
      <c r="B242" s="28"/>
      <c r="C242" s="300"/>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x14ac:dyDescent="0.2">
      <c r="A243" s="28"/>
      <c r="B243" s="28"/>
      <c r="C243" s="300"/>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x14ac:dyDescent="0.2">
      <c r="A244" s="28"/>
      <c r="B244" s="28"/>
      <c r="C244" s="300"/>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x14ac:dyDescent="0.2">
      <c r="A245" s="28"/>
      <c r="B245" s="28"/>
      <c r="C245" s="300"/>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x14ac:dyDescent="0.2">
      <c r="A246" s="28"/>
      <c r="B246" s="28"/>
      <c r="C246" s="300"/>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x14ac:dyDescent="0.2">
      <c r="A247" s="28"/>
      <c r="B247" s="28"/>
      <c r="C247" s="300"/>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x14ac:dyDescent="0.2">
      <c r="A248" s="28"/>
      <c r="B248" s="28"/>
      <c r="C248" s="300"/>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x14ac:dyDescent="0.2">
      <c r="A249" s="28"/>
      <c r="B249" s="28"/>
      <c r="C249" s="300"/>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x14ac:dyDescent="0.2">
      <c r="A250" s="28"/>
      <c r="B250" s="28"/>
      <c r="C250" s="300"/>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x14ac:dyDescent="0.2">
      <c r="A251" s="28"/>
      <c r="B251" s="28"/>
      <c r="C251" s="300"/>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x14ac:dyDescent="0.2">
      <c r="A252" s="28"/>
      <c r="B252" s="28"/>
      <c r="C252" s="300"/>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x14ac:dyDescent="0.2">
      <c r="A253" s="28"/>
      <c r="B253" s="28"/>
      <c r="C253" s="300"/>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x14ac:dyDescent="0.2">
      <c r="A254" s="28"/>
      <c r="B254" s="28"/>
      <c r="C254" s="300"/>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x14ac:dyDescent="0.2">
      <c r="A255" s="28"/>
      <c r="B255" s="28"/>
      <c r="C255" s="300"/>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x14ac:dyDescent="0.2">
      <c r="A256" s="28"/>
      <c r="B256" s="28"/>
      <c r="C256" s="300"/>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x14ac:dyDescent="0.2">
      <c r="A257" s="28"/>
      <c r="B257" s="28"/>
      <c r="C257" s="300"/>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x14ac:dyDescent="0.2">
      <c r="A258" s="28"/>
      <c r="B258" s="28"/>
      <c r="C258" s="300"/>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x14ac:dyDescent="0.2">
      <c r="A259" s="28"/>
      <c r="B259" s="28"/>
      <c r="C259" s="300"/>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x14ac:dyDescent="0.2">
      <c r="A260" s="28"/>
      <c r="B260" s="28"/>
      <c r="C260" s="300"/>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x14ac:dyDescent="0.2">
      <c r="A261" s="28"/>
      <c r="B261" s="28"/>
      <c r="C261" s="300"/>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x14ac:dyDescent="0.2">
      <c r="A262" s="28"/>
      <c r="B262" s="28"/>
      <c r="C262" s="300"/>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x14ac:dyDescent="0.2">
      <c r="A263" s="28"/>
      <c r="B263" s="28"/>
      <c r="C263" s="300"/>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x14ac:dyDescent="0.2">
      <c r="A264" s="28"/>
      <c r="B264" s="28"/>
      <c r="C264" s="300"/>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x14ac:dyDescent="0.2">
      <c r="A265" s="28"/>
      <c r="B265" s="28"/>
      <c r="C265" s="300"/>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x14ac:dyDescent="0.2">
      <c r="A266" s="28"/>
      <c r="B266" s="28"/>
      <c r="C266" s="300"/>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x14ac:dyDescent="0.2">
      <c r="A267" s="28"/>
      <c r="B267" s="28"/>
      <c r="C267" s="300"/>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x14ac:dyDescent="0.2">
      <c r="A268" s="28"/>
      <c r="B268" s="28"/>
      <c r="C268" s="300"/>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x14ac:dyDescent="0.2">
      <c r="A269" s="28"/>
      <c r="B269" s="28"/>
      <c r="C269" s="300"/>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x14ac:dyDescent="0.2">
      <c r="A270" s="28"/>
      <c r="B270" s="28"/>
      <c r="C270" s="300"/>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x14ac:dyDescent="0.2">
      <c r="A271" s="28"/>
      <c r="B271" s="28"/>
      <c r="C271" s="300"/>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x14ac:dyDescent="0.2">
      <c r="A272" s="28"/>
      <c r="B272" s="28"/>
      <c r="C272" s="300"/>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x14ac:dyDescent="0.2">
      <c r="A273" s="28"/>
      <c r="B273" s="28"/>
      <c r="C273" s="300"/>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x14ac:dyDescent="0.2">
      <c r="A274" s="28"/>
      <c r="B274" s="28"/>
      <c r="C274" s="300"/>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x14ac:dyDescent="0.2">
      <c r="A275" s="28"/>
      <c r="B275" s="28"/>
      <c r="C275" s="300"/>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x14ac:dyDescent="0.2">
      <c r="A276" s="28"/>
      <c r="B276" s="28"/>
      <c r="C276" s="300"/>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x14ac:dyDescent="0.2">
      <c r="A277" s="28"/>
      <c r="B277" s="28"/>
      <c r="C277" s="300"/>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x14ac:dyDescent="0.2">
      <c r="A278" s="28"/>
      <c r="B278" s="28"/>
      <c r="C278" s="300"/>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x14ac:dyDescent="0.2">
      <c r="A279" s="28"/>
      <c r="B279" s="28"/>
      <c r="C279" s="300"/>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x14ac:dyDescent="0.2">
      <c r="A280" s="28"/>
      <c r="B280" s="28"/>
      <c r="C280" s="300"/>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x14ac:dyDescent="0.2">
      <c r="A281" s="28"/>
      <c r="B281" s="28"/>
      <c r="C281" s="300"/>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x14ac:dyDescent="0.2">
      <c r="A282" s="28"/>
      <c r="B282" s="28"/>
      <c r="C282" s="300"/>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x14ac:dyDescent="0.2">
      <c r="A283" s="28"/>
      <c r="B283" s="28"/>
      <c r="C283" s="300"/>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x14ac:dyDescent="0.2">
      <c r="A284" s="28"/>
      <c r="B284" s="28"/>
      <c r="C284" s="300"/>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x14ac:dyDescent="0.2">
      <c r="A285" s="28"/>
      <c r="B285" s="28"/>
      <c r="C285" s="300"/>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x14ac:dyDescent="0.2">
      <c r="A286" s="28"/>
      <c r="B286" s="28"/>
      <c r="C286" s="300"/>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x14ac:dyDescent="0.2">
      <c r="A287" s="28"/>
      <c r="B287" s="28"/>
      <c r="C287" s="300"/>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x14ac:dyDescent="0.2">
      <c r="A288" s="28"/>
      <c r="B288" s="28"/>
      <c r="C288" s="300"/>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x14ac:dyDescent="0.2">
      <c r="A289" s="28"/>
      <c r="B289" s="28"/>
      <c r="C289" s="300"/>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x14ac:dyDescent="0.2">
      <c r="A290" s="28"/>
      <c r="B290" s="28"/>
      <c r="C290" s="300"/>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x14ac:dyDescent="0.2">
      <c r="A291" s="28"/>
      <c r="B291" s="28"/>
      <c r="C291" s="300"/>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x14ac:dyDescent="0.2">
      <c r="A292" s="28"/>
      <c r="B292" s="28"/>
      <c r="C292" s="300"/>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x14ac:dyDescent="0.2">
      <c r="A293" s="28"/>
      <c r="B293" s="28"/>
      <c r="C293" s="300"/>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x14ac:dyDescent="0.2">
      <c r="A294" s="28"/>
      <c r="B294" s="28"/>
      <c r="C294" s="300"/>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x14ac:dyDescent="0.2">
      <c r="A295" s="28"/>
      <c r="B295" s="28"/>
      <c r="C295" s="300"/>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x14ac:dyDescent="0.2">
      <c r="A296" s="28"/>
      <c r="B296" s="28"/>
      <c r="C296" s="300"/>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x14ac:dyDescent="0.2">
      <c r="A297" s="28"/>
      <c r="B297" s="28"/>
      <c r="C297" s="300"/>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x14ac:dyDescent="0.2">
      <c r="A298" s="28"/>
      <c r="B298" s="28"/>
      <c r="C298" s="300"/>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x14ac:dyDescent="0.2">
      <c r="A299" s="28"/>
      <c r="B299" s="28"/>
      <c r="C299" s="300"/>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x14ac:dyDescent="0.2">
      <c r="A300" s="28"/>
      <c r="B300" s="28"/>
      <c r="C300" s="300"/>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x14ac:dyDescent="0.2">
      <c r="A301" s="28"/>
      <c r="B301" s="28"/>
      <c r="C301" s="300"/>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x14ac:dyDescent="0.2">
      <c r="A302" s="28"/>
      <c r="B302" s="28"/>
      <c r="C302" s="300"/>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x14ac:dyDescent="0.2">
      <c r="A303" s="28"/>
      <c r="B303" s="28"/>
      <c r="C303" s="300"/>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x14ac:dyDescent="0.2">
      <c r="A304" s="28"/>
      <c r="B304" s="28"/>
      <c r="C304" s="300"/>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x14ac:dyDescent="0.2">
      <c r="A305" s="28"/>
      <c r="B305" s="28"/>
      <c r="C305" s="300"/>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x14ac:dyDescent="0.2">
      <c r="A306" s="28"/>
      <c r="B306" s="28"/>
      <c r="C306" s="300"/>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x14ac:dyDescent="0.2">
      <c r="A307" s="28"/>
      <c r="B307" s="28"/>
      <c r="C307" s="300"/>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x14ac:dyDescent="0.2">
      <c r="A308" s="28"/>
      <c r="B308" s="28"/>
      <c r="C308" s="300"/>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x14ac:dyDescent="0.2">
      <c r="A309" s="28"/>
      <c r="B309" s="28"/>
      <c r="C309" s="300"/>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x14ac:dyDescent="0.2">
      <c r="A310" s="28"/>
      <c r="B310" s="28"/>
      <c r="C310" s="300"/>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x14ac:dyDescent="0.2">
      <c r="A311" s="28"/>
      <c r="B311" s="28"/>
      <c r="C311" s="300"/>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x14ac:dyDescent="0.2">
      <c r="A312" s="28"/>
      <c r="B312" s="28"/>
      <c r="C312" s="300"/>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x14ac:dyDescent="0.2">
      <c r="A313" s="28"/>
      <c r="B313" s="28"/>
      <c r="C313" s="300"/>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x14ac:dyDescent="0.2">
      <c r="A314" s="28"/>
      <c r="B314" s="28"/>
      <c r="C314" s="300"/>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x14ac:dyDescent="0.2">
      <c r="A315" s="28"/>
      <c r="B315" s="28"/>
      <c r="C315" s="300"/>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x14ac:dyDescent="0.2">
      <c r="A316" s="28"/>
      <c r="B316" s="28"/>
      <c r="C316" s="300"/>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x14ac:dyDescent="0.2">
      <c r="A317" s="28"/>
      <c r="B317" s="28"/>
      <c r="C317" s="300"/>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x14ac:dyDescent="0.2">
      <c r="A318" s="28"/>
      <c r="B318" s="28"/>
      <c r="C318" s="300"/>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x14ac:dyDescent="0.2">
      <c r="A319" s="28"/>
      <c r="B319" s="28"/>
      <c r="C319" s="300"/>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x14ac:dyDescent="0.2">
      <c r="A320" s="28"/>
      <c r="B320" s="28"/>
      <c r="C320" s="300"/>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x14ac:dyDescent="0.2">
      <c r="A321" s="28"/>
      <c r="B321" s="28"/>
      <c r="C321" s="300"/>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x14ac:dyDescent="0.2">
      <c r="A322" s="28"/>
      <c r="B322" s="28"/>
      <c r="C322" s="300"/>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x14ac:dyDescent="0.2">
      <c r="A323" s="28"/>
      <c r="B323" s="28"/>
      <c r="C323" s="300"/>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x14ac:dyDescent="0.2">
      <c r="A324" s="28"/>
      <c r="B324" s="28"/>
      <c r="C324" s="300"/>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x14ac:dyDescent="0.2">
      <c r="A325" s="28"/>
      <c r="B325" s="28"/>
      <c r="C325" s="300"/>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x14ac:dyDescent="0.2">
      <c r="A326" s="28"/>
      <c r="B326" s="28"/>
      <c r="C326" s="300"/>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x14ac:dyDescent="0.2">
      <c r="A327" s="28"/>
      <c r="B327" s="28"/>
      <c r="C327" s="300"/>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x14ac:dyDescent="0.2">
      <c r="A328" s="28"/>
      <c r="B328" s="28"/>
      <c r="C328" s="300"/>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x14ac:dyDescent="0.2">
      <c r="A329" s="28"/>
      <c r="B329" s="28"/>
      <c r="C329" s="300"/>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x14ac:dyDescent="0.2">
      <c r="A330" s="28"/>
      <c r="B330" s="28"/>
      <c r="C330" s="300"/>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x14ac:dyDescent="0.2">
      <c r="A331" s="28"/>
      <c r="B331" s="28"/>
      <c r="C331" s="300"/>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x14ac:dyDescent="0.2">
      <c r="A332" s="28"/>
      <c r="B332" s="28"/>
      <c r="C332" s="300"/>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x14ac:dyDescent="0.2">
      <c r="A333" s="28"/>
      <c r="B333" s="28"/>
      <c r="C333" s="300"/>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x14ac:dyDescent="0.2">
      <c r="A334" s="28"/>
      <c r="B334" s="28"/>
      <c r="C334" s="300"/>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x14ac:dyDescent="0.2">
      <c r="A335" s="28"/>
      <c r="B335" s="28"/>
      <c r="C335" s="300"/>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x14ac:dyDescent="0.2">
      <c r="A336" s="28"/>
      <c r="B336" s="28"/>
      <c r="C336" s="300"/>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x14ac:dyDescent="0.2">
      <c r="A337" s="28"/>
      <c r="B337" s="28"/>
      <c r="C337" s="300"/>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x14ac:dyDescent="0.2">
      <c r="A338" s="28"/>
      <c r="B338" s="28"/>
      <c r="C338" s="300"/>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x14ac:dyDescent="0.2">
      <c r="A339" s="28"/>
      <c r="B339" s="28"/>
      <c r="C339" s="300"/>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x14ac:dyDescent="0.2">
      <c r="A340" s="28"/>
      <c r="B340" s="28"/>
      <c r="C340" s="300"/>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x14ac:dyDescent="0.2">
      <c r="A341" s="28"/>
      <c r="B341" s="28"/>
      <c r="C341" s="300"/>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x14ac:dyDescent="0.2">
      <c r="A342" s="28"/>
      <c r="B342" s="28"/>
      <c r="C342" s="300"/>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x14ac:dyDescent="0.2">
      <c r="A343" s="28"/>
      <c r="B343" s="28"/>
      <c r="C343" s="300"/>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x14ac:dyDescent="0.2">
      <c r="A344" s="28"/>
      <c r="B344" s="28"/>
      <c r="C344" s="300"/>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x14ac:dyDescent="0.2">
      <c r="A345" s="28"/>
      <c r="B345" s="28"/>
      <c r="C345" s="300"/>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x14ac:dyDescent="0.2">
      <c r="A346" s="28"/>
      <c r="B346" s="28"/>
      <c r="C346" s="300"/>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x14ac:dyDescent="0.2">
      <c r="A347" s="28"/>
      <c r="B347" s="28"/>
      <c r="C347" s="300"/>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x14ac:dyDescent="0.2">
      <c r="A348" s="28"/>
      <c r="B348" s="28"/>
      <c r="C348" s="300"/>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x14ac:dyDescent="0.2">
      <c r="A349" s="28"/>
      <c r="B349" s="28"/>
      <c r="C349" s="300"/>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x14ac:dyDescent="0.2">
      <c r="A350" s="28"/>
      <c r="B350" s="28"/>
      <c r="C350" s="300"/>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x14ac:dyDescent="0.2">
      <c r="A351" s="28"/>
      <c r="B351" s="28"/>
      <c r="C351" s="300"/>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x14ac:dyDescent="0.2">
      <c r="A352" s="28"/>
      <c r="B352" s="28"/>
      <c r="C352" s="300"/>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x14ac:dyDescent="0.2">
      <c r="A353" s="28"/>
      <c r="B353" s="28"/>
      <c r="C353" s="300"/>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x14ac:dyDescent="0.2">
      <c r="A354" s="28"/>
      <c r="B354" s="28"/>
      <c r="C354" s="300"/>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x14ac:dyDescent="0.2">
      <c r="A355" s="28"/>
      <c r="B355" s="28"/>
      <c r="C355" s="300"/>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x14ac:dyDescent="0.2">
      <c r="A356" s="28"/>
      <c r="B356" s="28"/>
      <c r="C356" s="300"/>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x14ac:dyDescent="0.2">
      <c r="A357" s="28"/>
      <c r="B357" s="28"/>
      <c r="C357" s="300"/>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x14ac:dyDescent="0.2">
      <c r="A358" s="28"/>
      <c r="B358" s="28"/>
      <c r="C358" s="300"/>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x14ac:dyDescent="0.2">
      <c r="A359" s="28"/>
      <c r="B359" s="28"/>
      <c r="C359" s="300"/>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x14ac:dyDescent="0.2">
      <c r="A360" s="28"/>
      <c r="B360" s="28"/>
      <c r="C360" s="300"/>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x14ac:dyDescent="0.2">
      <c r="A361" s="28"/>
      <c r="B361" s="28"/>
      <c r="C361" s="300"/>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x14ac:dyDescent="0.2">
      <c r="A362" s="28"/>
      <c r="B362" s="28"/>
      <c r="C362" s="300"/>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x14ac:dyDescent="0.2">
      <c r="A363" s="28"/>
      <c r="B363" s="28"/>
      <c r="C363" s="300"/>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x14ac:dyDescent="0.2">
      <c r="A364" s="28"/>
      <c r="B364" s="28"/>
      <c r="C364" s="300"/>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x14ac:dyDescent="0.2">
      <c r="A365" s="28"/>
      <c r="B365" s="28"/>
      <c r="C365" s="300"/>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x14ac:dyDescent="0.2">
      <c r="A366" s="28"/>
      <c r="B366" s="28"/>
      <c r="C366" s="300"/>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x14ac:dyDescent="0.2">
      <c r="A367" s="28"/>
      <c r="B367" s="28"/>
      <c r="C367" s="300"/>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x14ac:dyDescent="0.2">
      <c r="A368" s="28"/>
      <c r="B368" s="28"/>
      <c r="C368" s="300"/>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x14ac:dyDescent="0.2">
      <c r="A369" s="28"/>
      <c r="B369" s="28"/>
      <c r="C369" s="300"/>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x14ac:dyDescent="0.2">
      <c r="A370" s="28"/>
      <c r="B370" s="28"/>
      <c r="C370" s="300"/>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x14ac:dyDescent="0.2">
      <c r="A371" s="28"/>
      <c r="B371" s="28"/>
      <c r="C371" s="300"/>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K27:R27"/>
    <mergeCell ref="B13:C13"/>
    <mergeCell ref="B14:C14"/>
    <mergeCell ref="B15:C15"/>
    <mergeCell ref="B16:C16"/>
    <mergeCell ref="B17:C17"/>
    <mergeCell ref="B18:C18"/>
    <mergeCell ref="B19:C19"/>
    <mergeCell ref="B20:C20"/>
    <mergeCell ref="D19:G19"/>
    <mergeCell ref="D20:G20"/>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B4:C4"/>
    <mergeCell ref="B5:C5"/>
    <mergeCell ref="B6:C6"/>
    <mergeCell ref="B7:C7"/>
    <mergeCell ref="B8:C8"/>
    <mergeCell ref="B9:C9"/>
    <mergeCell ref="B10:C10"/>
    <mergeCell ref="B11:C11"/>
    <mergeCell ref="B12:C12"/>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AL27:AM27"/>
    <mergeCell ref="AL31:AM31"/>
    <mergeCell ref="AO31:AP31"/>
    <mergeCell ref="AD35:AE36"/>
    <mergeCell ref="AF35:AG36"/>
    <mergeCell ref="AH35:AI36"/>
    <mergeCell ref="X32:AJ32"/>
    <mergeCell ref="AK32:AM32"/>
    <mergeCell ref="AN32:AP32"/>
    <mergeCell ref="AO29:AP29"/>
    <mergeCell ref="BL39:BQ39"/>
    <mergeCell ref="BT39:BY39"/>
    <mergeCell ref="AJ35:AJ36"/>
    <mergeCell ref="AK35:AP35"/>
    <mergeCell ref="X37:Y37"/>
    <mergeCell ref="Z37:AA37"/>
    <mergeCell ref="AB37:AC37"/>
    <mergeCell ref="AD37:AE37"/>
    <mergeCell ref="AF37:AG37"/>
    <mergeCell ref="AH37:AI37"/>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D1:G1"/>
    <mergeCell ref="D2:G2"/>
    <mergeCell ref="D3:G3"/>
    <mergeCell ref="D4:G4"/>
    <mergeCell ref="D5:G5"/>
    <mergeCell ref="D6:G6"/>
    <mergeCell ref="D7:G7"/>
    <mergeCell ref="D11:G11"/>
    <mergeCell ref="D12:G12"/>
    <mergeCell ref="D8:G8"/>
    <mergeCell ref="D9:G9"/>
    <mergeCell ref="D10:G10"/>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s>
  <conditionalFormatting sqref="B37:C52 F37 H37 AD37:AG52">
    <cfRule type="cellIs" dxfId="372" priority="36" operator="equal">
      <formula>0</formula>
    </cfRule>
  </conditionalFormatting>
  <conditionalFormatting sqref="AH37:AI52">
    <cfRule type="cellIs" dxfId="371" priority="37" operator="equal">
      <formula>0</formula>
    </cfRule>
  </conditionalFormatting>
  <conditionalFormatting sqref="H9:I9">
    <cfRule type="expression" dxfId="370" priority="38">
      <formula>$AS$64="MNG"</formula>
    </cfRule>
  </conditionalFormatting>
  <conditionalFormatting sqref="H9:I9">
    <cfRule type="cellIs" dxfId="369" priority="39" operator="equal">
      <formula>0</formula>
    </cfRule>
  </conditionalFormatting>
  <conditionalFormatting sqref="H10:I10">
    <cfRule type="expression" dxfId="368" priority="40">
      <formula>$AS$65="MNG"</formula>
    </cfRule>
  </conditionalFormatting>
  <conditionalFormatting sqref="H10:I10">
    <cfRule type="cellIs" dxfId="367" priority="41" operator="equal">
      <formula>0</formula>
    </cfRule>
  </conditionalFormatting>
  <conditionalFormatting sqref="H2:O19 P18:AN19">
    <cfRule type="cellIs" dxfId="366" priority="42" operator="equal">
      <formula>0</formula>
    </cfRule>
  </conditionalFormatting>
  <conditionalFormatting sqref="M2:O2 M3:N17 O3:O14 O16:O17">
    <cfRule type="cellIs" dxfId="365" priority="43" operator="equal">
      <formula>"0+"</formula>
    </cfRule>
  </conditionalFormatting>
  <conditionalFormatting sqref="X32">
    <cfRule type="cellIs" dxfId="364" priority="44" operator="equal">
      <formula>0</formula>
    </cfRule>
  </conditionalFormatting>
  <conditionalFormatting sqref="H3:I3">
    <cfRule type="expression" dxfId="363" priority="45">
      <formula>#REF!="MNG"</formula>
    </cfRule>
  </conditionalFormatting>
  <conditionalFormatting sqref="H3:I3">
    <cfRule type="cellIs" dxfId="362" priority="46" operator="equal">
      <formula>0</formula>
    </cfRule>
  </conditionalFormatting>
  <conditionalFormatting sqref="H4:I4">
    <cfRule type="expression" dxfId="361" priority="47">
      <formula>#REF!="MNG"</formula>
    </cfRule>
  </conditionalFormatting>
  <conditionalFormatting sqref="H4:I4">
    <cfRule type="cellIs" dxfId="360" priority="48" operator="equal">
      <formula>0</formula>
    </cfRule>
  </conditionalFormatting>
  <conditionalFormatting sqref="H5:I5">
    <cfRule type="expression" dxfId="359" priority="49">
      <formula>$BK$39="MNG"</formula>
    </cfRule>
  </conditionalFormatting>
  <conditionalFormatting sqref="H5:I5">
    <cfRule type="cellIs" dxfId="358" priority="50" operator="equal">
      <formula>0</formula>
    </cfRule>
  </conditionalFormatting>
  <conditionalFormatting sqref="H11:I11">
    <cfRule type="expression" dxfId="357" priority="51">
      <formula>$BK$45="MNG"</formula>
    </cfRule>
  </conditionalFormatting>
  <conditionalFormatting sqref="H11:I11">
    <cfRule type="cellIs" dxfId="356" priority="52" operator="equal">
      <formula>0</formula>
    </cfRule>
  </conditionalFormatting>
  <conditionalFormatting sqref="H12:I12">
    <cfRule type="expression" dxfId="355" priority="53">
      <formula>$BK$46="MNG"</formula>
    </cfRule>
  </conditionalFormatting>
  <conditionalFormatting sqref="H12:I12">
    <cfRule type="cellIs" dxfId="354" priority="54" operator="equal">
      <formula>0</formula>
    </cfRule>
  </conditionalFormatting>
  <conditionalFormatting sqref="H13:I13">
    <cfRule type="expression" dxfId="353" priority="55">
      <formula>$BK$47="MNG"</formula>
    </cfRule>
  </conditionalFormatting>
  <conditionalFormatting sqref="H13:I13">
    <cfRule type="cellIs" dxfId="352" priority="56" operator="equal">
      <formula>0</formula>
    </cfRule>
  </conditionalFormatting>
  <conditionalFormatting sqref="H14:I14">
    <cfRule type="expression" dxfId="351" priority="57">
      <formula>$BK$48="MNG"</formula>
    </cfRule>
  </conditionalFormatting>
  <conditionalFormatting sqref="H14:I14">
    <cfRule type="cellIs" dxfId="350" priority="58" operator="equal">
      <formula>0</formula>
    </cfRule>
  </conditionalFormatting>
  <conditionalFormatting sqref="K3">
    <cfRule type="cellIs" dxfId="349" priority="59" operator="lessThan">
      <formula>X62</formula>
    </cfRule>
  </conditionalFormatting>
  <conditionalFormatting sqref="K3">
    <cfRule type="cellIs" dxfId="348" priority="60" operator="greaterThan">
      <formula>X62</formula>
    </cfRule>
  </conditionalFormatting>
  <conditionalFormatting sqref="K4">
    <cfRule type="cellIs" dxfId="347" priority="61" operator="lessThan">
      <formula>X63</formula>
    </cfRule>
  </conditionalFormatting>
  <conditionalFormatting sqref="K4">
    <cfRule type="cellIs" dxfId="346" priority="62" operator="greaterThan">
      <formula>X63</formula>
    </cfRule>
  </conditionalFormatting>
  <conditionalFormatting sqref="K5">
    <cfRule type="cellIs" dxfId="345" priority="63" operator="lessThan">
      <formula>X64</formula>
    </cfRule>
  </conditionalFormatting>
  <conditionalFormatting sqref="K5">
    <cfRule type="cellIs" dxfId="344" priority="64" operator="greaterThan">
      <formula>X64</formula>
    </cfRule>
  </conditionalFormatting>
  <conditionalFormatting sqref="K6">
    <cfRule type="cellIs" dxfId="343" priority="65" operator="lessThan">
      <formula>X65</formula>
    </cfRule>
  </conditionalFormatting>
  <conditionalFormatting sqref="K6">
    <cfRule type="cellIs" dxfId="342" priority="66" operator="greaterThan">
      <formula>X65</formula>
    </cfRule>
  </conditionalFormatting>
  <conditionalFormatting sqref="K7">
    <cfRule type="cellIs" dxfId="341" priority="67" operator="lessThan">
      <formula>X66</formula>
    </cfRule>
  </conditionalFormatting>
  <conditionalFormatting sqref="K7">
    <cfRule type="cellIs" dxfId="340" priority="68" operator="greaterThan">
      <formula>X66</formula>
    </cfRule>
  </conditionalFormatting>
  <conditionalFormatting sqref="K8">
    <cfRule type="cellIs" dxfId="339" priority="69" operator="lessThan">
      <formula>X67</formula>
    </cfRule>
  </conditionalFormatting>
  <conditionalFormatting sqref="K8">
    <cfRule type="cellIs" dxfId="338" priority="70" operator="greaterThan">
      <formula>X67</formula>
    </cfRule>
  </conditionalFormatting>
  <conditionalFormatting sqref="K9">
    <cfRule type="cellIs" dxfId="337" priority="71" operator="lessThan">
      <formula>X68</formula>
    </cfRule>
  </conditionalFormatting>
  <conditionalFormatting sqref="K9">
    <cfRule type="cellIs" dxfId="336" priority="72" operator="greaterThan">
      <formula>X68</formula>
    </cfRule>
  </conditionalFormatting>
  <conditionalFormatting sqref="K10">
    <cfRule type="cellIs" dxfId="335" priority="73" operator="lessThan">
      <formula>X69</formula>
    </cfRule>
  </conditionalFormatting>
  <conditionalFormatting sqref="K10">
    <cfRule type="cellIs" dxfId="334" priority="74" operator="greaterThan">
      <formula>X69</formula>
    </cfRule>
  </conditionalFormatting>
  <conditionalFormatting sqref="K11">
    <cfRule type="cellIs" dxfId="333" priority="75" operator="lessThan">
      <formula>X70</formula>
    </cfRule>
  </conditionalFormatting>
  <conditionalFormatting sqref="K11">
    <cfRule type="cellIs" dxfId="332" priority="76" operator="greaterThan">
      <formula>X70</formula>
    </cfRule>
  </conditionalFormatting>
  <conditionalFormatting sqref="K12">
    <cfRule type="cellIs" dxfId="331" priority="77" operator="lessThan">
      <formula>X71</formula>
    </cfRule>
  </conditionalFormatting>
  <conditionalFormatting sqref="K12">
    <cfRule type="cellIs" dxfId="330" priority="78" operator="greaterThan">
      <formula>X71</formula>
    </cfRule>
  </conditionalFormatting>
  <conditionalFormatting sqref="K13">
    <cfRule type="cellIs" dxfId="329" priority="79" operator="lessThan">
      <formula>X72</formula>
    </cfRule>
  </conditionalFormatting>
  <conditionalFormatting sqref="K13">
    <cfRule type="cellIs" dxfId="328" priority="80" operator="greaterThan">
      <formula>X72</formula>
    </cfRule>
  </conditionalFormatting>
  <conditionalFormatting sqref="K14">
    <cfRule type="cellIs" dxfId="327" priority="81" operator="lessThan">
      <formula>X73</formula>
    </cfRule>
  </conditionalFormatting>
  <conditionalFormatting sqref="K14">
    <cfRule type="cellIs" dxfId="326" priority="82" operator="greaterThan">
      <formula>X73</formula>
    </cfRule>
  </conditionalFormatting>
  <conditionalFormatting sqref="K16">
    <cfRule type="cellIs" dxfId="325" priority="83" operator="lessThan">
      <formula>X75</formula>
    </cfRule>
  </conditionalFormatting>
  <conditionalFormatting sqref="K16">
    <cfRule type="cellIs" dxfId="324" priority="84" operator="greaterThan">
      <formula>X75</formula>
    </cfRule>
  </conditionalFormatting>
  <conditionalFormatting sqref="K17">
    <cfRule type="cellIs" dxfId="323" priority="85" operator="lessThan">
      <formula>X76</formula>
    </cfRule>
  </conditionalFormatting>
  <conditionalFormatting sqref="K17">
    <cfRule type="cellIs" dxfId="322" priority="86" operator="greaterThan">
      <formula>X76</formula>
    </cfRule>
  </conditionalFormatting>
  <conditionalFormatting sqref="L3">
    <cfRule type="cellIs" dxfId="321" priority="87" operator="lessThan">
      <formula>Y62</formula>
    </cfRule>
  </conditionalFormatting>
  <conditionalFormatting sqref="L3">
    <cfRule type="cellIs" dxfId="320" priority="88" operator="greaterThan">
      <formula>Y62</formula>
    </cfRule>
  </conditionalFormatting>
  <conditionalFormatting sqref="O3">
    <cfRule type="cellIs" dxfId="319" priority="89" operator="equal">
      <formula>"0+"</formula>
    </cfRule>
  </conditionalFormatting>
  <conditionalFormatting sqref="O3">
    <cfRule type="expression" dxfId="318" priority="90">
      <formula>P62&lt;AB62</formula>
    </cfRule>
  </conditionalFormatting>
  <conditionalFormatting sqref="O3">
    <cfRule type="expression" dxfId="317" priority="91">
      <formula>P62&gt;AB62</formula>
    </cfRule>
  </conditionalFormatting>
  <conditionalFormatting sqref="L4">
    <cfRule type="cellIs" dxfId="316" priority="92" operator="lessThan">
      <formula>Y63</formula>
    </cfRule>
  </conditionalFormatting>
  <conditionalFormatting sqref="L4">
    <cfRule type="cellIs" dxfId="315" priority="93" operator="greaterThan">
      <formula>Y63</formula>
    </cfRule>
  </conditionalFormatting>
  <conditionalFormatting sqref="O4">
    <cfRule type="cellIs" dxfId="314" priority="94" operator="equal">
      <formula>"0+"</formula>
    </cfRule>
  </conditionalFormatting>
  <conditionalFormatting sqref="O4">
    <cfRule type="expression" dxfId="313" priority="95">
      <formula>P63&lt;AB63</formula>
    </cfRule>
  </conditionalFormatting>
  <conditionalFormatting sqref="O4">
    <cfRule type="expression" dxfId="312" priority="96">
      <formula>P63&gt;AB63</formula>
    </cfRule>
  </conditionalFormatting>
  <conditionalFormatting sqref="L5">
    <cfRule type="cellIs" dxfId="311" priority="97" operator="lessThan">
      <formula>Y64</formula>
    </cfRule>
  </conditionalFormatting>
  <conditionalFormatting sqref="L5">
    <cfRule type="cellIs" dxfId="310" priority="98" operator="greaterThan">
      <formula>Y64</formula>
    </cfRule>
  </conditionalFormatting>
  <conditionalFormatting sqref="O5">
    <cfRule type="cellIs" dxfId="309" priority="99" operator="equal">
      <formula>"0+"</formula>
    </cfRule>
  </conditionalFormatting>
  <conditionalFormatting sqref="O5">
    <cfRule type="expression" dxfId="308" priority="100">
      <formula>P64&lt;AB64</formula>
    </cfRule>
  </conditionalFormatting>
  <conditionalFormatting sqref="O5">
    <cfRule type="expression" dxfId="307" priority="101">
      <formula>P64&gt;AB64</formula>
    </cfRule>
  </conditionalFormatting>
  <conditionalFormatting sqref="L6">
    <cfRule type="cellIs" dxfId="306" priority="102" operator="lessThan">
      <formula>Y65</formula>
    </cfRule>
  </conditionalFormatting>
  <conditionalFormatting sqref="L6">
    <cfRule type="cellIs" dxfId="305" priority="103" operator="greaterThan">
      <formula>Y65</formula>
    </cfRule>
  </conditionalFormatting>
  <conditionalFormatting sqref="O6">
    <cfRule type="cellIs" dxfId="304" priority="104" operator="equal">
      <formula>"0+"</formula>
    </cfRule>
  </conditionalFormatting>
  <conditionalFormatting sqref="O6">
    <cfRule type="expression" dxfId="303" priority="105">
      <formula>P65&lt;AB65</formula>
    </cfRule>
  </conditionalFormatting>
  <conditionalFormatting sqref="O6">
    <cfRule type="expression" dxfId="302" priority="106">
      <formula>P65&gt;AB65</formula>
    </cfRule>
  </conditionalFormatting>
  <conditionalFormatting sqref="L7">
    <cfRule type="cellIs" dxfId="301" priority="107" operator="lessThan">
      <formula>Y66</formula>
    </cfRule>
  </conditionalFormatting>
  <conditionalFormatting sqref="L7">
    <cfRule type="cellIs" dxfId="300" priority="108" operator="greaterThan">
      <formula>Y66</formula>
    </cfRule>
  </conditionalFormatting>
  <conditionalFormatting sqref="O7">
    <cfRule type="cellIs" dxfId="299" priority="109" operator="equal">
      <formula>"0+"</formula>
    </cfRule>
  </conditionalFormatting>
  <conditionalFormatting sqref="O7">
    <cfRule type="expression" dxfId="298" priority="110">
      <formula>P66&lt;AB66</formula>
    </cfRule>
  </conditionalFormatting>
  <conditionalFormatting sqref="O7">
    <cfRule type="expression" dxfId="297" priority="111">
      <formula>P66&gt;AB66</formula>
    </cfRule>
  </conditionalFormatting>
  <conditionalFormatting sqref="L8">
    <cfRule type="cellIs" dxfId="296" priority="112" operator="lessThan">
      <formula>Y67</formula>
    </cfRule>
  </conditionalFormatting>
  <conditionalFormatting sqref="L8">
    <cfRule type="cellIs" dxfId="295" priority="113" operator="greaterThan">
      <formula>Y67</formula>
    </cfRule>
  </conditionalFormatting>
  <conditionalFormatting sqref="O8">
    <cfRule type="cellIs" dxfId="294" priority="114" operator="equal">
      <formula>"0+"</formula>
    </cfRule>
  </conditionalFormatting>
  <conditionalFormatting sqref="O8">
    <cfRule type="expression" dxfId="293" priority="115">
      <formula>P67&lt;AB67</formula>
    </cfRule>
  </conditionalFormatting>
  <conditionalFormatting sqref="O8">
    <cfRule type="expression" dxfId="292" priority="116">
      <formula>P67&gt;AB67</formula>
    </cfRule>
  </conditionalFormatting>
  <conditionalFormatting sqref="L9">
    <cfRule type="cellIs" dxfId="291" priority="117" operator="lessThan">
      <formula>Y68</formula>
    </cfRule>
  </conditionalFormatting>
  <conditionalFormatting sqref="L9">
    <cfRule type="cellIs" dxfId="290" priority="118" operator="greaterThan">
      <formula>Y68</formula>
    </cfRule>
  </conditionalFormatting>
  <conditionalFormatting sqref="O9">
    <cfRule type="cellIs" dxfId="289" priority="119" operator="equal">
      <formula>"0+"</formula>
    </cfRule>
  </conditionalFormatting>
  <conditionalFormatting sqref="O9">
    <cfRule type="expression" dxfId="288" priority="120">
      <formula>P68&lt;AB68</formula>
    </cfRule>
  </conditionalFormatting>
  <conditionalFormatting sqref="O9">
    <cfRule type="expression" dxfId="287" priority="121">
      <formula>P68&gt;AB68</formula>
    </cfRule>
  </conditionalFormatting>
  <conditionalFormatting sqref="L10">
    <cfRule type="cellIs" dxfId="286" priority="122" operator="lessThan">
      <formula>Y69</formula>
    </cfRule>
  </conditionalFormatting>
  <conditionalFormatting sqref="L10">
    <cfRule type="cellIs" dxfId="285" priority="123" operator="greaterThan">
      <formula>Y69</formula>
    </cfRule>
  </conditionalFormatting>
  <conditionalFormatting sqref="O10">
    <cfRule type="cellIs" dxfId="284" priority="124" operator="equal">
      <formula>"0+"</formula>
    </cfRule>
  </conditionalFormatting>
  <conditionalFormatting sqref="O10">
    <cfRule type="expression" dxfId="283" priority="125">
      <formula>P69&lt;AB69</formula>
    </cfRule>
  </conditionalFormatting>
  <conditionalFormatting sqref="O10">
    <cfRule type="expression" dxfId="282" priority="126">
      <formula>P69&gt;AB69</formula>
    </cfRule>
  </conditionalFormatting>
  <conditionalFormatting sqref="L11">
    <cfRule type="cellIs" dxfId="281" priority="127" operator="lessThan">
      <formula>Y70</formula>
    </cfRule>
  </conditionalFormatting>
  <conditionalFormatting sqref="L11">
    <cfRule type="cellIs" dxfId="280" priority="128" operator="greaterThan">
      <formula>Y70</formula>
    </cfRule>
  </conditionalFormatting>
  <conditionalFormatting sqref="O11">
    <cfRule type="cellIs" dxfId="279" priority="129" operator="equal">
      <formula>"0+"</formula>
    </cfRule>
  </conditionalFormatting>
  <conditionalFormatting sqref="O11">
    <cfRule type="expression" dxfId="278" priority="130">
      <formula>P70&lt;AB70</formula>
    </cfRule>
  </conditionalFormatting>
  <conditionalFormatting sqref="O11">
    <cfRule type="expression" dxfId="277" priority="131">
      <formula>P70&gt;AB70</formula>
    </cfRule>
  </conditionalFormatting>
  <conditionalFormatting sqref="L12">
    <cfRule type="cellIs" dxfId="276" priority="132" operator="lessThan">
      <formula>Y71</formula>
    </cfRule>
  </conditionalFormatting>
  <conditionalFormatting sqref="L12">
    <cfRule type="cellIs" dxfId="275" priority="133" operator="greaterThan">
      <formula>Y71</formula>
    </cfRule>
  </conditionalFormatting>
  <conditionalFormatting sqref="O12">
    <cfRule type="cellIs" dxfId="274" priority="134" operator="equal">
      <formula>"0+"</formula>
    </cfRule>
  </conditionalFormatting>
  <conditionalFormatting sqref="O12">
    <cfRule type="expression" dxfId="273" priority="135">
      <formula>P71&lt;AB71</formula>
    </cfRule>
  </conditionalFormatting>
  <conditionalFormatting sqref="O12">
    <cfRule type="expression" dxfId="272" priority="136">
      <formula>P71&gt;AB71</formula>
    </cfRule>
  </conditionalFormatting>
  <conditionalFormatting sqref="L13">
    <cfRule type="cellIs" dxfId="271" priority="137" operator="lessThan">
      <formula>Y72</formula>
    </cfRule>
  </conditionalFormatting>
  <conditionalFormatting sqref="L13">
    <cfRule type="cellIs" dxfId="270" priority="138" operator="greaterThan">
      <formula>Y72</formula>
    </cfRule>
  </conditionalFormatting>
  <conditionalFormatting sqref="O13">
    <cfRule type="cellIs" dxfId="269" priority="139" operator="equal">
      <formula>"0+"</formula>
    </cfRule>
  </conditionalFormatting>
  <conditionalFormatting sqref="O13">
    <cfRule type="expression" dxfId="268" priority="140">
      <formula>P72&lt;AB72</formula>
    </cfRule>
  </conditionalFormatting>
  <conditionalFormatting sqref="O13">
    <cfRule type="expression" dxfId="267" priority="141">
      <formula>P72&gt;AB72</formula>
    </cfRule>
  </conditionalFormatting>
  <conditionalFormatting sqref="L14">
    <cfRule type="cellIs" dxfId="266" priority="142" operator="lessThan">
      <formula>Y73</formula>
    </cfRule>
  </conditionalFormatting>
  <conditionalFormatting sqref="L14">
    <cfRule type="cellIs" dxfId="265" priority="143" operator="greaterThan">
      <formula>Y73</formula>
    </cfRule>
  </conditionalFormatting>
  <conditionalFormatting sqref="O14">
    <cfRule type="cellIs" dxfId="264" priority="144" operator="equal">
      <formula>"0+"</formula>
    </cfRule>
  </conditionalFormatting>
  <conditionalFormatting sqref="O14">
    <cfRule type="expression" dxfId="263" priority="145">
      <formula>P73&lt;AB73</formula>
    </cfRule>
  </conditionalFormatting>
  <conditionalFormatting sqref="O14">
    <cfRule type="expression" dxfId="262" priority="146">
      <formula>P73&gt;AB73</formula>
    </cfRule>
  </conditionalFormatting>
  <conditionalFormatting sqref="L16">
    <cfRule type="cellIs" dxfId="261" priority="147" operator="lessThan">
      <formula>Y75</formula>
    </cfRule>
  </conditionalFormatting>
  <conditionalFormatting sqref="L16">
    <cfRule type="cellIs" dxfId="260" priority="148" operator="greaterThan">
      <formula>Y75</formula>
    </cfRule>
  </conditionalFormatting>
  <conditionalFormatting sqref="O16">
    <cfRule type="cellIs" dxfId="259" priority="149" operator="equal">
      <formula>"0+"</formula>
    </cfRule>
  </conditionalFormatting>
  <conditionalFormatting sqref="O16">
    <cfRule type="expression" dxfId="258" priority="150">
      <formula>P75&lt;AB75</formula>
    </cfRule>
  </conditionalFormatting>
  <conditionalFormatting sqref="O16">
    <cfRule type="expression" dxfId="257" priority="151">
      <formula>P75&gt;AB75</formula>
    </cfRule>
  </conditionalFormatting>
  <conditionalFormatting sqref="L17">
    <cfRule type="cellIs" dxfId="256" priority="152" operator="lessThan">
      <formula>Y76</formula>
    </cfRule>
  </conditionalFormatting>
  <conditionalFormatting sqref="L17">
    <cfRule type="cellIs" dxfId="255" priority="153" operator="greaterThan">
      <formula>Y76</formula>
    </cfRule>
  </conditionalFormatting>
  <conditionalFormatting sqref="O17">
    <cfRule type="cellIs" dxfId="254" priority="154" operator="equal">
      <formula>"0+"</formula>
    </cfRule>
  </conditionalFormatting>
  <conditionalFormatting sqref="O17">
    <cfRule type="expression" dxfId="253" priority="155">
      <formula>P76&lt;AB76</formula>
    </cfRule>
  </conditionalFormatting>
  <conditionalFormatting sqref="O17">
    <cfRule type="expression" dxfId="252" priority="156">
      <formula>P76&gt;AB76</formula>
    </cfRule>
  </conditionalFormatting>
  <conditionalFormatting sqref="D3:AP3 AK2:AL2">
    <cfRule type="expression" dxfId="251" priority="157">
      <formula>$AA$3&lt;&gt;""</formula>
    </cfRule>
  </conditionalFormatting>
  <conditionalFormatting sqref="D4:AP4">
    <cfRule type="expression" dxfId="250" priority="158">
      <formula>$AA$4&lt;&gt;""</formula>
    </cfRule>
  </conditionalFormatting>
  <conditionalFormatting sqref="D5:AP5">
    <cfRule type="expression" dxfId="249" priority="159">
      <formula>$AA$5&lt;&gt;""</formula>
    </cfRule>
  </conditionalFormatting>
  <conditionalFormatting sqref="D6:AP6">
    <cfRule type="expression" dxfId="248" priority="160">
      <formula>$AA$6&lt;&gt;""</formula>
    </cfRule>
  </conditionalFormatting>
  <conditionalFormatting sqref="D7:AP7">
    <cfRule type="expression" dxfId="247" priority="161">
      <formula>$AA$7&lt;&gt;""</formula>
    </cfRule>
  </conditionalFormatting>
  <conditionalFormatting sqref="D8:AP8">
    <cfRule type="expression" dxfId="246" priority="162">
      <formula>$AA$8&lt;&gt;""</formula>
    </cfRule>
  </conditionalFormatting>
  <conditionalFormatting sqref="D9:AP9">
    <cfRule type="expression" dxfId="245" priority="163">
      <formula>$AA$9&lt;&gt;""</formula>
    </cfRule>
  </conditionalFormatting>
  <conditionalFormatting sqref="D10:AP10">
    <cfRule type="expression" dxfId="244" priority="164">
      <formula>$AA$10&lt;&gt;""</formula>
    </cfRule>
  </conditionalFormatting>
  <conditionalFormatting sqref="D11:AP11">
    <cfRule type="expression" dxfId="243" priority="165">
      <formula>$AA$11&lt;&gt;""</formula>
    </cfRule>
  </conditionalFormatting>
  <conditionalFormatting sqref="D12:AP12">
    <cfRule type="expression" dxfId="242" priority="166">
      <formula>$AA$12&lt;&gt;""</formula>
    </cfRule>
  </conditionalFormatting>
  <conditionalFormatting sqref="D13:AP13">
    <cfRule type="expression" dxfId="241" priority="167">
      <formula>$AA$13&lt;&gt;""</formula>
    </cfRule>
  </conditionalFormatting>
  <conditionalFormatting sqref="D14:AP14">
    <cfRule type="expression" dxfId="240" priority="168">
      <formula>$AA$14&lt;&gt;""</formula>
    </cfRule>
  </conditionalFormatting>
  <conditionalFormatting sqref="D16:AP16">
    <cfRule type="expression" dxfId="239" priority="169">
      <formula>$AA$16&lt;&gt;""</formula>
    </cfRule>
  </conditionalFormatting>
  <conditionalFormatting sqref="D17:AP17">
    <cfRule type="expression" dxfId="238" priority="170">
      <formula>$AA$17&lt;&gt;""</formula>
    </cfRule>
  </conditionalFormatting>
  <conditionalFormatting sqref="H6:I6">
    <cfRule type="expression" dxfId="237" priority="171">
      <formula>$AS$61="MNG"</formula>
    </cfRule>
  </conditionalFormatting>
  <conditionalFormatting sqref="H6:I6">
    <cfRule type="cellIs" dxfId="236" priority="172" operator="equal">
      <formula>0</formula>
    </cfRule>
  </conditionalFormatting>
  <conditionalFormatting sqref="H7:I7">
    <cfRule type="expression" dxfId="235" priority="173">
      <formula>$AS$62="MNG"</formula>
    </cfRule>
  </conditionalFormatting>
  <conditionalFormatting sqref="H7:I7">
    <cfRule type="cellIs" dxfId="234" priority="174" operator="equal">
      <formula>0</formula>
    </cfRule>
  </conditionalFormatting>
  <conditionalFormatting sqref="H8:I8">
    <cfRule type="expression" dxfId="233" priority="175">
      <formula>$AS$63="MNG"</formula>
    </cfRule>
  </conditionalFormatting>
  <conditionalFormatting sqref="H8:I8">
    <cfRule type="cellIs" dxfId="232" priority="176" operator="equal">
      <formula>0</formula>
    </cfRule>
  </conditionalFormatting>
  <conditionalFormatting sqref="Y31:AB31">
    <cfRule type="expression" dxfId="231" priority="177">
      <formula>$Z$31=0</formula>
    </cfRule>
  </conditionalFormatting>
  <conditionalFormatting sqref="AC31:AD31">
    <cfRule type="expression" dxfId="230" priority="178">
      <formula>$Z$31=0</formula>
    </cfRule>
  </conditionalFormatting>
  <conditionalFormatting sqref="X31">
    <cfRule type="expression" dxfId="229" priority="179">
      <formula>$Z$31=0</formula>
    </cfRule>
  </conditionalFormatting>
  <conditionalFormatting sqref="AK31:AN31">
    <cfRule type="expression" dxfId="228" priority="180">
      <formula>$AL$31=0</formula>
    </cfRule>
  </conditionalFormatting>
  <conditionalFormatting sqref="AJ31">
    <cfRule type="expression" dxfId="227" priority="181">
      <formula>$AL$31=0</formula>
    </cfRule>
  </conditionalFormatting>
  <conditionalFormatting sqref="B2 D2:AJ2 AM2:AP2">
    <cfRule type="expression" dxfId="226" priority="182">
      <formula>$AA$2&lt;&gt;""</formula>
    </cfRule>
  </conditionalFormatting>
  <conditionalFormatting sqref="P2:P17">
    <cfRule type="cellIs" dxfId="225" priority="183" operator="equal">
      <formula>0&amp;BG2</formula>
    </cfRule>
  </conditionalFormatting>
  <conditionalFormatting sqref="P2:P17">
    <cfRule type="expression" dxfId="224" priority="184">
      <formula>AX2&lt;&gt;""</formula>
    </cfRule>
  </conditionalFormatting>
  <conditionalFormatting sqref="M2:M17">
    <cfRule type="expression" dxfId="223" priority="185">
      <formula>N61&gt;Z61</formula>
    </cfRule>
  </conditionalFormatting>
  <conditionalFormatting sqref="M2:M17">
    <cfRule type="expression" dxfId="222" priority="186">
      <formula>N61&lt;Z61</formula>
    </cfRule>
  </conditionalFormatting>
  <conditionalFormatting sqref="K2">
    <cfRule type="cellIs" dxfId="221" priority="187" operator="lessThan">
      <formula>X61</formula>
    </cfRule>
  </conditionalFormatting>
  <conditionalFormatting sqref="K2">
    <cfRule type="cellIs" dxfId="220" priority="188" operator="greaterThan">
      <formula>X61</formula>
    </cfRule>
  </conditionalFormatting>
  <conditionalFormatting sqref="L2">
    <cfRule type="cellIs" dxfId="219" priority="189" operator="lessThan">
      <formula>Y61</formula>
    </cfRule>
  </conditionalFormatting>
  <conditionalFormatting sqref="L2">
    <cfRule type="cellIs" dxfId="218" priority="190" operator="greaterThan">
      <formula>Y61</formula>
    </cfRule>
  </conditionalFormatting>
  <conditionalFormatting sqref="O2">
    <cfRule type="expression" dxfId="217" priority="191">
      <formula>P61&lt;AB61</formula>
    </cfRule>
  </conditionalFormatting>
  <conditionalFormatting sqref="O2">
    <cfRule type="expression" dxfId="216" priority="192">
      <formula>P61&gt;AB61</formula>
    </cfRule>
  </conditionalFormatting>
  <conditionalFormatting sqref="H18:J18">
    <cfRule type="expression" dxfId="215" priority="193">
      <formula>$D$18="Star Players"</formula>
    </cfRule>
  </conditionalFormatting>
  <conditionalFormatting sqref="H19:J19">
    <cfRule type="expression" dxfId="214" priority="194">
      <formula>$D$19="Star Players"</formula>
    </cfRule>
  </conditionalFormatting>
  <conditionalFormatting sqref="P18:AN18">
    <cfRule type="expression" dxfId="213" priority="195">
      <formula>$AT$18&lt;&gt;""</formula>
    </cfRule>
  </conditionalFormatting>
  <conditionalFormatting sqref="P19:AN19">
    <cfRule type="expression" dxfId="212" priority="196">
      <formula>$AT$19&lt;&gt;""</formula>
    </cfRule>
  </conditionalFormatting>
  <conditionalFormatting sqref="H15:I15 K15:L15 O15">
    <cfRule type="cellIs" dxfId="211" priority="197" operator="equal">
      <formula>0</formula>
    </cfRule>
  </conditionalFormatting>
  <conditionalFormatting sqref="O15">
    <cfRule type="cellIs" dxfId="210" priority="198" operator="equal">
      <formula>"0+"</formula>
    </cfRule>
  </conditionalFormatting>
  <conditionalFormatting sqref="K15">
    <cfRule type="cellIs" dxfId="209" priority="199" operator="lessThan">
      <formula>X74</formula>
    </cfRule>
  </conditionalFormatting>
  <conditionalFormatting sqref="K15">
    <cfRule type="cellIs" dxfId="208" priority="200" operator="greaterThan">
      <formula>X74</formula>
    </cfRule>
  </conditionalFormatting>
  <conditionalFormatting sqref="L15">
    <cfRule type="cellIs" dxfId="207" priority="201" operator="lessThan">
      <formula>Y74</formula>
    </cfRule>
  </conditionalFormatting>
  <conditionalFormatting sqref="L15">
    <cfRule type="cellIs" dxfId="206" priority="202" operator="greaterThan">
      <formula>Y74</formula>
    </cfRule>
  </conditionalFormatting>
  <conditionalFormatting sqref="O15">
    <cfRule type="cellIs" dxfId="205" priority="203" operator="equal">
      <formula>"0+"</formula>
    </cfRule>
  </conditionalFormatting>
  <conditionalFormatting sqref="O15">
    <cfRule type="expression" dxfId="204" priority="204">
      <formula>P74&lt;AB74</formula>
    </cfRule>
  </conditionalFormatting>
  <conditionalFormatting sqref="O15">
    <cfRule type="expression" dxfId="203" priority="205">
      <formula>P74&gt;AB74</formula>
    </cfRule>
  </conditionalFormatting>
  <conditionalFormatting sqref="D15:AP15">
    <cfRule type="expression" dxfId="202" priority="206">
      <formula>$AA$15&lt;&gt;""</formula>
    </cfRule>
  </conditionalFormatting>
  <conditionalFormatting sqref="AO18:AP19">
    <cfRule type="cellIs" dxfId="201" priority="207" operator="equal">
      <formula>0</formula>
    </cfRule>
  </conditionalFormatting>
  <conditionalFormatting sqref="N2:N17">
    <cfRule type="expression" dxfId="200" priority="208">
      <formula>O61&gt;AA61</formula>
    </cfRule>
  </conditionalFormatting>
  <conditionalFormatting sqref="N2:N17">
    <cfRule type="expression" dxfId="199" priority="209">
      <formula>O61&lt;AA61</formula>
    </cfRule>
  </conditionalFormatting>
  <conditionalFormatting sqref="AK25:AN25">
    <cfRule type="expression" dxfId="198" priority="210">
      <formula>$AL$25=0</formula>
    </cfRule>
  </conditionalFormatting>
  <conditionalFormatting sqref="AK26:AN26">
    <cfRule type="expression" dxfId="197" priority="211">
      <formula>$AL$26=0</formula>
    </cfRule>
  </conditionalFormatting>
  <conditionalFormatting sqref="AK27:AN27">
    <cfRule type="expression" dxfId="196" priority="212">
      <formula>$AL$27=0</formula>
    </cfRule>
  </conditionalFormatting>
  <conditionalFormatting sqref="AK28:AN28">
    <cfRule type="expression" dxfId="195" priority="213">
      <formula>$AL$28=0</formula>
    </cfRule>
  </conditionalFormatting>
  <conditionalFormatting sqref="AO25:AP25">
    <cfRule type="expression" dxfId="194" priority="214">
      <formula>$AL$25=0</formula>
    </cfRule>
  </conditionalFormatting>
  <conditionalFormatting sqref="AK29:AN29">
    <cfRule type="expression" dxfId="193" priority="215">
      <formula>$AL$29=0</formula>
    </cfRule>
  </conditionalFormatting>
  <conditionalFormatting sqref="AO29:AP29">
    <cfRule type="expression" dxfId="192" priority="216">
      <formula>$AL$29=0</formula>
    </cfRule>
  </conditionalFormatting>
  <conditionalFormatting sqref="K18:O19">
    <cfRule type="cellIs" dxfId="191" priority="217" operator="equal">
      <formula>0</formula>
    </cfRule>
  </conditionalFormatting>
  <conditionalFormatting sqref="AO26:AP26">
    <cfRule type="expression" dxfId="190" priority="218">
      <formula>$AL$26=0</formula>
    </cfRule>
  </conditionalFormatting>
  <conditionalFormatting sqref="AO27:AP27">
    <cfRule type="expression" dxfId="189" priority="219">
      <formula>$AL$27=0</formula>
    </cfRule>
  </conditionalFormatting>
  <conditionalFormatting sqref="AO28:AP28">
    <cfRule type="expression" dxfId="188" priority="220">
      <formula>$AL$28=0</formula>
    </cfRule>
  </conditionalFormatting>
  <conditionalFormatting sqref="AO31:AP31">
    <cfRule type="expression" dxfId="187" priority="221">
      <formula>$AL$31=0</formula>
    </cfRule>
  </conditionalFormatting>
  <conditionalFormatting sqref="Y22:AB22">
    <cfRule type="expression" dxfId="186" priority="222">
      <formula>$Z$22=0</formula>
    </cfRule>
  </conditionalFormatting>
  <conditionalFormatting sqref="AC22:AD22">
    <cfRule type="expression" dxfId="185" priority="223">
      <formula>$Z$22=0</formula>
    </cfRule>
  </conditionalFormatting>
  <conditionalFormatting sqref="AH38:AI38">
    <cfRule type="cellIs" dxfId="184" priority="224" operator="equal">
      <formula>0</formula>
    </cfRule>
  </conditionalFormatting>
  <conditionalFormatting sqref="AH39:AI39">
    <cfRule type="cellIs" dxfId="183" priority="225" operator="equal">
      <formula>0</formula>
    </cfRule>
  </conditionalFormatting>
  <conditionalFormatting sqref="AH40:AI40">
    <cfRule type="cellIs" dxfId="182" priority="226" operator="equal">
      <formula>0</formula>
    </cfRule>
  </conditionalFormatting>
  <conditionalFormatting sqref="AH41:AI41">
    <cfRule type="cellIs" dxfId="181" priority="227" operator="equal">
      <formula>0</formula>
    </cfRule>
  </conditionalFormatting>
  <conditionalFormatting sqref="AH42:AI42">
    <cfRule type="cellIs" dxfId="180" priority="228" operator="equal">
      <formula>0</formula>
    </cfRule>
  </conditionalFormatting>
  <conditionalFormatting sqref="AH43:AI43">
    <cfRule type="cellIs" dxfId="179" priority="229" operator="equal">
      <formula>0</formula>
    </cfRule>
  </conditionalFormatting>
  <conditionalFormatting sqref="AH44:AI44">
    <cfRule type="cellIs" dxfId="178" priority="230" operator="equal">
      <formula>0</formula>
    </cfRule>
  </conditionalFormatting>
  <conditionalFormatting sqref="AH45:AI45">
    <cfRule type="cellIs" dxfId="177" priority="231" operator="equal">
      <formula>0</formula>
    </cfRule>
  </conditionalFormatting>
  <conditionalFormatting sqref="AH46:AI46">
    <cfRule type="cellIs" dxfId="176" priority="232" operator="equal">
      <formula>0</formula>
    </cfRule>
  </conditionalFormatting>
  <conditionalFormatting sqref="AH47:AI47">
    <cfRule type="cellIs" dxfId="175" priority="233" operator="equal">
      <formula>0</formula>
    </cfRule>
  </conditionalFormatting>
  <conditionalFormatting sqref="AH48:AI48">
    <cfRule type="cellIs" dxfId="174" priority="234" operator="equal">
      <formula>0</formula>
    </cfRule>
  </conditionalFormatting>
  <conditionalFormatting sqref="AH49:AI49">
    <cfRule type="cellIs" dxfId="173" priority="235" operator="equal">
      <formula>0</formula>
    </cfRule>
  </conditionalFormatting>
  <conditionalFormatting sqref="AH50:AI50">
    <cfRule type="cellIs" dxfId="172" priority="236" operator="equal">
      <formula>0</formula>
    </cfRule>
  </conditionalFormatting>
  <conditionalFormatting sqref="AH51:AI51">
    <cfRule type="cellIs" dxfId="171" priority="237" operator="equal">
      <formula>0</formula>
    </cfRule>
  </conditionalFormatting>
  <conditionalFormatting sqref="AH37:AI52">
    <cfRule type="cellIs" dxfId="170" priority="238" operator="equal">
      <formula>0</formula>
    </cfRule>
  </conditionalFormatting>
  <conditionalFormatting sqref="J18">
    <cfRule type="cellIs" dxfId="169" priority="35" operator="equal">
      <formula>2</formula>
    </cfRule>
  </conditionalFormatting>
  <conditionalFormatting sqref="J19">
    <cfRule type="cellIs" dxfId="168" priority="34" operator="equal">
      <formula>2</formula>
    </cfRule>
  </conditionalFormatting>
  <conditionalFormatting sqref="H20:AN20">
    <cfRule type="cellIs" dxfId="167" priority="29" operator="equal">
      <formula>0</formula>
    </cfRule>
  </conditionalFormatting>
  <conditionalFormatting sqref="H20:J20">
    <cfRule type="expression" dxfId="166" priority="30">
      <formula>$D$19="Star Players"</formula>
    </cfRule>
  </conditionalFormatting>
  <conditionalFormatting sqref="P20:AN20">
    <cfRule type="expression" dxfId="165" priority="31">
      <formula>$AT$19&lt;&gt;""</formula>
    </cfRule>
  </conditionalFormatting>
  <conditionalFormatting sqref="AO20:AP20">
    <cfRule type="cellIs" dxfId="164" priority="32" operator="equal">
      <formula>0</formula>
    </cfRule>
  </conditionalFormatting>
  <conditionalFormatting sqref="K20:O20">
    <cfRule type="cellIs" dxfId="163" priority="33" operator="equal">
      <formula>0</formula>
    </cfRule>
  </conditionalFormatting>
  <conditionalFormatting sqref="J20">
    <cfRule type="cellIs" dxfId="162" priority="28" operator="equal">
      <formula>2</formula>
    </cfRule>
  </conditionalFormatting>
  <conditionalFormatting sqref="B3">
    <cfRule type="expression" dxfId="161" priority="27">
      <formula>$AA$2&lt;&gt;""</formula>
    </cfRule>
  </conditionalFormatting>
  <conditionalFormatting sqref="B4">
    <cfRule type="expression" dxfId="160" priority="26">
      <formula>$AA$2&lt;&gt;""</formula>
    </cfRule>
  </conditionalFormatting>
  <conditionalFormatting sqref="B5">
    <cfRule type="expression" dxfId="159" priority="25">
      <formula>$AA$2&lt;&gt;""</formula>
    </cfRule>
  </conditionalFormatting>
  <conditionalFormatting sqref="B6">
    <cfRule type="expression" dxfId="158" priority="24">
      <formula>$AA$2&lt;&gt;""</formula>
    </cfRule>
  </conditionalFormatting>
  <conditionalFormatting sqref="B7">
    <cfRule type="expression" dxfId="157" priority="23">
      <formula>$AA$2&lt;&gt;""</formula>
    </cfRule>
  </conditionalFormatting>
  <conditionalFormatting sqref="B8">
    <cfRule type="expression" dxfId="156" priority="22">
      <formula>$AA$2&lt;&gt;""</formula>
    </cfRule>
  </conditionalFormatting>
  <conditionalFormatting sqref="B9">
    <cfRule type="expression" dxfId="155" priority="21">
      <formula>$AA$2&lt;&gt;""</formula>
    </cfRule>
  </conditionalFormatting>
  <conditionalFormatting sqref="B10:B12">
    <cfRule type="expression" dxfId="154" priority="18">
      <formula>$AA$2&lt;&gt;""</formula>
    </cfRule>
  </conditionalFormatting>
  <conditionalFormatting sqref="B13">
    <cfRule type="expression" dxfId="153" priority="17">
      <formula>$AA$2&lt;&gt;""</formula>
    </cfRule>
  </conditionalFormatting>
  <conditionalFormatting sqref="B14">
    <cfRule type="expression" dxfId="152" priority="16">
      <formula>$AA$2&lt;&gt;""</formula>
    </cfRule>
  </conditionalFormatting>
  <conditionalFormatting sqref="B15">
    <cfRule type="expression" dxfId="151" priority="15">
      <formula>$AA$2&lt;&gt;""</formula>
    </cfRule>
  </conditionalFormatting>
  <conditionalFormatting sqref="B16">
    <cfRule type="expression" dxfId="150" priority="14">
      <formula>$AA$2&lt;&gt;""</formula>
    </cfRule>
  </conditionalFormatting>
  <conditionalFormatting sqref="B17">
    <cfRule type="expression" dxfId="149" priority="13">
      <formula>$AA$2&lt;&gt;""</formula>
    </cfRule>
  </conditionalFormatting>
  <conditionalFormatting sqref="D37:E52">
    <cfRule type="cellIs" dxfId="148" priority="12" operator="equal">
      <formula>0</formula>
    </cfRule>
  </conditionalFormatting>
  <conditionalFormatting sqref="F38:F52">
    <cfRule type="cellIs" dxfId="147" priority="11" operator="equal">
      <formula>0</formula>
    </cfRule>
  </conditionalFormatting>
  <conditionalFormatting sqref="H38:H52">
    <cfRule type="cellIs" dxfId="146" priority="10" operator="equal">
      <formula>0</formula>
    </cfRule>
  </conditionalFormatting>
  <conditionalFormatting sqref="L37:M52">
    <cfRule type="cellIs" dxfId="145" priority="9" operator="equal">
      <formula>0</formula>
    </cfRule>
  </conditionalFormatting>
  <conditionalFormatting sqref="N37:O52">
    <cfRule type="cellIs" dxfId="144" priority="8" operator="equal">
      <formula>0</formula>
    </cfRule>
  </conditionalFormatting>
  <conditionalFormatting sqref="P37:Q52">
    <cfRule type="cellIs" dxfId="143" priority="7" operator="equal">
      <formula>0</formula>
    </cfRule>
  </conditionalFormatting>
  <conditionalFormatting sqref="R37:S52">
    <cfRule type="cellIs" dxfId="142" priority="6" operator="equal">
      <formula>0</formula>
    </cfRule>
  </conditionalFormatting>
  <conditionalFormatting sqref="T37:U52">
    <cfRule type="cellIs" dxfId="141" priority="5" operator="equal">
      <formula>0</formula>
    </cfRule>
  </conditionalFormatting>
  <conditionalFormatting sqref="V37:W52">
    <cfRule type="cellIs" dxfId="140" priority="4" operator="equal">
      <formula>0</formula>
    </cfRule>
  </conditionalFormatting>
  <conditionalFormatting sqref="X37:Y52">
    <cfRule type="cellIs" dxfId="139" priority="3" operator="equal">
      <formula>0</formula>
    </cfRule>
  </conditionalFormatting>
  <conditionalFormatting sqref="Z37:AA52">
    <cfRule type="cellIs" dxfId="138" priority="2" operator="equal">
      <formula>0</formula>
    </cfRule>
  </conditionalFormatting>
  <conditionalFormatting sqref="AB37:AC52">
    <cfRule type="cellIs" dxfId="137" priority="1" operator="equal">
      <formula>0</formula>
    </cfRule>
  </conditionalFormatting>
  <dataValidations count="41">
    <dataValidation type="list" allowBlank="1" showErrorMessage="1" sqref="D2:D17" xr:uid="{00000000-0002-0000-0100-000000000000}">
      <formula1>$BK$2:$BK$14</formula1>
    </dataValidation>
    <dataValidation type="list" allowBlank="1" showErrorMessage="1" sqref="AE25" xr:uid="{00000000-0002-0000-0100-000001000000}">
      <formula1>$BI$59:$BI$71</formula1>
    </dataValidation>
    <dataValidation type="list" allowBlank="1" showErrorMessage="1" sqref="X23" xr:uid="{00000000-0002-0000-0100-000002000000}">
      <formula1>$AZ$62:$AZ$72</formula1>
    </dataValidation>
    <dataValidation type="list" allowBlank="1" showErrorMessage="1" sqref="X25 AJ31" xr:uid="{00000000-0002-0000-0100-000003000000}">
      <formula1>$AZ$62:$AZ$64</formula1>
    </dataValidation>
    <dataValidation type="list" allowBlank="1" showErrorMessage="1" sqref="H55:H57" xr:uid="{00000000-0002-0000-0100-000004000000}">
      <formula1>$BB$68:$BB$69</formula1>
    </dataValidation>
    <dataValidation type="list" allowBlank="1" showErrorMessage="1" sqref="X22 X30:X31 AJ24:AJ28" xr:uid="{00000000-0002-0000-0100-000005000000}">
      <formula1>$AZ$62:$AZ$63</formula1>
    </dataValidation>
    <dataValidation type="list" allowBlank="1" showErrorMessage="1" sqref="AP37:AP52 AL37:AM52" xr:uid="{00000000-0002-0000-0100-000008000000}">
      <formula1>$AJ$62:$AJ$64</formula1>
    </dataValidation>
    <dataValidation type="list" allowBlank="1" showErrorMessage="1" sqref="X26" xr:uid="{00000000-0002-0000-0100-000009000000}">
      <formula1>$AZ$62:$AZ$67</formula1>
    </dataValidation>
    <dataValidation type="list" allowBlank="1" showErrorMessage="1" sqref="AK37:AK52" xr:uid="{00000000-0002-0000-0100-00000A000000}">
      <formula1>$AJ$66:$AJ$70</formula1>
    </dataValidation>
    <dataValidation type="list" allowBlank="1" showErrorMessage="1" sqref="AJ22:AJ23 AJ30" xr:uid="{00000000-0002-0000-0100-00000B000000}">
      <formula1>$AZ$62:$AZ$70</formula1>
    </dataValidation>
    <dataValidation type="list" allowBlank="1" showErrorMessage="1" sqref="AN37:AO52" xr:uid="{00000000-0002-0000-0100-00000C000000}">
      <formula1>$AJ$66:$AJ$68</formula1>
    </dataValidation>
    <dataValidation type="list" allowBlank="1" showErrorMessage="1" sqref="X45 T45 P45 L45 C45 F45:G45" xr:uid="{00000000-0002-0000-0100-00000D000000}">
      <formula1>$CP$60:$CP$125</formula1>
    </dataValidation>
    <dataValidation type="list" allowBlank="1" showErrorMessage="1" sqref="X43 T43 P43 L43 C43 F43:G43" xr:uid="{00000000-0002-0000-0100-00000E000000}">
      <formula1>$CN$60:$CN$125</formula1>
    </dataValidation>
    <dataValidation type="list" allowBlank="1" showErrorMessage="1" sqref="X28 AJ29" xr:uid="{00000000-0002-0000-0100-00000F000000}">
      <formula1>$AZ$62:$AZ$65</formula1>
    </dataValidation>
    <dataValidation type="list" allowBlank="1" showErrorMessage="1" sqref="X44 T44 P44 L44 C44 F44:G44" xr:uid="{00000000-0002-0000-0100-000010000000}">
      <formula1>$CO$60:$CO$125</formula1>
    </dataValidation>
    <dataValidation type="list" allowBlank="1" showErrorMessage="1" sqref="AK32" xr:uid="{00000000-0002-0000-0100-000011000000}">
      <formula1>$BB$76:$BB$81</formula1>
    </dataValidation>
    <dataValidation type="list" allowBlank="1" showErrorMessage="1" sqref="X40 T40 P40 L40 C40 F40:G40" xr:uid="{00000000-0002-0000-0100-000012000000}">
      <formula1>$CK$60:$CK$125</formula1>
    </dataValidation>
    <dataValidation type="list" allowBlank="1" showErrorMessage="1" sqref="X37 T37 P37 L37 C37 F37" xr:uid="{00000000-0002-0000-0100-000013000000}">
      <formula1>$CH$60:$CH$125</formula1>
    </dataValidation>
    <dataValidation type="list" allowBlank="1" showErrorMessage="1" sqref="X46 T46 P46 L46 C46 F46:G46" xr:uid="{00000000-0002-0000-0100-000014000000}">
      <formula1>$CQ$60:$CQ$125</formula1>
    </dataValidation>
    <dataValidation type="list" allowBlank="1" showErrorMessage="1" sqref="X24 X21" xr:uid="{00000000-0002-0000-0100-000015000000}">
      <formula1>$AZ$62:$AZ$68</formula1>
    </dataValidation>
    <dataValidation type="list" allowBlank="1" showErrorMessage="1" sqref="X41 T41 P41 L41 C41 F41:G41" xr:uid="{00000000-0002-0000-0100-000016000000}">
      <formula1>$CL$60:$CL$125</formula1>
    </dataValidation>
    <dataValidation type="list" allowBlank="1" showErrorMessage="1" sqref="X42 T42 P42 L42 C42 F42:G42" xr:uid="{00000000-0002-0000-0100-000017000000}">
      <formula1>$CM$60:$CM$125</formula1>
    </dataValidation>
    <dataValidation type="list" allowBlank="1" showErrorMessage="1" sqref="X50 T50 P50 L50 C50 F50:G50" xr:uid="{00000000-0002-0000-0100-000018000000}">
      <formula1>$CU$60:$CU$125</formula1>
    </dataValidation>
    <dataValidation type="list" allowBlank="1" showErrorMessage="1" sqref="X47 T47 P47 L47 C47 F47:G47" xr:uid="{00000000-0002-0000-0100-000019000000}">
      <formula1>$CR$60:$CR$125</formula1>
    </dataValidation>
    <dataValidation type="list" allowBlank="1" showErrorMessage="1" sqref="X48 T48 P48 L48 C48 F48:G48" xr:uid="{00000000-0002-0000-0100-00001A000000}">
      <formula1>$CS$60:$CS$125</formula1>
    </dataValidation>
    <dataValidation type="list" allowBlank="1" showErrorMessage="1" sqref="X49 T49 P49 L49 C49 F49:G49" xr:uid="{00000000-0002-0000-0100-00001B000000}">
      <formula1>$CT$60:$CT$125</formula1>
    </dataValidation>
    <dataValidation type="list" allowBlank="1" showErrorMessage="1" sqref="X52 T52 P52 L52 C52 F52:G52" xr:uid="{00000000-0002-0000-0100-00001C000000}">
      <formula1>$CW$60:$CW$125</formula1>
    </dataValidation>
    <dataValidation type="list" allowBlank="1" showErrorMessage="1" sqref="AE26:AE27" xr:uid="{00000000-0002-0000-0100-00001D000000}">
      <formula1>$BE$59:$BE$69</formula1>
    </dataValidation>
    <dataValidation type="list" allowBlank="1" showErrorMessage="1" sqref="AA2:AA17" xr:uid="{00000000-0002-0000-0100-00001E000000}">
      <formula1>$BB$67:$BB$68</formula1>
    </dataValidation>
    <dataValidation type="list" allowBlank="1" showErrorMessage="1" sqref="X27 X29" xr:uid="{00000000-0002-0000-0100-00001F000000}">
      <formula1>$AZ$62:$AZ$66</formula1>
    </dataValidation>
    <dataValidation type="list" allowBlank="1" showErrorMessage="1" sqref="X51 T51 P51 L51 C51 F51:G51" xr:uid="{00000000-0002-0000-0100-000020000000}">
      <formula1>$CV$60:$CV$125</formula1>
    </dataValidation>
    <dataValidation type="list" allowBlank="1" showErrorMessage="1" sqref="X38 T38 P38 L38 C38 F38:G38" xr:uid="{00000000-0002-0000-0100-000022000000}">
      <formula1>$CI$60:$CI$125</formula1>
    </dataValidation>
    <dataValidation type="list" allowBlank="1" showErrorMessage="1" sqref="K21" xr:uid="{00000000-0002-0000-0100-000023000000}">
      <formula1>$BS$59:$BS$67</formula1>
    </dataValidation>
    <dataValidation type="list" allowBlank="1" showErrorMessage="1" sqref="AE28" xr:uid="{00000000-0002-0000-0100-000024000000}">
      <formula1>$BM$59:$BM$64</formula1>
    </dataValidation>
    <dataValidation type="list" allowBlank="1" showErrorMessage="1" sqref="D37:D52 Z37:Z52 V37:V52 R37:R52 N37:N52 H37:H52" xr:uid="{00000000-0002-0000-0100-000025000000}">
      <formula1>$CB$59:$CB$61</formula1>
    </dataValidation>
    <dataValidation type="list" allowBlank="1" showErrorMessage="1" sqref="X39 T39 P39 L39 C39 F39:G39" xr:uid="{00000000-0002-0000-0100-000026000000}">
      <formula1>$CJ$60:$CJ$125</formula1>
    </dataValidation>
    <dataValidation type="list" allowBlank="1" showErrorMessage="1" sqref="K25:R25" xr:uid="{00000000-0002-0000-0100-000027000000}">
      <formula1>$BB$62:$BB$66</formula1>
    </dataValidation>
    <dataValidation type="list" allowBlank="1" showInputMessage="1" showErrorMessage="1" sqref="AB37:AC52" xr:uid="{EE96C72E-312E-4184-A802-0A1B7E536966}">
      <formula1>$AK$61:$AK$69</formula1>
    </dataValidation>
    <dataValidation type="list" allowBlank="1" showInputMessage="1" showErrorMessage="1" sqref="K22:R22" xr:uid="{590197E8-6974-4A05-9220-BE040B3EED84}">
      <formula1>$BS$70:$BS$75</formula1>
    </dataValidation>
    <dataValidation type="list" allowBlank="1" showErrorMessage="1" sqref="K23:R23" xr:uid="{7652D5C8-1ACC-4A72-B1F3-A587EB0369CA}">
      <formula1>$BN$3:$BN$32</formula1>
    </dataValidation>
    <dataValidation type="list" allowBlank="1" showErrorMessage="1" sqref="AE29:AI29" xr:uid="{C6804AFC-4746-4932-BDEF-895438C8DE2A}">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r:uid="{F9C9FF81-8349-4982-9F85-435A93BCA058}">
          <x14:formula1>
            <xm:f>StarPlayers!$B$44:$B$46</xm:f>
          </x14:formula1>
          <xm:sqref>D20:G20</xm:sqref>
        </x14:dataValidation>
        <x14:dataValidation type="list" allowBlank="1" showErrorMessage="1" xr:uid="{9ABE93A7-F057-4F40-9C43-320D4C640AB8}">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1000"/>
  <sheetViews>
    <sheetView zoomScaleNormal="100" workbookViewId="0">
      <selection activeCell="D6" sqref="D6"/>
    </sheetView>
  </sheetViews>
  <sheetFormatPr defaultColWidth="0" defaultRowHeight="15" customHeight="1" zeroHeight="1" x14ac:dyDescent="0.2"/>
  <cols>
    <col min="1" max="3" width="5" style="325" customWidth="1"/>
    <col min="4" max="5" width="25" style="325" customWidth="1"/>
    <col min="6" max="6" width="5" style="325" customWidth="1"/>
    <col min="7" max="7" width="0.7109375" style="325" customWidth="1"/>
    <col min="8" max="9" width="5" style="325" customWidth="1"/>
    <col min="10" max="10" width="0.7109375" style="325" customWidth="1"/>
    <col min="11" max="12" width="5" style="325" customWidth="1"/>
    <col min="13" max="13" width="0.7109375" style="325" customWidth="1"/>
    <col min="14" max="15" width="5" style="325" customWidth="1"/>
    <col min="16" max="16" width="0.7109375" style="325" customWidth="1"/>
    <col min="17" max="18" width="5" style="325" customWidth="1"/>
    <col min="19" max="19" width="0.7109375" style="325" customWidth="1"/>
    <col min="20" max="21" width="5" style="325" customWidth="1"/>
    <col min="22" max="22" width="0.7109375" style="325" customWidth="1"/>
    <col min="23" max="23" width="5" style="325" customWidth="1"/>
    <col min="24" max="27" width="12.85546875" style="325" customWidth="1"/>
    <col min="28" max="29" width="18.28515625" style="325" customWidth="1"/>
    <col min="30" max="30" width="1.5703125" style="325" customWidth="1"/>
    <col min="31" max="36" width="8" style="325" hidden="1" customWidth="1"/>
    <col min="37" max="16384" width="14.42578125" style="325" hidden="1"/>
  </cols>
  <sheetData>
    <row r="1" spans="1:36" ht="11.25" customHeight="1" thickBot="1" x14ac:dyDescent="0.25">
      <c r="A1" s="91" t="str">
        <f>IF(Roster!$K$25="Italiano","vinte",(IF(Roster!$K$25="Español","gan.",(IF(Roster!$K$25="Deutsch","sieg",(IF(Roster!$K$25="Français","vic.","won")))))))</f>
        <v>won</v>
      </c>
      <c r="B1" s="92" t="str">
        <f>IF(Roster!$K$25="Italiano","par.",(IF(Roster!$K$25="Español","emp.",(IF(Roster!$K$25="Deutsch","une.",(IF(Roster!$K$25="Français","nul","tied")))))))</f>
        <v>tied</v>
      </c>
      <c r="C1" s="93" t="str">
        <f>IF(Roster!$K$25="Italiano","perse",(IF(Roster!$K$25="Español","per.",(IF(Roster!$K$25="Deutsch","nie.",(IF(Roster!$K$25="Français","déf.","lost")))))))</f>
        <v>lost</v>
      </c>
      <c r="D1" s="489" t="str">
        <f>IF(Roster!$K$25="Italiano","STATISTICHE",(IF(Roster!$K$25="Español","ESTADÍSTICAS",(IF(Roster!$K$25="Deutsch","STATISTIK",(IF(Roster!$K$25="Français","STATISITQUES","STATISTICS")))))))</f>
        <v>STATISTICS</v>
      </c>
      <c r="E1" s="490"/>
      <c r="F1" s="462" t="s">
        <v>1198</v>
      </c>
      <c r="G1" s="463"/>
      <c r="H1" s="466"/>
      <c r="I1" s="462" t="str">
        <f>IF(Roster!$K$25="Español","HER",(IF(Roster!$K$25="Deutsch","VER",(IF(Roster!$K$25="Français","BLES","CAS")))))</f>
        <v>CAS</v>
      </c>
      <c r="J1" s="463"/>
      <c r="K1" s="466"/>
      <c r="L1" s="462" t="str">
        <f>IF(Roster!$K$25="Español","HL",(IF(Roster!$K$25="Deutsch","SV",(IF(Roster!$K$25="Français","COM","BH")))))</f>
        <v>BH</v>
      </c>
      <c r="M1" s="463"/>
      <c r="N1" s="464"/>
      <c r="O1" s="465" t="str">
        <f>IF(Roster!$K$25="Español","HG",(IF(Roster!$K$25="Deutsch","BV",(IF(Roster!$K$25="Français","BS","SI")))))</f>
        <v>SI</v>
      </c>
      <c r="P1" s="463"/>
      <c r="Q1" s="464"/>
      <c r="R1" s="465" t="str">
        <f>IF(Roster!$K$25="Italiano","UCCISIONI",(IF(Roster!$K$25="Español","MUERTOS",(IF(Roster!$K$25="Deutsch","TOT",(IF(Roster!$K$25="Français","MORT","KILLS")))))))</f>
        <v>KILLS</v>
      </c>
      <c r="S1" s="463"/>
      <c r="T1" s="466"/>
      <c r="U1" s="462" t="str">
        <f>IF(Roster!$K$25="Italiano","ESPULSI",(IF(Roster!$K$25="Español","EXPULSADOS",(IF(Roster!$K$25="Deutsch","VOM PLATZ G.",(IF(Roster!$K$25="Français","EXPULSÉ","SENT OFF")))))))</f>
        <v>SENT OFF</v>
      </c>
      <c r="V1" s="463"/>
      <c r="W1" s="466"/>
      <c r="X1" s="305" t="str">
        <f>IF(Roster!$K$25="Italiano","TIFOSI S.",(IF(Roster!$K$25="Español","FANS D.",(IF(Roster!$K$25="Deutsch","T. FANS",(IF(Roster!$K$25="Français","FANS D.","D. FANS")))))))</f>
        <v>D. FANS</v>
      </c>
      <c r="Y1" s="305" t="str">
        <f>IF(Roster!$K$25="Italiano","CASSA S.",(IF(Roster!$K$25="Español","TESORERÍA G.",(IF(Roster!$K$25="Deutsch","AUSGEGEBENES B.",(IF(Roster!$K$25="Français","CASH SPENT","TREASURY S.")))))))</f>
        <v>TREASURY S.</v>
      </c>
      <c r="Z1" s="305" t="str">
        <f>IF(Roster!$K$25="Italiano","RICOMPENSE",(IF(Roster!$K$25="Español","GANANCIAS",(IF(Roster!$K$25="Deutsch","GEWINNE",(IF(Roster!$K$25="Français","GAINS","WINNINGS")))))))</f>
        <v>WINNINGS</v>
      </c>
      <c r="AA1" s="305" t="str">
        <f>IF(Roster!$K$25="Italiano","PUNTI",(IF(Roster!$K$25="Español","PUNTOS",(IF(Roster!$K$25="Deutsch","PUNKTE","POINTS")))))</f>
        <v>POINTS</v>
      </c>
      <c r="AB1" s="326" t="str">
        <f>IF(Roster!$K$25="Italiano","LEGA",(IF(Roster!$K$25="Español","LIGA",(IF(Roster!$K$25="Deutsch","LIGA",(IF(Roster!$K$25="Français","LIGUE","LEAGUE")))))))</f>
        <v>LEAGUE</v>
      </c>
      <c r="AC1" s="324"/>
      <c r="AD1" s="488"/>
      <c r="AE1" s="30"/>
      <c r="AF1" s="30"/>
      <c r="AG1" s="30"/>
      <c r="AH1" s="30"/>
      <c r="AI1" s="30"/>
      <c r="AJ1" s="30"/>
    </row>
    <row r="2" spans="1:36" ht="12" customHeight="1" thickBot="1" x14ac:dyDescent="0.25">
      <c r="A2" s="94">
        <f>COUNTIF(AJ6:AJ55,"1")</f>
        <v>0</v>
      </c>
      <c r="B2" s="95">
        <f>COUNTIF(AJ6:AJ55,"2")</f>
        <v>0</v>
      </c>
      <c r="C2" s="96">
        <f>COUNTIF(AJ6:AJ55,"3")</f>
        <v>0</v>
      </c>
      <c r="D2" s="491"/>
      <c r="E2" s="492"/>
      <c r="F2" s="97">
        <f>SUM(F6:F55)</f>
        <v>0</v>
      </c>
      <c r="G2" s="98" t="s">
        <v>253</v>
      </c>
      <c r="H2" s="99">
        <f t="shared" ref="H2:I2" si="0">SUM(H6:H55)</f>
        <v>0</v>
      </c>
      <c r="I2" s="100">
        <f t="shared" si="0"/>
        <v>0</v>
      </c>
      <c r="J2" s="98" t="s">
        <v>253</v>
      </c>
      <c r="K2" s="100">
        <f t="shared" ref="K2:L2" si="1">SUM(K6:K55)</f>
        <v>0</v>
      </c>
      <c r="L2" s="97">
        <f t="shared" si="1"/>
        <v>0</v>
      </c>
      <c r="M2" s="98" t="s">
        <v>253</v>
      </c>
      <c r="N2" s="100">
        <f t="shared" ref="N2:O2" si="2">SUM(N6:N55)</f>
        <v>0</v>
      </c>
      <c r="O2" s="101">
        <f t="shared" si="2"/>
        <v>0</v>
      </c>
      <c r="P2" s="98" t="s">
        <v>253</v>
      </c>
      <c r="Q2" s="100">
        <f t="shared" ref="Q2:R2" si="3">SUM(Q6:Q55)</f>
        <v>0</v>
      </c>
      <c r="R2" s="101">
        <f t="shared" si="3"/>
        <v>0</v>
      </c>
      <c r="S2" s="98" t="s">
        <v>253</v>
      </c>
      <c r="T2" s="99">
        <f t="shared" ref="T2:U2" si="4">SUM(T6:T55)</f>
        <v>0</v>
      </c>
      <c r="U2" s="97">
        <f t="shared" si="4"/>
        <v>0</v>
      </c>
      <c r="V2" s="98" t="s">
        <v>253</v>
      </c>
      <c r="W2" s="99">
        <f t="shared" ref="W2:AA2" si="5">SUM(W6:W55)</f>
        <v>0</v>
      </c>
      <c r="X2" s="102">
        <f t="shared" si="5"/>
        <v>0</v>
      </c>
      <c r="Y2" s="103">
        <f t="shared" ref="Y2" si="6">SUM(Y6:Y55)</f>
        <v>0</v>
      </c>
      <c r="Z2" s="103">
        <f t="shared" si="5"/>
        <v>0</v>
      </c>
      <c r="AA2" s="102">
        <f t="shared" si="5"/>
        <v>0</v>
      </c>
      <c r="AB2" s="326" t="str">
        <f>IF(Roster!$K$25="Italiano","TIFOSI S. LIBERO",(IF(Roster!$K$25="Español","FANS D. GRATIS",(IF(Roster!$K$25="Deutsch","KOSTENLOS T. FANS",(IF(Roster!$K$25="Français","GRATUIT FANS DÉVOUÉS","FREE D. FANS")))))))</f>
        <v>FREE D. FANS</v>
      </c>
      <c r="AC2" s="324">
        <v>0</v>
      </c>
      <c r="AD2" s="488"/>
      <c r="AE2" s="30"/>
      <c r="AF2" s="72">
        <v>1</v>
      </c>
      <c r="AG2" s="30"/>
      <c r="AH2" s="30"/>
      <c r="AI2" s="72"/>
      <c r="AJ2" s="30"/>
    </row>
    <row r="3" spans="1:36" ht="11.25" customHeight="1" thickBot="1" x14ac:dyDescent="0.25">
      <c r="A3" s="104">
        <f t="shared" ref="A3:C3" si="7">IFERROR((A2/(COUNTA($F$6:$F$55))),0)</f>
        <v>0</v>
      </c>
      <c r="B3" s="105">
        <f t="shared" si="7"/>
        <v>0</v>
      </c>
      <c r="C3" s="106">
        <f t="shared" si="7"/>
        <v>0</v>
      </c>
      <c r="D3" s="493"/>
      <c r="E3" s="494"/>
      <c r="F3" s="107">
        <f>IFERROR((F2/(COUNTA($F$6:$F$55))),0)</f>
        <v>0</v>
      </c>
      <c r="G3" s="108" t="s">
        <v>253</v>
      </c>
      <c r="H3" s="109">
        <f>IFERROR((H2/(COUNTA($H$6:$H$55))),0)</f>
        <v>0</v>
      </c>
      <c r="I3" s="110">
        <f>IFERROR((I2/(COUNTA($I$6:$I$55))),0)</f>
        <v>0</v>
      </c>
      <c r="J3" s="108" t="s">
        <v>253</v>
      </c>
      <c r="K3" s="109">
        <f>IFERROR((K2/(COUNTA($K$6:$K$55))),0)</f>
        <v>0</v>
      </c>
      <c r="L3" s="110">
        <f>IFERROR((L2/(COUNTA($L$6:$L$55))),0)</f>
        <v>0</v>
      </c>
      <c r="M3" s="108" t="s">
        <v>253</v>
      </c>
      <c r="N3" s="111">
        <f>IFERROR((N2/(COUNTA($N$6:$N$55))),0)</f>
        <v>0</v>
      </c>
      <c r="O3" s="110">
        <f>IFERROR((O2/(COUNTA($O$6:$O$55))),0)</f>
        <v>0</v>
      </c>
      <c r="P3" s="108" t="s">
        <v>253</v>
      </c>
      <c r="Q3" s="111">
        <f>IFERROR((Q2/(COUNTA($Q$6:$Q$55))),0)</f>
        <v>0</v>
      </c>
      <c r="R3" s="110">
        <f>IFERROR((R2/(COUNTA($R$6:$R$55))),0)</f>
        <v>0</v>
      </c>
      <c r="S3" s="108" t="s">
        <v>253</v>
      </c>
      <c r="T3" s="109">
        <f>IFERROR((T2/(COUNTA($T$6:$T$55))),0)</f>
        <v>0</v>
      </c>
      <c r="U3" s="110">
        <f>IFERROR((U2/(COUNTA($U$6:$U$55))),0)</f>
        <v>0</v>
      </c>
      <c r="V3" s="108" t="s">
        <v>253</v>
      </c>
      <c r="W3" s="109">
        <f>IFERROR((W2/(COUNTA($W$6:$W$55))),0)</f>
        <v>0</v>
      </c>
      <c r="X3" s="112">
        <f>IFERROR((X2/(COUNTA($X$6:$X$55))),0)</f>
        <v>0</v>
      </c>
      <c r="Y3" s="113">
        <f>IFERROR((Y2/(COUNTA($Y$6:$Y$55))),0)</f>
        <v>0</v>
      </c>
      <c r="Z3" s="113">
        <f>IFERROR((Z2/(COUNTA($Z$6:$Z$55))),0)</f>
        <v>0</v>
      </c>
      <c r="AA3" s="114">
        <f>IFERROR((AA2/(COUNTA($AA$6:$AA$55))),0)</f>
        <v>0</v>
      </c>
      <c r="AB3" s="326" t="str">
        <f>IF(Roster!$K$25="Italiano","TESORERIA INIZIALI",(IF(Roster!$K$25="Español","TESORERÍA INICIAL",(IF(Roster!$K$25="Deutsch","ANFÄNGLICHER TEAMKASSE",(IF(Roster!$K$25="Français","INITIAL TRÉSORERIE","STARTINT TREASURY")))))))</f>
        <v>STARTINT TREASURY</v>
      </c>
      <c r="AC3" s="324">
        <v>1000000</v>
      </c>
      <c r="AD3" s="488"/>
      <c r="AE3" s="30"/>
      <c r="AF3" s="30"/>
      <c r="AG3" s="30"/>
      <c r="AH3" s="30"/>
      <c r="AI3" s="30"/>
      <c r="AJ3" s="30"/>
    </row>
    <row r="4" spans="1:36" ht="7.5" customHeight="1" thickBot="1" x14ac:dyDescent="0.25">
      <c r="A4" s="467"/>
      <c r="B4" s="468"/>
      <c r="C4" s="468"/>
      <c r="D4" s="468"/>
      <c r="E4" s="468"/>
      <c r="F4" s="468"/>
      <c r="G4" s="468"/>
      <c r="H4" s="468"/>
      <c r="I4" s="468"/>
      <c r="J4" s="468"/>
      <c r="K4" s="468"/>
      <c r="L4" s="468"/>
      <c r="M4" s="468"/>
      <c r="N4" s="468"/>
      <c r="O4" s="468"/>
      <c r="P4" s="468"/>
      <c r="Q4" s="468"/>
      <c r="R4" s="468"/>
      <c r="S4" s="468"/>
      <c r="T4" s="468"/>
      <c r="U4" s="468"/>
      <c r="V4" s="468"/>
      <c r="W4" s="468"/>
      <c r="X4" s="468"/>
      <c r="Y4" s="469"/>
      <c r="Z4" s="468"/>
      <c r="AA4" s="468"/>
      <c r="AB4" s="468"/>
      <c r="AC4" s="469"/>
      <c r="AD4" s="488"/>
      <c r="AE4" s="30"/>
      <c r="AF4" s="30"/>
      <c r="AG4" s="30"/>
      <c r="AH4" s="30"/>
      <c r="AI4" s="30"/>
      <c r="AJ4" s="30"/>
    </row>
    <row r="5" spans="1:36" ht="21" customHeight="1" x14ac:dyDescent="0.2">
      <c r="A5" s="476">
        <v>0</v>
      </c>
      <c r="B5" s="477"/>
      <c r="C5" s="478"/>
      <c r="D5" s="302" t="str">
        <f>IF(Roster!$K$25="Italiano","AVVERSARIO",(IF(Roster!$K$25="Español","OPONENTE",(IF(Roster!$K$25="Deutsch","GEGNER",(IF(Roster!$K$25="Français","ADVERSAIRE","OPPONENT")))))))</f>
        <v>OPPONENT</v>
      </c>
      <c r="E5" s="303" t="str">
        <f>IF(Roster!$K$25="Italiano","RAZZA",(IF(Roster!$K$25="Español","RAZA",(IF(Roster!$K$25="Deutsch","RASSE",(IF(Roster!$K$25="Français","TYPE D'ÉQUIPE","RACE")))))))</f>
        <v>RACE</v>
      </c>
      <c r="F5" s="472" t="s">
        <v>1198</v>
      </c>
      <c r="G5" s="473"/>
      <c r="H5" s="471"/>
      <c r="I5" s="472" t="str">
        <f>IF(Roster!$K$25="Español","HER",(IF(Roster!$K$25="Deutsch","VER",(IF(Roster!$K$25="Français","BLES","CAS")))))</f>
        <v>CAS</v>
      </c>
      <c r="J5" s="473"/>
      <c r="K5" s="471"/>
      <c r="L5" s="462" t="str">
        <f>IF(Roster!$K$25="Español","HL",(IF(Roster!$K$25="Deutsch","SV",(IF(Roster!$K$25="Français","COM","BH")))))</f>
        <v>BH</v>
      </c>
      <c r="M5" s="473"/>
      <c r="N5" s="474"/>
      <c r="O5" s="465" t="str">
        <f>IF(Roster!$K$25="Español","HG",(IF(Roster!$K$25="Deutsch","BV",(IF(Roster!$K$25="Français","BS","SI")))))</f>
        <v>SI</v>
      </c>
      <c r="P5" s="473"/>
      <c r="Q5" s="474"/>
      <c r="R5" s="465" t="str">
        <f>IF(Roster!$K$25="Italiano","UCCISIONI",(IF(Roster!$K$25="Español","MUERTOS",(IF(Roster!$K$25="Deutsch","TOT",(IF(Roster!$K$25="Français","MORT","KILLS")))))))</f>
        <v>KILLS</v>
      </c>
      <c r="S5" s="473"/>
      <c r="T5" s="471"/>
      <c r="U5" s="475" t="str">
        <f>IF(Roster!$K$25="Italiano","ESPULSI",(IF(Roster!$K$25="Español","EXPULSADOS",(IF(Roster!$K$25="Deutsch","VOM PLATZ G.",(IF(Roster!$K$25="Français","EXPULSÉ","SENT OFF")))))))</f>
        <v>SENT OFF</v>
      </c>
      <c r="V5" s="473"/>
      <c r="W5" s="471"/>
      <c r="X5" s="304" t="str">
        <f>IF(Roster!$K$25="Italiano","TIFOSI S.",(IF(Roster!$K$25="Español","FANS D.",(IF(Roster!$K$25="Deutsch","T. FANS",(IF(Roster!$K$25="Français","FANS D.","D. FANS")))))))</f>
        <v>D. FANS</v>
      </c>
      <c r="Y5" s="304" t="str">
        <f>IF(Roster!$K$25="Italiano","CASSA SPESA",(IF(Roster!$K$25="Español","TESORERÍA GASTADA",(IF(Roster!$K$25="Deutsch","AUSGEGEBENES BARGELD",(IF(Roster!$K$25="Français","CASH SPENT","TREASURY SPEND")))))))</f>
        <v>TREASURY SPEND</v>
      </c>
      <c r="Z5" s="304" t="str">
        <f>IF(Roster!$K$25="Italiano","RICOMPENSE",(IF(Roster!$K$25="Español","GANANCIAS",(IF(Roster!$K$25="Deutsch","GEWINNE",(IF(Roster!$K$25="Français","GAINS","WINNINGS")))))))</f>
        <v>WINNINGS</v>
      </c>
      <c r="AA5" s="304" t="str">
        <f>IF(Roster!$K$25="Italiano","PUNTI",(IF(Roster!$K$25="Español","PUNTOS",(IF(Roster!$K$25="Deutsch","PUNKTE","POINTS")))))</f>
        <v>POINTS</v>
      </c>
      <c r="AB5" s="470" t="str">
        <f>IF(Roster!$K$25="Italiano","NOTE",(IF(Roster!$K$25="Español","NOTAS",(IF(Roster!$K$25="Deutsch","NOTIZEN","NOTES")))))</f>
        <v>NOTES</v>
      </c>
      <c r="AC5" s="471"/>
      <c r="AD5" s="488"/>
      <c r="AE5" s="115"/>
      <c r="AF5" s="116" t="s">
        <v>254</v>
      </c>
      <c r="AG5" s="116" t="s">
        <v>255</v>
      </c>
      <c r="AH5" s="116" t="s">
        <v>256</v>
      </c>
      <c r="AI5" s="115"/>
      <c r="AJ5" s="115"/>
    </row>
    <row r="6" spans="1:36" ht="21" customHeight="1" x14ac:dyDescent="0.2">
      <c r="A6" s="117">
        <v>1</v>
      </c>
      <c r="B6" s="458" t="str">
        <f>IF(F6&lt;&gt;"",(IF(F6&gt;H6,$A$1,(IF(F6=H6,$B$1,(IF(F6&lt;H6,$C$1,"")))))),"")</f>
        <v/>
      </c>
      <c r="C6" s="459"/>
      <c r="D6" s="264"/>
      <c r="E6" s="160"/>
      <c r="F6" s="151"/>
      <c r="G6" s="118" t="s">
        <v>253</v>
      </c>
      <c r="H6" s="144"/>
      <c r="I6" s="119">
        <f t="shared" ref="I6:I55" si="8">L6+O6+R6</f>
        <v>0</v>
      </c>
      <c r="J6" s="120" t="s">
        <v>253</v>
      </c>
      <c r="K6" s="121">
        <f t="shared" ref="K6:K55" si="9">N6+Q6+T6</f>
        <v>0</v>
      </c>
      <c r="L6" s="151"/>
      <c r="M6" s="118" t="s">
        <v>253</v>
      </c>
      <c r="N6" s="150"/>
      <c r="O6" s="156"/>
      <c r="P6" s="118" t="s">
        <v>253</v>
      </c>
      <c r="Q6" s="150"/>
      <c r="R6" s="156"/>
      <c r="S6" s="118" t="s">
        <v>253</v>
      </c>
      <c r="T6" s="150"/>
      <c r="U6" s="151"/>
      <c r="V6" s="118" t="s">
        <v>253</v>
      </c>
      <c r="W6" s="144"/>
      <c r="X6" s="144"/>
      <c r="Y6" s="145"/>
      <c r="Z6" s="145"/>
      <c r="AA6" s="144"/>
      <c r="AB6" s="460"/>
      <c r="AC6" s="461"/>
      <c r="AD6" s="488"/>
      <c r="AE6" s="30"/>
      <c r="AF6" s="57" t="b">
        <v>0</v>
      </c>
      <c r="AG6" s="57" t="b">
        <v>0</v>
      </c>
      <c r="AH6" s="57" t="b">
        <v>0</v>
      </c>
      <c r="AI6" s="30"/>
      <c r="AJ6" s="30" t="str">
        <f t="shared" ref="AJ6:AJ55" si="10">IF(F6&lt;&gt;"",(IF(F6&gt;H6,1,(IF(F6=H6,2,(IF(F6&lt;H6,3,"")))))),"")</f>
        <v/>
      </c>
    </row>
    <row r="7" spans="1:36" ht="21" customHeight="1" x14ac:dyDescent="0.2">
      <c r="A7" s="122">
        <v>2</v>
      </c>
      <c r="B7" s="458" t="str">
        <f t="shared" ref="B7:B55" si="11">IF(F7&lt;&gt;"",(IF(F7&gt;H7,$A$1,(IF(F7=H7,$B$1,(IF(F7&lt;H7,$C$1,"")))))),"")</f>
        <v/>
      </c>
      <c r="C7" s="459"/>
      <c r="D7" s="161"/>
      <c r="E7" s="160"/>
      <c r="F7" s="153"/>
      <c r="G7" s="123" t="s">
        <v>253</v>
      </c>
      <c r="H7" s="146"/>
      <c r="I7" s="119">
        <f t="shared" si="8"/>
        <v>0</v>
      </c>
      <c r="J7" s="124" t="s">
        <v>253</v>
      </c>
      <c r="K7" s="121">
        <f t="shared" si="9"/>
        <v>0</v>
      </c>
      <c r="L7" s="153"/>
      <c r="M7" s="123" t="s">
        <v>253</v>
      </c>
      <c r="N7" s="152"/>
      <c r="O7" s="157"/>
      <c r="P7" s="123" t="s">
        <v>253</v>
      </c>
      <c r="Q7" s="152"/>
      <c r="R7" s="157"/>
      <c r="S7" s="123" t="s">
        <v>253</v>
      </c>
      <c r="T7" s="152"/>
      <c r="U7" s="153"/>
      <c r="V7" s="123" t="s">
        <v>253</v>
      </c>
      <c r="W7" s="146"/>
      <c r="X7" s="144"/>
      <c r="Y7" s="147"/>
      <c r="Z7" s="147"/>
      <c r="AA7" s="146"/>
      <c r="AB7" s="460"/>
      <c r="AC7" s="461"/>
      <c r="AD7" s="488"/>
      <c r="AE7" s="30"/>
      <c r="AF7" s="57" t="b">
        <v>0</v>
      </c>
      <c r="AG7" s="57" t="b">
        <v>0</v>
      </c>
      <c r="AH7" s="57" t="b">
        <v>0</v>
      </c>
      <c r="AI7" s="30"/>
      <c r="AJ7" s="30" t="str">
        <f t="shared" si="10"/>
        <v/>
      </c>
    </row>
    <row r="8" spans="1:36" ht="21" customHeight="1" x14ac:dyDescent="0.2">
      <c r="A8" s="117">
        <v>3</v>
      </c>
      <c r="B8" s="458" t="str">
        <f t="shared" si="11"/>
        <v/>
      </c>
      <c r="C8" s="459"/>
      <c r="D8" s="159"/>
      <c r="E8" s="160"/>
      <c r="F8" s="151"/>
      <c r="G8" s="118" t="s">
        <v>253</v>
      </c>
      <c r="H8" s="144"/>
      <c r="I8" s="119">
        <f t="shared" si="8"/>
        <v>0</v>
      </c>
      <c r="J8" s="120" t="s">
        <v>253</v>
      </c>
      <c r="K8" s="121">
        <f t="shared" si="9"/>
        <v>0</v>
      </c>
      <c r="L8" s="151"/>
      <c r="M8" s="118" t="s">
        <v>253</v>
      </c>
      <c r="N8" s="150"/>
      <c r="O8" s="156"/>
      <c r="P8" s="118" t="s">
        <v>253</v>
      </c>
      <c r="Q8" s="150"/>
      <c r="R8" s="156"/>
      <c r="S8" s="118" t="s">
        <v>253</v>
      </c>
      <c r="T8" s="150"/>
      <c r="U8" s="151"/>
      <c r="V8" s="118" t="s">
        <v>253</v>
      </c>
      <c r="W8" s="144"/>
      <c r="X8" s="144"/>
      <c r="Y8" s="145"/>
      <c r="Z8" s="145"/>
      <c r="AA8" s="144"/>
      <c r="AB8" s="460"/>
      <c r="AC8" s="461"/>
      <c r="AD8" s="488"/>
      <c r="AE8" s="30"/>
      <c r="AF8" s="57" t="b">
        <v>0</v>
      </c>
      <c r="AG8" s="57" t="b">
        <v>0</v>
      </c>
      <c r="AH8" s="57" t="b">
        <v>0</v>
      </c>
      <c r="AI8" s="30"/>
      <c r="AJ8" s="30" t="str">
        <f t="shared" si="10"/>
        <v/>
      </c>
    </row>
    <row r="9" spans="1:36" ht="21" customHeight="1" x14ac:dyDescent="0.2">
      <c r="A9" s="117">
        <v>4</v>
      </c>
      <c r="B9" s="458" t="str">
        <f t="shared" si="11"/>
        <v/>
      </c>
      <c r="C9" s="459"/>
      <c r="D9" s="159"/>
      <c r="E9" s="160"/>
      <c r="F9" s="151"/>
      <c r="G9" s="118" t="s">
        <v>253</v>
      </c>
      <c r="H9" s="144"/>
      <c r="I9" s="119">
        <f t="shared" si="8"/>
        <v>0</v>
      </c>
      <c r="J9" s="120" t="s">
        <v>253</v>
      </c>
      <c r="K9" s="121">
        <f t="shared" si="9"/>
        <v>0</v>
      </c>
      <c r="L9" s="151"/>
      <c r="M9" s="118" t="s">
        <v>253</v>
      </c>
      <c r="N9" s="150"/>
      <c r="O9" s="156"/>
      <c r="P9" s="118" t="s">
        <v>253</v>
      </c>
      <c r="Q9" s="150"/>
      <c r="R9" s="156"/>
      <c r="S9" s="118" t="s">
        <v>253</v>
      </c>
      <c r="T9" s="150"/>
      <c r="U9" s="151"/>
      <c r="V9" s="118" t="s">
        <v>253</v>
      </c>
      <c r="W9" s="144"/>
      <c r="X9" s="144"/>
      <c r="Y9" s="145"/>
      <c r="Z9" s="145"/>
      <c r="AA9" s="144"/>
      <c r="AB9" s="460"/>
      <c r="AC9" s="461"/>
      <c r="AD9" s="488"/>
      <c r="AE9" s="30"/>
      <c r="AF9" s="57" t="b">
        <v>0</v>
      </c>
      <c r="AG9" s="57" t="b">
        <v>0</v>
      </c>
      <c r="AH9" s="57" t="b">
        <v>0</v>
      </c>
      <c r="AI9" s="30"/>
      <c r="AJ9" s="30" t="str">
        <f t="shared" si="10"/>
        <v/>
      </c>
    </row>
    <row r="10" spans="1:36" ht="21" customHeight="1" x14ac:dyDescent="0.2">
      <c r="A10" s="122">
        <v>5</v>
      </c>
      <c r="B10" s="458" t="str">
        <f t="shared" si="11"/>
        <v/>
      </c>
      <c r="C10" s="459"/>
      <c r="D10" s="159"/>
      <c r="E10" s="160"/>
      <c r="F10" s="151"/>
      <c r="G10" s="118" t="s">
        <v>253</v>
      </c>
      <c r="H10" s="144"/>
      <c r="I10" s="119">
        <f t="shared" si="8"/>
        <v>0</v>
      </c>
      <c r="J10" s="120" t="s">
        <v>253</v>
      </c>
      <c r="K10" s="121">
        <f t="shared" si="9"/>
        <v>0</v>
      </c>
      <c r="L10" s="151"/>
      <c r="M10" s="118" t="s">
        <v>253</v>
      </c>
      <c r="N10" s="150"/>
      <c r="O10" s="156"/>
      <c r="P10" s="118" t="s">
        <v>253</v>
      </c>
      <c r="Q10" s="150"/>
      <c r="R10" s="156"/>
      <c r="S10" s="118" t="s">
        <v>253</v>
      </c>
      <c r="T10" s="150"/>
      <c r="U10" s="151"/>
      <c r="V10" s="118" t="s">
        <v>253</v>
      </c>
      <c r="W10" s="144"/>
      <c r="X10" s="144"/>
      <c r="Y10" s="145"/>
      <c r="Z10" s="145"/>
      <c r="AA10" s="144"/>
      <c r="AB10" s="460"/>
      <c r="AC10" s="461"/>
      <c r="AD10" s="488"/>
      <c r="AE10" s="30"/>
      <c r="AF10" s="57" t="b">
        <v>0</v>
      </c>
      <c r="AG10" s="57" t="b">
        <v>0</v>
      </c>
      <c r="AH10" s="57" t="b">
        <v>0</v>
      </c>
      <c r="AI10" s="30"/>
      <c r="AJ10" s="30" t="str">
        <f t="shared" si="10"/>
        <v/>
      </c>
    </row>
    <row r="11" spans="1:36" ht="21" customHeight="1" x14ac:dyDescent="0.2">
      <c r="A11" s="117">
        <v>6</v>
      </c>
      <c r="B11" s="458" t="str">
        <f t="shared" si="11"/>
        <v/>
      </c>
      <c r="C11" s="459"/>
      <c r="D11" s="159"/>
      <c r="E11" s="160"/>
      <c r="F11" s="151"/>
      <c r="G11" s="118" t="s">
        <v>253</v>
      </c>
      <c r="H11" s="144"/>
      <c r="I11" s="119">
        <f t="shared" si="8"/>
        <v>0</v>
      </c>
      <c r="J11" s="120" t="s">
        <v>253</v>
      </c>
      <c r="K11" s="121">
        <f t="shared" si="9"/>
        <v>0</v>
      </c>
      <c r="L11" s="151"/>
      <c r="M11" s="118" t="s">
        <v>253</v>
      </c>
      <c r="N11" s="150"/>
      <c r="O11" s="156"/>
      <c r="P11" s="118" t="s">
        <v>253</v>
      </c>
      <c r="Q11" s="150"/>
      <c r="R11" s="156"/>
      <c r="S11" s="118" t="s">
        <v>253</v>
      </c>
      <c r="T11" s="150"/>
      <c r="U11" s="151"/>
      <c r="V11" s="118" t="s">
        <v>253</v>
      </c>
      <c r="W11" s="144"/>
      <c r="X11" s="144"/>
      <c r="Y11" s="145"/>
      <c r="Z11" s="145"/>
      <c r="AA11" s="144"/>
      <c r="AB11" s="460"/>
      <c r="AC11" s="461"/>
      <c r="AD11" s="488"/>
      <c r="AE11" s="30"/>
      <c r="AF11" s="57" t="b">
        <v>0</v>
      </c>
      <c r="AG11" s="57" t="b">
        <v>0</v>
      </c>
      <c r="AH11" s="57" t="b">
        <v>0</v>
      </c>
      <c r="AI11" s="30"/>
      <c r="AJ11" s="30" t="str">
        <f t="shared" si="10"/>
        <v/>
      </c>
    </row>
    <row r="12" spans="1:36" ht="21" customHeight="1" x14ac:dyDescent="0.2">
      <c r="A12" s="117">
        <v>7</v>
      </c>
      <c r="B12" s="458" t="str">
        <f t="shared" si="11"/>
        <v/>
      </c>
      <c r="C12" s="459"/>
      <c r="D12" s="159"/>
      <c r="E12" s="160"/>
      <c r="F12" s="151"/>
      <c r="G12" s="118" t="s">
        <v>253</v>
      </c>
      <c r="H12" s="144"/>
      <c r="I12" s="119">
        <f t="shared" si="8"/>
        <v>0</v>
      </c>
      <c r="J12" s="120" t="s">
        <v>253</v>
      </c>
      <c r="K12" s="121">
        <f t="shared" si="9"/>
        <v>0</v>
      </c>
      <c r="L12" s="151"/>
      <c r="M12" s="118" t="s">
        <v>253</v>
      </c>
      <c r="N12" s="150"/>
      <c r="O12" s="156"/>
      <c r="P12" s="118" t="s">
        <v>253</v>
      </c>
      <c r="Q12" s="150"/>
      <c r="R12" s="156"/>
      <c r="S12" s="118" t="s">
        <v>253</v>
      </c>
      <c r="T12" s="150"/>
      <c r="U12" s="151"/>
      <c r="V12" s="118" t="s">
        <v>253</v>
      </c>
      <c r="W12" s="144"/>
      <c r="X12" s="144"/>
      <c r="Y12" s="145"/>
      <c r="Z12" s="145"/>
      <c r="AA12" s="144"/>
      <c r="AB12" s="460"/>
      <c r="AC12" s="461"/>
      <c r="AD12" s="488"/>
      <c r="AE12" s="30"/>
      <c r="AF12" s="57" t="b">
        <v>0</v>
      </c>
      <c r="AG12" s="57" t="b">
        <v>0</v>
      </c>
      <c r="AH12" s="57" t="b">
        <v>0</v>
      </c>
      <c r="AI12" s="30"/>
      <c r="AJ12" s="30" t="str">
        <f t="shared" si="10"/>
        <v/>
      </c>
    </row>
    <row r="13" spans="1:36" ht="21" customHeight="1" x14ac:dyDescent="0.2">
      <c r="A13" s="122">
        <v>8</v>
      </c>
      <c r="B13" s="458" t="str">
        <f t="shared" si="11"/>
        <v/>
      </c>
      <c r="C13" s="459"/>
      <c r="D13" s="159"/>
      <c r="E13" s="160"/>
      <c r="F13" s="151"/>
      <c r="G13" s="118" t="s">
        <v>253</v>
      </c>
      <c r="H13" s="144"/>
      <c r="I13" s="119">
        <f t="shared" si="8"/>
        <v>0</v>
      </c>
      <c r="J13" s="120" t="s">
        <v>253</v>
      </c>
      <c r="K13" s="121">
        <f t="shared" si="9"/>
        <v>0</v>
      </c>
      <c r="L13" s="151"/>
      <c r="M13" s="118" t="s">
        <v>253</v>
      </c>
      <c r="N13" s="150"/>
      <c r="O13" s="156"/>
      <c r="P13" s="118" t="s">
        <v>253</v>
      </c>
      <c r="Q13" s="150"/>
      <c r="R13" s="156"/>
      <c r="S13" s="118" t="s">
        <v>253</v>
      </c>
      <c r="T13" s="150"/>
      <c r="U13" s="151"/>
      <c r="V13" s="118" t="s">
        <v>253</v>
      </c>
      <c r="W13" s="144"/>
      <c r="X13" s="144"/>
      <c r="Y13" s="145"/>
      <c r="Z13" s="145"/>
      <c r="AA13" s="144"/>
      <c r="AB13" s="460"/>
      <c r="AC13" s="461"/>
      <c r="AD13" s="488"/>
      <c r="AE13" s="30"/>
      <c r="AF13" s="57" t="b">
        <v>0</v>
      </c>
      <c r="AG13" s="57" t="b">
        <v>0</v>
      </c>
      <c r="AH13" s="57" t="b">
        <v>0</v>
      </c>
      <c r="AI13" s="30"/>
      <c r="AJ13" s="30" t="str">
        <f t="shared" si="10"/>
        <v/>
      </c>
    </row>
    <row r="14" spans="1:36" ht="21" customHeight="1" x14ac:dyDescent="0.2">
      <c r="A14" s="117">
        <v>9</v>
      </c>
      <c r="B14" s="458" t="str">
        <f t="shared" si="11"/>
        <v/>
      </c>
      <c r="C14" s="459"/>
      <c r="D14" s="159"/>
      <c r="E14" s="160"/>
      <c r="F14" s="151"/>
      <c r="G14" s="118" t="s">
        <v>253</v>
      </c>
      <c r="H14" s="144"/>
      <c r="I14" s="119">
        <f t="shared" si="8"/>
        <v>0</v>
      </c>
      <c r="J14" s="120" t="s">
        <v>253</v>
      </c>
      <c r="K14" s="121">
        <f t="shared" si="9"/>
        <v>0</v>
      </c>
      <c r="L14" s="151"/>
      <c r="M14" s="118" t="s">
        <v>253</v>
      </c>
      <c r="N14" s="150"/>
      <c r="O14" s="156"/>
      <c r="P14" s="118" t="s">
        <v>253</v>
      </c>
      <c r="Q14" s="150"/>
      <c r="R14" s="156"/>
      <c r="S14" s="118" t="s">
        <v>253</v>
      </c>
      <c r="T14" s="150"/>
      <c r="U14" s="151"/>
      <c r="V14" s="118" t="s">
        <v>253</v>
      </c>
      <c r="W14" s="144"/>
      <c r="X14" s="144"/>
      <c r="Y14" s="145"/>
      <c r="Z14" s="145"/>
      <c r="AA14" s="144"/>
      <c r="AB14" s="460"/>
      <c r="AC14" s="461"/>
      <c r="AD14" s="488"/>
      <c r="AE14" s="30"/>
      <c r="AF14" s="57" t="b">
        <v>0</v>
      </c>
      <c r="AG14" s="57" t="b">
        <v>0</v>
      </c>
      <c r="AH14" s="57" t="b">
        <v>0</v>
      </c>
      <c r="AI14" s="30"/>
      <c r="AJ14" s="30" t="str">
        <f t="shared" si="10"/>
        <v/>
      </c>
    </row>
    <row r="15" spans="1:36" ht="21" customHeight="1" x14ac:dyDescent="0.2">
      <c r="A15" s="117">
        <v>10</v>
      </c>
      <c r="B15" s="458" t="str">
        <f t="shared" si="11"/>
        <v/>
      </c>
      <c r="C15" s="459"/>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60"/>
      <c r="AC15" s="461"/>
      <c r="AD15" s="488"/>
      <c r="AE15" s="30"/>
      <c r="AF15" s="57" t="b">
        <v>0</v>
      </c>
      <c r="AG15" s="57" t="b">
        <v>0</v>
      </c>
      <c r="AH15" s="57" t="b">
        <v>0</v>
      </c>
      <c r="AI15" s="30"/>
      <c r="AJ15" s="30" t="str">
        <f t="shared" si="10"/>
        <v/>
      </c>
    </row>
    <row r="16" spans="1:36" ht="21" customHeight="1" x14ac:dyDescent="0.2">
      <c r="A16" s="122">
        <v>11</v>
      </c>
      <c r="B16" s="458" t="str">
        <f t="shared" si="11"/>
        <v/>
      </c>
      <c r="C16" s="459"/>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60"/>
      <c r="AC16" s="461"/>
      <c r="AD16" s="488"/>
      <c r="AE16" s="30"/>
      <c r="AF16" s="57" t="b">
        <v>0</v>
      </c>
      <c r="AG16" s="57" t="b">
        <v>0</v>
      </c>
      <c r="AH16" s="57" t="b">
        <v>0</v>
      </c>
      <c r="AI16" s="30"/>
      <c r="AJ16" s="30" t="str">
        <f t="shared" si="10"/>
        <v/>
      </c>
    </row>
    <row r="17" spans="1:36" ht="21" customHeight="1" x14ac:dyDescent="0.2">
      <c r="A17" s="117">
        <v>12</v>
      </c>
      <c r="B17" s="458" t="str">
        <f t="shared" si="11"/>
        <v/>
      </c>
      <c r="C17" s="459"/>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60"/>
      <c r="AC17" s="461"/>
      <c r="AD17" s="488"/>
      <c r="AE17" s="30"/>
      <c r="AF17" s="57" t="b">
        <v>0</v>
      </c>
      <c r="AG17" s="57" t="b">
        <v>0</v>
      </c>
      <c r="AH17" s="57" t="b">
        <v>0</v>
      </c>
      <c r="AI17" s="30"/>
      <c r="AJ17" s="30" t="str">
        <f t="shared" si="10"/>
        <v/>
      </c>
    </row>
    <row r="18" spans="1:36" ht="21" customHeight="1" x14ac:dyDescent="0.2">
      <c r="A18" s="117">
        <v>13</v>
      </c>
      <c r="B18" s="458" t="str">
        <f t="shared" si="11"/>
        <v/>
      </c>
      <c r="C18" s="459"/>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60"/>
      <c r="AC18" s="461"/>
      <c r="AD18" s="488"/>
      <c r="AE18" s="30"/>
      <c r="AF18" s="57" t="b">
        <v>0</v>
      </c>
      <c r="AG18" s="57" t="b">
        <v>0</v>
      </c>
      <c r="AH18" s="57" t="b">
        <v>0</v>
      </c>
      <c r="AI18" s="30"/>
      <c r="AJ18" s="30" t="str">
        <f t="shared" si="10"/>
        <v/>
      </c>
    </row>
    <row r="19" spans="1:36" ht="21" customHeight="1" x14ac:dyDescent="0.2">
      <c r="A19" s="122">
        <v>14</v>
      </c>
      <c r="B19" s="458" t="str">
        <f t="shared" si="11"/>
        <v/>
      </c>
      <c r="C19" s="459"/>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60"/>
      <c r="AC19" s="461"/>
      <c r="AD19" s="488"/>
      <c r="AE19" s="30"/>
      <c r="AF19" s="57" t="b">
        <v>0</v>
      </c>
      <c r="AG19" s="57" t="b">
        <v>0</v>
      </c>
      <c r="AH19" s="57" t="b">
        <v>0</v>
      </c>
      <c r="AI19" s="30"/>
      <c r="AJ19" s="30" t="str">
        <f t="shared" si="10"/>
        <v/>
      </c>
    </row>
    <row r="20" spans="1:36" ht="21" customHeight="1" x14ac:dyDescent="0.2">
      <c r="A20" s="117">
        <v>15</v>
      </c>
      <c r="B20" s="458" t="str">
        <f t="shared" si="11"/>
        <v/>
      </c>
      <c r="C20" s="459"/>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60"/>
      <c r="AC20" s="461"/>
      <c r="AD20" s="488"/>
      <c r="AE20" s="30"/>
      <c r="AF20" s="57" t="b">
        <v>0</v>
      </c>
      <c r="AG20" s="57" t="b">
        <v>0</v>
      </c>
      <c r="AH20" s="57" t="b">
        <v>0</v>
      </c>
      <c r="AI20" s="30"/>
      <c r="AJ20" s="30" t="str">
        <f t="shared" si="10"/>
        <v/>
      </c>
    </row>
    <row r="21" spans="1:36" ht="21" customHeight="1" x14ac:dyDescent="0.2">
      <c r="A21" s="117">
        <v>16</v>
      </c>
      <c r="B21" s="458" t="str">
        <f t="shared" si="11"/>
        <v/>
      </c>
      <c r="C21" s="459"/>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60"/>
      <c r="AC21" s="461"/>
      <c r="AD21" s="488"/>
      <c r="AE21" s="30"/>
      <c r="AF21" s="57" t="b">
        <v>0</v>
      </c>
      <c r="AG21" s="57" t="b">
        <v>0</v>
      </c>
      <c r="AH21" s="57" t="b">
        <v>0</v>
      </c>
      <c r="AI21" s="30"/>
      <c r="AJ21" s="30" t="str">
        <f t="shared" si="10"/>
        <v/>
      </c>
    </row>
    <row r="22" spans="1:36" ht="21" customHeight="1" x14ac:dyDescent="0.2">
      <c r="A22" s="122">
        <v>17</v>
      </c>
      <c r="B22" s="458" t="str">
        <f t="shared" si="11"/>
        <v/>
      </c>
      <c r="C22" s="459"/>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60"/>
      <c r="AC22" s="461"/>
      <c r="AD22" s="488"/>
      <c r="AE22" s="30"/>
      <c r="AF22" s="57" t="b">
        <v>0</v>
      </c>
      <c r="AG22" s="57" t="b">
        <v>0</v>
      </c>
      <c r="AH22" s="57" t="b">
        <v>0</v>
      </c>
      <c r="AI22" s="30"/>
      <c r="AJ22" s="30" t="str">
        <f t="shared" si="10"/>
        <v/>
      </c>
    </row>
    <row r="23" spans="1:36" ht="21" customHeight="1" x14ac:dyDescent="0.2">
      <c r="A23" s="117">
        <v>18</v>
      </c>
      <c r="B23" s="458" t="str">
        <f t="shared" si="11"/>
        <v/>
      </c>
      <c r="C23" s="459"/>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60"/>
      <c r="AC23" s="461"/>
      <c r="AD23" s="488"/>
      <c r="AE23" s="30"/>
      <c r="AF23" s="57" t="b">
        <v>0</v>
      </c>
      <c r="AG23" s="57" t="b">
        <v>0</v>
      </c>
      <c r="AH23" s="57" t="b">
        <v>0</v>
      </c>
      <c r="AI23" s="30"/>
      <c r="AJ23" s="30" t="str">
        <f t="shared" si="10"/>
        <v/>
      </c>
    </row>
    <row r="24" spans="1:36" ht="21" customHeight="1" x14ac:dyDescent="0.2">
      <c r="A24" s="117">
        <v>19</v>
      </c>
      <c r="B24" s="458" t="str">
        <f t="shared" si="11"/>
        <v/>
      </c>
      <c r="C24" s="459"/>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60"/>
      <c r="AC24" s="461"/>
      <c r="AD24" s="488"/>
      <c r="AE24" s="30"/>
      <c r="AF24" s="57" t="b">
        <v>0</v>
      </c>
      <c r="AG24" s="57" t="b">
        <v>0</v>
      </c>
      <c r="AH24" s="57" t="b">
        <v>0</v>
      </c>
      <c r="AI24" s="30"/>
      <c r="AJ24" s="30" t="str">
        <f t="shared" si="10"/>
        <v/>
      </c>
    </row>
    <row r="25" spans="1:36" ht="21" customHeight="1" x14ac:dyDescent="0.2">
      <c r="A25" s="122">
        <v>20</v>
      </c>
      <c r="B25" s="458" t="str">
        <f t="shared" si="11"/>
        <v/>
      </c>
      <c r="C25" s="459"/>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60"/>
      <c r="AC25" s="461"/>
      <c r="AD25" s="488"/>
      <c r="AE25" s="30"/>
      <c r="AF25" s="57" t="b">
        <v>0</v>
      </c>
      <c r="AG25" s="57" t="b">
        <v>0</v>
      </c>
      <c r="AH25" s="57" t="b">
        <v>0</v>
      </c>
      <c r="AI25" s="30"/>
      <c r="AJ25" s="30" t="str">
        <f t="shared" si="10"/>
        <v/>
      </c>
    </row>
    <row r="26" spans="1:36" ht="21" customHeight="1" x14ac:dyDescent="0.2">
      <c r="A26" s="117">
        <v>21</v>
      </c>
      <c r="B26" s="458" t="str">
        <f t="shared" si="11"/>
        <v/>
      </c>
      <c r="C26" s="459"/>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60"/>
      <c r="AC26" s="461"/>
      <c r="AD26" s="488"/>
      <c r="AE26" s="30"/>
      <c r="AF26" s="57" t="b">
        <v>0</v>
      </c>
      <c r="AG26" s="57" t="b">
        <v>0</v>
      </c>
      <c r="AH26" s="57" t="b">
        <v>0</v>
      </c>
      <c r="AI26" s="30"/>
      <c r="AJ26" s="30" t="str">
        <f t="shared" si="10"/>
        <v/>
      </c>
    </row>
    <row r="27" spans="1:36" ht="21" customHeight="1" x14ac:dyDescent="0.2">
      <c r="A27" s="117">
        <v>22</v>
      </c>
      <c r="B27" s="458" t="str">
        <f t="shared" si="11"/>
        <v/>
      </c>
      <c r="C27" s="459"/>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60"/>
      <c r="AC27" s="461"/>
      <c r="AD27" s="488"/>
      <c r="AE27" s="30"/>
      <c r="AF27" s="57" t="b">
        <v>0</v>
      </c>
      <c r="AG27" s="57" t="b">
        <v>0</v>
      </c>
      <c r="AH27" s="57" t="b">
        <v>0</v>
      </c>
      <c r="AI27" s="30"/>
      <c r="AJ27" s="30" t="str">
        <f t="shared" si="10"/>
        <v/>
      </c>
    </row>
    <row r="28" spans="1:36" ht="21" customHeight="1" x14ac:dyDescent="0.2">
      <c r="A28" s="122">
        <v>23</v>
      </c>
      <c r="B28" s="458" t="str">
        <f t="shared" si="11"/>
        <v/>
      </c>
      <c r="C28" s="459"/>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60"/>
      <c r="AC28" s="461"/>
      <c r="AD28" s="488"/>
      <c r="AE28" s="30"/>
      <c r="AF28" s="57" t="b">
        <v>0</v>
      </c>
      <c r="AG28" s="57" t="b">
        <v>0</v>
      </c>
      <c r="AH28" s="57" t="b">
        <v>0</v>
      </c>
      <c r="AI28" s="30"/>
      <c r="AJ28" s="30" t="str">
        <f t="shared" si="10"/>
        <v/>
      </c>
    </row>
    <row r="29" spans="1:36" ht="21" customHeight="1" x14ac:dyDescent="0.2">
      <c r="A29" s="117">
        <v>24</v>
      </c>
      <c r="B29" s="458" t="str">
        <f t="shared" si="11"/>
        <v/>
      </c>
      <c r="C29" s="459"/>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60"/>
      <c r="AC29" s="461"/>
      <c r="AD29" s="488"/>
      <c r="AE29" s="30"/>
      <c r="AF29" s="57" t="b">
        <v>0</v>
      </c>
      <c r="AG29" s="57" t="b">
        <v>0</v>
      </c>
      <c r="AH29" s="57" t="b">
        <v>0</v>
      </c>
      <c r="AI29" s="30"/>
      <c r="AJ29" s="30" t="str">
        <f t="shared" si="10"/>
        <v/>
      </c>
    </row>
    <row r="30" spans="1:36" ht="21" customHeight="1" x14ac:dyDescent="0.2">
      <c r="A30" s="117">
        <v>25</v>
      </c>
      <c r="B30" s="458" t="str">
        <f t="shared" si="11"/>
        <v/>
      </c>
      <c r="C30" s="459"/>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60"/>
      <c r="AC30" s="461"/>
      <c r="AD30" s="488"/>
      <c r="AE30" s="30"/>
      <c r="AF30" s="57" t="b">
        <v>0</v>
      </c>
      <c r="AG30" s="57" t="b">
        <v>0</v>
      </c>
      <c r="AH30" s="57" t="b">
        <v>0</v>
      </c>
      <c r="AI30" s="30"/>
      <c r="AJ30" s="30" t="str">
        <f t="shared" si="10"/>
        <v/>
      </c>
    </row>
    <row r="31" spans="1:36" ht="21" customHeight="1" x14ac:dyDescent="0.2">
      <c r="A31" s="122">
        <v>26</v>
      </c>
      <c r="B31" s="458" t="str">
        <f t="shared" si="11"/>
        <v/>
      </c>
      <c r="C31" s="459"/>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60"/>
      <c r="AC31" s="461"/>
      <c r="AD31" s="488"/>
      <c r="AE31" s="30"/>
      <c r="AF31" s="57" t="b">
        <v>0</v>
      </c>
      <c r="AG31" s="57" t="b">
        <v>0</v>
      </c>
      <c r="AH31" s="57" t="b">
        <v>0</v>
      </c>
      <c r="AI31" s="30"/>
      <c r="AJ31" s="30" t="str">
        <f t="shared" si="10"/>
        <v/>
      </c>
    </row>
    <row r="32" spans="1:36" ht="21" customHeight="1" x14ac:dyDescent="0.2">
      <c r="A32" s="117">
        <v>27</v>
      </c>
      <c r="B32" s="458" t="str">
        <f t="shared" si="11"/>
        <v/>
      </c>
      <c r="C32" s="459"/>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60"/>
      <c r="AC32" s="461"/>
      <c r="AD32" s="488"/>
      <c r="AE32" s="30"/>
      <c r="AF32" s="57" t="b">
        <v>0</v>
      </c>
      <c r="AG32" s="57" t="b">
        <v>0</v>
      </c>
      <c r="AH32" s="57" t="b">
        <v>0</v>
      </c>
      <c r="AI32" s="30"/>
      <c r="AJ32" s="30" t="str">
        <f t="shared" si="10"/>
        <v/>
      </c>
    </row>
    <row r="33" spans="1:36" ht="21" customHeight="1" x14ac:dyDescent="0.2">
      <c r="A33" s="117">
        <v>28</v>
      </c>
      <c r="B33" s="458" t="str">
        <f t="shared" si="11"/>
        <v/>
      </c>
      <c r="C33" s="459"/>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60"/>
      <c r="AC33" s="461"/>
      <c r="AD33" s="488"/>
      <c r="AE33" s="30"/>
      <c r="AF33" s="57" t="b">
        <v>0</v>
      </c>
      <c r="AG33" s="57" t="b">
        <v>0</v>
      </c>
      <c r="AH33" s="57" t="b">
        <v>0</v>
      </c>
      <c r="AI33" s="30"/>
      <c r="AJ33" s="30" t="str">
        <f t="shared" si="10"/>
        <v/>
      </c>
    </row>
    <row r="34" spans="1:36" ht="21" customHeight="1" x14ac:dyDescent="0.2">
      <c r="A34" s="122">
        <v>29</v>
      </c>
      <c r="B34" s="458" t="str">
        <f t="shared" si="11"/>
        <v/>
      </c>
      <c r="C34" s="459"/>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60"/>
      <c r="AC34" s="461"/>
      <c r="AD34" s="488"/>
      <c r="AE34" s="30"/>
      <c r="AF34" s="57" t="b">
        <v>0</v>
      </c>
      <c r="AG34" s="57" t="b">
        <v>0</v>
      </c>
      <c r="AH34" s="57" t="b">
        <v>0</v>
      </c>
      <c r="AI34" s="30"/>
      <c r="AJ34" s="30" t="str">
        <f t="shared" si="10"/>
        <v/>
      </c>
    </row>
    <row r="35" spans="1:36" ht="21" customHeight="1" x14ac:dyDescent="0.2">
      <c r="A35" s="117">
        <v>30</v>
      </c>
      <c r="B35" s="458" t="str">
        <f t="shared" si="11"/>
        <v/>
      </c>
      <c r="C35" s="459"/>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60"/>
      <c r="AC35" s="461"/>
      <c r="AD35" s="488"/>
      <c r="AE35" s="30"/>
      <c r="AF35" s="57" t="b">
        <v>0</v>
      </c>
      <c r="AG35" s="57" t="b">
        <v>0</v>
      </c>
      <c r="AH35" s="57" t="b">
        <v>0</v>
      </c>
      <c r="AI35" s="30"/>
      <c r="AJ35" s="30" t="str">
        <f t="shared" si="10"/>
        <v/>
      </c>
    </row>
    <row r="36" spans="1:36" ht="21" customHeight="1" x14ac:dyDescent="0.2">
      <c r="A36" s="117">
        <v>31</v>
      </c>
      <c r="B36" s="458" t="str">
        <f t="shared" si="11"/>
        <v/>
      </c>
      <c r="C36" s="459"/>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60"/>
      <c r="AC36" s="461"/>
      <c r="AD36" s="488"/>
      <c r="AE36" s="30"/>
      <c r="AF36" s="57" t="b">
        <v>0</v>
      </c>
      <c r="AG36" s="57" t="b">
        <v>0</v>
      </c>
      <c r="AH36" s="57" t="b">
        <v>0</v>
      </c>
      <c r="AI36" s="30"/>
      <c r="AJ36" s="30" t="str">
        <f t="shared" si="10"/>
        <v/>
      </c>
    </row>
    <row r="37" spans="1:36" ht="21" customHeight="1" x14ac:dyDescent="0.2">
      <c r="A37" s="122">
        <v>32</v>
      </c>
      <c r="B37" s="458" t="str">
        <f t="shared" si="11"/>
        <v/>
      </c>
      <c r="C37" s="459"/>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60"/>
      <c r="AC37" s="461"/>
      <c r="AD37" s="488"/>
      <c r="AE37" s="30"/>
      <c r="AF37" s="57" t="b">
        <v>0</v>
      </c>
      <c r="AG37" s="57" t="b">
        <v>0</v>
      </c>
      <c r="AH37" s="57" t="b">
        <v>0</v>
      </c>
      <c r="AI37" s="30"/>
      <c r="AJ37" s="30" t="str">
        <f t="shared" si="10"/>
        <v/>
      </c>
    </row>
    <row r="38" spans="1:36" ht="21" customHeight="1" x14ac:dyDescent="0.2">
      <c r="A38" s="117">
        <v>33</v>
      </c>
      <c r="B38" s="458" t="str">
        <f t="shared" si="11"/>
        <v/>
      </c>
      <c r="C38" s="459"/>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60"/>
      <c r="AC38" s="461"/>
      <c r="AD38" s="488"/>
      <c r="AE38" s="30"/>
      <c r="AF38" s="57" t="b">
        <v>0</v>
      </c>
      <c r="AG38" s="57" t="b">
        <v>0</v>
      </c>
      <c r="AH38" s="57" t="b">
        <v>0</v>
      </c>
      <c r="AI38" s="30"/>
      <c r="AJ38" s="30" t="str">
        <f t="shared" si="10"/>
        <v/>
      </c>
    </row>
    <row r="39" spans="1:36" ht="21" customHeight="1" x14ac:dyDescent="0.2">
      <c r="A39" s="117">
        <v>34</v>
      </c>
      <c r="B39" s="458" t="str">
        <f t="shared" si="11"/>
        <v/>
      </c>
      <c r="C39" s="459"/>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60"/>
      <c r="AC39" s="461"/>
      <c r="AD39" s="488"/>
      <c r="AE39" s="30"/>
      <c r="AF39" s="57" t="b">
        <v>0</v>
      </c>
      <c r="AG39" s="57" t="b">
        <v>0</v>
      </c>
      <c r="AH39" s="57" t="b">
        <v>0</v>
      </c>
      <c r="AI39" s="30"/>
      <c r="AJ39" s="30" t="str">
        <f t="shared" si="10"/>
        <v/>
      </c>
    </row>
    <row r="40" spans="1:36" ht="21" customHeight="1" x14ac:dyDescent="0.2">
      <c r="A40" s="122">
        <v>35</v>
      </c>
      <c r="B40" s="458" t="str">
        <f t="shared" si="11"/>
        <v/>
      </c>
      <c r="C40" s="459"/>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60"/>
      <c r="AC40" s="461"/>
      <c r="AD40" s="488"/>
      <c r="AE40" s="30"/>
      <c r="AF40" s="57" t="b">
        <v>0</v>
      </c>
      <c r="AG40" s="57" t="b">
        <v>0</v>
      </c>
      <c r="AH40" s="57" t="b">
        <v>0</v>
      </c>
      <c r="AI40" s="30"/>
      <c r="AJ40" s="30" t="str">
        <f t="shared" si="10"/>
        <v/>
      </c>
    </row>
    <row r="41" spans="1:36" ht="21" customHeight="1" x14ac:dyDescent="0.2">
      <c r="A41" s="117">
        <v>36</v>
      </c>
      <c r="B41" s="458" t="str">
        <f t="shared" si="11"/>
        <v/>
      </c>
      <c r="C41" s="459"/>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60"/>
      <c r="AC41" s="461"/>
      <c r="AD41" s="488"/>
      <c r="AE41" s="30"/>
      <c r="AF41" s="57" t="b">
        <v>0</v>
      </c>
      <c r="AG41" s="57" t="b">
        <v>0</v>
      </c>
      <c r="AH41" s="57" t="b">
        <v>0</v>
      </c>
      <c r="AI41" s="30"/>
      <c r="AJ41" s="30" t="str">
        <f t="shared" si="10"/>
        <v/>
      </c>
    </row>
    <row r="42" spans="1:36" ht="21" customHeight="1" x14ac:dyDescent="0.2">
      <c r="A42" s="117">
        <v>37</v>
      </c>
      <c r="B42" s="458" t="str">
        <f t="shared" si="11"/>
        <v/>
      </c>
      <c r="C42" s="459"/>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60"/>
      <c r="AC42" s="461"/>
      <c r="AD42" s="488"/>
      <c r="AE42" s="30"/>
      <c r="AF42" s="57" t="b">
        <v>0</v>
      </c>
      <c r="AG42" s="57" t="b">
        <v>0</v>
      </c>
      <c r="AH42" s="57" t="b">
        <v>0</v>
      </c>
      <c r="AI42" s="30"/>
      <c r="AJ42" s="30" t="str">
        <f t="shared" si="10"/>
        <v/>
      </c>
    </row>
    <row r="43" spans="1:36" ht="21" customHeight="1" x14ac:dyDescent="0.2">
      <c r="A43" s="122">
        <v>38</v>
      </c>
      <c r="B43" s="458" t="str">
        <f t="shared" si="11"/>
        <v/>
      </c>
      <c r="C43" s="459"/>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60"/>
      <c r="AC43" s="461"/>
      <c r="AD43" s="488"/>
      <c r="AE43" s="30"/>
      <c r="AF43" s="57" t="b">
        <v>0</v>
      </c>
      <c r="AG43" s="57" t="b">
        <v>0</v>
      </c>
      <c r="AH43" s="57" t="b">
        <v>0</v>
      </c>
      <c r="AI43" s="30"/>
      <c r="AJ43" s="30" t="str">
        <f t="shared" si="10"/>
        <v/>
      </c>
    </row>
    <row r="44" spans="1:36" ht="21" customHeight="1" x14ac:dyDescent="0.2">
      <c r="A44" s="117">
        <v>39</v>
      </c>
      <c r="B44" s="458" t="str">
        <f t="shared" si="11"/>
        <v/>
      </c>
      <c r="C44" s="459"/>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60"/>
      <c r="AC44" s="461"/>
      <c r="AD44" s="488"/>
      <c r="AE44" s="30"/>
      <c r="AF44" s="57" t="b">
        <v>0</v>
      </c>
      <c r="AG44" s="57" t="b">
        <v>0</v>
      </c>
      <c r="AH44" s="57" t="b">
        <v>0</v>
      </c>
      <c r="AI44" s="30"/>
      <c r="AJ44" s="30" t="str">
        <f t="shared" si="10"/>
        <v/>
      </c>
    </row>
    <row r="45" spans="1:36" ht="21" customHeight="1" x14ac:dyDescent="0.2">
      <c r="A45" s="117">
        <v>40</v>
      </c>
      <c r="B45" s="458" t="str">
        <f t="shared" si="11"/>
        <v/>
      </c>
      <c r="C45" s="459"/>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60"/>
      <c r="AC45" s="461"/>
      <c r="AD45" s="488"/>
      <c r="AE45" s="30"/>
      <c r="AF45" s="57" t="b">
        <v>0</v>
      </c>
      <c r="AG45" s="57" t="b">
        <v>0</v>
      </c>
      <c r="AH45" s="57" t="b">
        <v>0</v>
      </c>
      <c r="AI45" s="30"/>
      <c r="AJ45" s="30" t="str">
        <f t="shared" si="10"/>
        <v/>
      </c>
    </row>
    <row r="46" spans="1:36" ht="21" customHeight="1" x14ac:dyDescent="0.2">
      <c r="A46" s="122">
        <v>41</v>
      </c>
      <c r="B46" s="458" t="str">
        <f t="shared" si="11"/>
        <v/>
      </c>
      <c r="C46" s="459"/>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60"/>
      <c r="AC46" s="461"/>
      <c r="AD46" s="488"/>
      <c r="AE46" s="30"/>
      <c r="AF46" s="57" t="b">
        <v>0</v>
      </c>
      <c r="AG46" s="57" t="b">
        <v>0</v>
      </c>
      <c r="AH46" s="57" t="b">
        <v>0</v>
      </c>
      <c r="AI46" s="30"/>
      <c r="AJ46" s="30" t="str">
        <f t="shared" si="10"/>
        <v/>
      </c>
    </row>
    <row r="47" spans="1:36" ht="21" customHeight="1" x14ac:dyDescent="0.2">
      <c r="A47" s="117">
        <v>42</v>
      </c>
      <c r="B47" s="458" t="str">
        <f t="shared" si="11"/>
        <v/>
      </c>
      <c r="C47" s="459"/>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60"/>
      <c r="AC47" s="461"/>
      <c r="AD47" s="488"/>
      <c r="AE47" s="30"/>
      <c r="AF47" s="57" t="b">
        <v>0</v>
      </c>
      <c r="AG47" s="57" t="b">
        <v>0</v>
      </c>
      <c r="AH47" s="57" t="b">
        <v>0</v>
      </c>
      <c r="AI47" s="30"/>
      <c r="AJ47" s="30" t="str">
        <f t="shared" si="10"/>
        <v/>
      </c>
    </row>
    <row r="48" spans="1:36" ht="21" customHeight="1" x14ac:dyDescent="0.2">
      <c r="A48" s="117">
        <v>43</v>
      </c>
      <c r="B48" s="458" t="str">
        <f t="shared" si="11"/>
        <v/>
      </c>
      <c r="C48" s="459"/>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60"/>
      <c r="AC48" s="461"/>
      <c r="AD48" s="488"/>
      <c r="AE48" s="30"/>
      <c r="AF48" s="57" t="b">
        <v>0</v>
      </c>
      <c r="AG48" s="57" t="b">
        <v>0</v>
      </c>
      <c r="AH48" s="57" t="b">
        <v>0</v>
      </c>
      <c r="AI48" s="30"/>
      <c r="AJ48" s="30" t="str">
        <f t="shared" si="10"/>
        <v/>
      </c>
    </row>
    <row r="49" spans="1:36" ht="21" customHeight="1" x14ac:dyDescent="0.2">
      <c r="A49" s="122">
        <v>44</v>
      </c>
      <c r="B49" s="458" t="str">
        <f t="shared" si="11"/>
        <v/>
      </c>
      <c r="C49" s="459"/>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60"/>
      <c r="AC49" s="461"/>
      <c r="AD49" s="488"/>
      <c r="AE49" s="30"/>
      <c r="AF49" s="57" t="b">
        <v>0</v>
      </c>
      <c r="AG49" s="57" t="b">
        <v>0</v>
      </c>
      <c r="AH49" s="57" t="b">
        <v>0</v>
      </c>
      <c r="AI49" s="30"/>
      <c r="AJ49" s="30" t="str">
        <f t="shared" si="10"/>
        <v/>
      </c>
    </row>
    <row r="50" spans="1:36" ht="21" customHeight="1" x14ac:dyDescent="0.2">
      <c r="A50" s="117">
        <v>45</v>
      </c>
      <c r="B50" s="458" t="str">
        <f t="shared" si="11"/>
        <v/>
      </c>
      <c r="C50" s="459"/>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60"/>
      <c r="AC50" s="461"/>
      <c r="AD50" s="488"/>
      <c r="AE50" s="30"/>
      <c r="AF50" s="57" t="b">
        <v>0</v>
      </c>
      <c r="AG50" s="57" t="b">
        <v>0</v>
      </c>
      <c r="AH50" s="57" t="b">
        <v>0</v>
      </c>
      <c r="AI50" s="30"/>
      <c r="AJ50" s="30" t="str">
        <f t="shared" si="10"/>
        <v/>
      </c>
    </row>
    <row r="51" spans="1:36" ht="21" customHeight="1" x14ac:dyDescent="0.2">
      <c r="A51" s="117">
        <v>46</v>
      </c>
      <c r="B51" s="458" t="str">
        <f t="shared" si="11"/>
        <v/>
      </c>
      <c r="C51" s="459"/>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60"/>
      <c r="AC51" s="461"/>
      <c r="AD51" s="488"/>
      <c r="AE51" s="30"/>
      <c r="AF51" s="57" t="b">
        <v>0</v>
      </c>
      <c r="AG51" s="57" t="b">
        <v>0</v>
      </c>
      <c r="AH51" s="57" t="b">
        <v>0</v>
      </c>
      <c r="AI51" s="30"/>
      <c r="AJ51" s="30" t="str">
        <f t="shared" si="10"/>
        <v/>
      </c>
    </row>
    <row r="52" spans="1:36" ht="21" customHeight="1" x14ac:dyDescent="0.2">
      <c r="A52" s="122">
        <v>47</v>
      </c>
      <c r="B52" s="458" t="str">
        <f t="shared" si="11"/>
        <v/>
      </c>
      <c r="C52" s="459"/>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60"/>
      <c r="AC52" s="461"/>
      <c r="AD52" s="488"/>
      <c r="AE52" s="30"/>
      <c r="AF52" s="57" t="b">
        <v>0</v>
      </c>
      <c r="AG52" s="57" t="b">
        <v>0</v>
      </c>
      <c r="AH52" s="57" t="b">
        <v>0</v>
      </c>
      <c r="AI52" s="30"/>
      <c r="AJ52" s="30" t="str">
        <f t="shared" si="10"/>
        <v/>
      </c>
    </row>
    <row r="53" spans="1:36" ht="21" customHeight="1" x14ac:dyDescent="0.2">
      <c r="A53" s="117">
        <v>48</v>
      </c>
      <c r="B53" s="458" t="str">
        <f t="shared" si="11"/>
        <v/>
      </c>
      <c r="C53" s="459"/>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60"/>
      <c r="AC53" s="461"/>
      <c r="AD53" s="488"/>
      <c r="AE53" s="30"/>
      <c r="AF53" s="57" t="b">
        <v>0</v>
      </c>
      <c r="AG53" s="57" t="b">
        <v>0</v>
      </c>
      <c r="AH53" s="57" t="b">
        <v>0</v>
      </c>
      <c r="AI53" s="30"/>
      <c r="AJ53" s="30" t="str">
        <f t="shared" si="10"/>
        <v/>
      </c>
    </row>
    <row r="54" spans="1:36" ht="21" customHeight="1" x14ac:dyDescent="0.2">
      <c r="A54" s="117">
        <v>49</v>
      </c>
      <c r="B54" s="458" t="str">
        <f t="shared" si="11"/>
        <v/>
      </c>
      <c r="C54" s="459"/>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60"/>
      <c r="AC54" s="461"/>
      <c r="AD54" s="488"/>
      <c r="AE54" s="30"/>
      <c r="AF54" s="57" t="b">
        <v>0</v>
      </c>
      <c r="AG54" s="57" t="b">
        <v>0</v>
      </c>
      <c r="AH54" s="57" t="b">
        <v>0</v>
      </c>
      <c r="AI54" s="30"/>
      <c r="AJ54" s="30" t="str">
        <f t="shared" si="10"/>
        <v/>
      </c>
    </row>
    <row r="55" spans="1:36" ht="21" customHeight="1" thickBot="1" x14ac:dyDescent="0.25">
      <c r="A55" s="122">
        <v>50</v>
      </c>
      <c r="B55" s="458" t="str">
        <f t="shared" si="11"/>
        <v/>
      </c>
      <c r="C55" s="459"/>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60"/>
      <c r="AC55" s="461"/>
      <c r="AD55" s="488"/>
      <c r="AE55" s="30"/>
      <c r="AF55" s="57" t="b">
        <v>0</v>
      </c>
      <c r="AG55" s="57" t="b">
        <v>0</v>
      </c>
      <c r="AH55" s="57" t="b">
        <v>0</v>
      </c>
      <c r="AI55" s="30"/>
      <c r="AJ55" s="30" t="str">
        <f t="shared" si="10"/>
        <v/>
      </c>
    </row>
    <row r="56" spans="1:36" ht="21" customHeight="1" thickBot="1" x14ac:dyDescent="0.25">
      <c r="A56" s="486" t="str">
        <f>IF(Roster!K25="Italiano","  Note",(IF(Roster!K25="Español","  Notas",(IF(Roster!K25="Deutsch","  Notizen","  Notes")))))</f>
        <v xml:space="preserve">  Notes</v>
      </c>
      <c r="B56" s="468"/>
      <c r="C56" s="487"/>
      <c r="D56" s="479"/>
      <c r="E56" s="480"/>
      <c r="F56" s="480"/>
      <c r="G56" s="480"/>
      <c r="H56" s="480"/>
      <c r="I56" s="480"/>
      <c r="J56" s="480"/>
      <c r="K56" s="480"/>
      <c r="L56" s="480"/>
      <c r="M56" s="480"/>
      <c r="N56" s="480"/>
      <c r="O56" s="480"/>
      <c r="P56" s="480"/>
      <c r="Q56" s="480"/>
      <c r="R56" s="480"/>
      <c r="S56" s="480"/>
      <c r="T56" s="480"/>
      <c r="U56" s="480"/>
      <c r="V56" s="480"/>
      <c r="W56" s="480"/>
      <c r="X56" s="480"/>
      <c r="Y56" s="481"/>
      <c r="Z56" s="480"/>
      <c r="AA56" s="480"/>
      <c r="AB56" s="480"/>
      <c r="AC56" s="482"/>
      <c r="AD56" s="488"/>
      <c r="AE56" s="30"/>
      <c r="AF56" s="72"/>
      <c r="AG56" s="72"/>
      <c r="AH56" s="72"/>
      <c r="AI56" s="30"/>
      <c r="AJ56" s="30"/>
    </row>
    <row r="57" spans="1:36" ht="8.25" customHeight="1" x14ac:dyDescent="0.2">
      <c r="A57" s="483"/>
      <c r="B57" s="484"/>
      <c r="C57" s="484"/>
      <c r="D57" s="484"/>
      <c r="E57" s="484"/>
      <c r="F57" s="484"/>
      <c r="G57" s="484"/>
      <c r="H57" s="484"/>
      <c r="I57" s="484"/>
      <c r="J57" s="484"/>
      <c r="K57" s="484"/>
      <c r="L57" s="484"/>
      <c r="M57" s="484"/>
      <c r="N57" s="484"/>
      <c r="O57" s="484"/>
      <c r="P57" s="484"/>
      <c r="Q57" s="484"/>
      <c r="R57" s="484"/>
      <c r="S57" s="484"/>
      <c r="T57" s="484"/>
      <c r="U57" s="484"/>
      <c r="V57" s="484"/>
      <c r="W57" s="484"/>
      <c r="X57" s="484"/>
      <c r="Y57" s="371"/>
      <c r="Z57" s="484"/>
      <c r="AA57" s="484"/>
      <c r="AB57" s="484"/>
      <c r="AC57" s="484"/>
      <c r="AD57" s="485"/>
      <c r="AE57" s="30"/>
      <c r="AF57" s="30"/>
      <c r="AG57" s="30"/>
      <c r="AH57" s="30"/>
      <c r="AI57" s="30"/>
      <c r="AJ57" s="30"/>
    </row>
    <row r="58" spans="1:36" ht="30" hidden="1" customHeight="1" x14ac:dyDescent="0.2">
      <c r="A58" s="129"/>
      <c r="B58" s="457"/>
      <c r="C58" s="396"/>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x14ac:dyDescent="0.2">
      <c r="A59" s="129"/>
      <c r="B59" s="457"/>
      <c r="C59" s="396"/>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x14ac:dyDescent="0.2">
      <c r="A60" s="129"/>
      <c r="B60" s="457"/>
      <c r="C60" s="396"/>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x14ac:dyDescent="0.2">
      <c r="A61" s="129"/>
      <c r="B61" s="457"/>
      <c r="C61" s="396"/>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x14ac:dyDescent="0.2">
      <c r="A62" s="129"/>
      <c r="B62" s="457"/>
      <c r="C62" s="396"/>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x14ac:dyDescent="0.2">
      <c r="A63" s="129"/>
      <c r="B63" s="457"/>
      <c r="C63" s="396"/>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x14ac:dyDescent="0.2">
      <c r="A64" s="129"/>
      <c r="B64" s="457"/>
      <c r="C64" s="396"/>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x14ac:dyDescent="0.2">
      <c r="A65" s="129"/>
      <c r="B65" s="457"/>
      <c r="C65" s="396"/>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x14ac:dyDescent="0.2">
      <c r="A66" s="129"/>
      <c r="B66" s="457"/>
      <c r="C66" s="396"/>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x14ac:dyDescent="0.2">
      <c r="A67" s="129"/>
      <c r="B67" s="457"/>
      <c r="C67" s="396"/>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x14ac:dyDescent="0.2">
      <c r="A68" s="129"/>
      <c r="B68" s="457"/>
      <c r="C68" s="396"/>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x14ac:dyDescent="0.2">
      <c r="A69" s="129"/>
      <c r="B69" s="457"/>
      <c r="C69" s="396"/>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x14ac:dyDescent="0.2">
      <c r="A70" s="129"/>
      <c r="B70" s="457"/>
      <c r="C70" s="396"/>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x14ac:dyDescent="0.2">
      <c r="A71" s="129"/>
      <c r="B71" s="457"/>
      <c r="C71" s="396"/>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x14ac:dyDescent="0.2">
      <c r="A72" s="129"/>
      <c r="B72" s="457"/>
      <c r="C72" s="396"/>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x14ac:dyDescent="0.2">
      <c r="A73" s="129"/>
      <c r="B73" s="457"/>
      <c r="C73" s="396"/>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x14ac:dyDescent="0.2">
      <c r="A74" s="129"/>
      <c r="B74" s="457"/>
      <c r="C74" s="396"/>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x14ac:dyDescent="0.2">
      <c r="A75" s="129"/>
      <c r="B75" s="457"/>
      <c r="C75" s="396"/>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x14ac:dyDescent="0.2">
      <c r="A76" s="129"/>
      <c r="B76" s="457"/>
      <c r="C76" s="396"/>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x14ac:dyDescent="0.2">
      <c r="A77" s="129"/>
      <c r="B77" s="457"/>
      <c r="C77" s="396"/>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x14ac:dyDescent="0.2">
      <c r="A78" s="129"/>
      <c r="B78" s="457"/>
      <c r="C78" s="396"/>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x14ac:dyDescent="0.2">
      <c r="A79" s="129"/>
      <c r="B79" s="457"/>
      <c r="C79" s="396"/>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x14ac:dyDescent="0.2">
      <c r="A80" s="129"/>
      <c r="B80" s="457"/>
      <c r="C80" s="396"/>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x14ac:dyDescent="0.2">
      <c r="A81" s="129"/>
      <c r="B81" s="457"/>
      <c r="C81" s="396"/>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x14ac:dyDescent="0.2">
      <c r="A82" s="129"/>
      <c r="B82" s="457"/>
      <c r="C82" s="396"/>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x14ac:dyDescent="0.2">
      <c r="A83" s="129"/>
      <c r="B83" s="457"/>
      <c r="C83" s="396"/>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x14ac:dyDescent="0.2">
      <c r="A84" s="129"/>
      <c r="B84" s="457"/>
      <c r="C84" s="396"/>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x14ac:dyDescent="0.2">
      <c r="A85" s="129"/>
      <c r="B85" s="457"/>
      <c r="C85" s="396"/>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x14ac:dyDescent="0.2">
      <c r="A86" s="129"/>
      <c r="B86" s="457"/>
      <c r="C86" s="396"/>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x14ac:dyDescent="0.2">
      <c r="A87" s="129"/>
      <c r="B87" s="457"/>
      <c r="C87" s="396"/>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x14ac:dyDescent="0.2">
      <c r="A88" s="129"/>
      <c r="B88" s="457"/>
      <c r="C88" s="396"/>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x14ac:dyDescent="0.2">
      <c r="A89" s="129"/>
      <c r="B89" s="457"/>
      <c r="C89" s="396"/>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x14ac:dyDescent="0.2">
      <c r="A90" s="129"/>
      <c r="B90" s="457"/>
      <c r="C90" s="396"/>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x14ac:dyDescent="0.2">
      <c r="A91" s="129"/>
      <c r="B91" s="457"/>
      <c r="C91" s="396"/>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x14ac:dyDescent="0.2">
      <c r="A92" s="129"/>
      <c r="B92" s="457"/>
      <c r="C92" s="396"/>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x14ac:dyDescent="0.2">
      <c r="A93" s="129"/>
      <c r="B93" s="457"/>
      <c r="C93" s="396"/>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x14ac:dyDescent="0.2">
      <c r="A94" s="129"/>
      <c r="B94" s="457"/>
      <c r="C94" s="396"/>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x14ac:dyDescent="0.2">
      <c r="A95" s="129"/>
      <c r="B95" s="457"/>
      <c r="C95" s="396"/>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x14ac:dyDescent="0.2">
      <c r="A96" s="129"/>
      <c r="B96" s="457"/>
      <c r="C96" s="396"/>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x14ac:dyDescent="0.2">
      <c r="A97" s="129"/>
      <c r="B97" s="457"/>
      <c r="C97" s="396"/>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x14ac:dyDescent="0.2">
      <c r="A98" s="129"/>
      <c r="B98" s="457"/>
      <c r="C98" s="396"/>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x14ac:dyDescent="0.2">
      <c r="A99" s="129"/>
      <c r="B99" s="457"/>
      <c r="C99" s="396"/>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x14ac:dyDescent="0.2">
      <c r="A100" s="129"/>
      <c r="B100" s="457"/>
      <c r="C100" s="396"/>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x14ac:dyDescent="0.2">
      <c r="A101" s="129"/>
      <c r="B101" s="457"/>
      <c r="C101" s="396"/>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x14ac:dyDescent="0.2">
      <c r="A102" s="129"/>
      <c r="B102" s="457"/>
      <c r="C102" s="396"/>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x14ac:dyDescent="0.2">
      <c r="A103" s="129"/>
      <c r="B103" s="457"/>
      <c r="C103" s="396"/>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x14ac:dyDescent="0.2">
      <c r="A104" s="129"/>
      <c r="B104" s="457"/>
      <c r="C104" s="396"/>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x14ac:dyDescent="0.2">
      <c r="A105" s="129"/>
      <c r="B105" s="457"/>
      <c r="C105" s="396"/>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x14ac:dyDescent="0.2">
      <c r="A106" s="129"/>
      <c r="B106" s="457"/>
      <c r="C106" s="396"/>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x14ac:dyDescent="0.2">
      <c r="A107" s="129"/>
      <c r="B107" s="457"/>
      <c r="C107" s="396"/>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x14ac:dyDescent="0.2">
      <c r="A108" s="129"/>
      <c r="B108" s="457"/>
      <c r="C108" s="396"/>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x14ac:dyDescent="0.2">
      <c r="A109" s="129"/>
      <c r="B109" s="457"/>
      <c r="C109" s="396"/>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x14ac:dyDescent="0.2">
      <c r="A110" s="129"/>
      <c r="B110" s="457"/>
      <c r="C110" s="396"/>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x14ac:dyDescent="0.2">
      <c r="A111" s="129"/>
      <c r="B111" s="457"/>
      <c r="C111" s="396"/>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x14ac:dyDescent="0.2">
      <c r="A112" s="129"/>
      <c r="B112" s="457"/>
      <c r="C112" s="396"/>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x14ac:dyDescent="0.2">
      <c r="A113" s="129"/>
      <c r="B113" s="457"/>
      <c r="C113" s="396"/>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x14ac:dyDescent="0.2">
      <c r="A114" s="129"/>
      <c r="B114" s="457"/>
      <c r="C114" s="396"/>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x14ac:dyDescent="0.2">
      <c r="A115" s="129"/>
      <c r="B115" s="457"/>
      <c r="C115" s="396"/>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x14ac:dyDescent="0.2">
      <c r="A116" s="129"/>
      <c r="B116" s="457"/>
      <c r="C116" s="396"/>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x14ac:dyDescent="0.2">
      <c r="A117" s="129"/>
      <c r="B117" s="457"/>
      <c r="C117" s="396"/>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x14ac:dyDescent="0.2">
      <c r="A118" s="129"/>
      <c r="B118" s="457"/>
      <c r="C118" s="396"/>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x14ac:dyDescent="0.2">
      <c r="A119" s="129"/>
      <c r="B119" s="457"/>
      <c r="C119" s="396"/>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x14ac:dyDescent="0.2">
      <c r="A120" s="129"/>
      <c r="B120" s="457"/>
      <c r="C120" s="396"/>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x14ac:dyDescent="0.2">
      <c r="A121" s="129"/>
      <c r="B121" s="457"/>
      <c r="C121" s="396"/>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x14ac:dyDescent="0.2">
      <c r="A122" s="129"/>
      <c r="B122" s="457"/>
      <c r="C122" s="396"/>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x14ac:dyDescent="0.2">
      <c r="A123" s="129"/>
      <c r="B123" s="457"/>
      <c r="C123" s="396"/>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x14ac:dyDescent="0.2">
      <c r="A124" s="129"/>
      <c r="B124" s="457"/>
      <c r="C124" s="396"/>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x14ac:dyDescent="0.2">
      <c r="A125" s="129"/>
      <c r="B125" s="457"/>
      <c r="C125" s="396"/>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x14ac:dyDescent="0.2">
      <c r="A126" s="129"/>
      <c r="B126" s="457"/>
      <c r="C126" s="396"/>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x14ac:dyDescent="0.2">
      <c r="A127" s="129"/>
      <c r="B127" s="457"/>
      <c r="C127" s="396"/>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x14ac:dyDescent="0.2">
      <c r="A128" s="129"/>
      <c r="B128" s="457"/>
      <c r="C128" s="396"/>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x14ac:dyDescent="0.2">
      <c r="A129" s="129"/>
      <c r="B129" s="457"/>
      <c r="C129" s="396"/>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x14ac:dyDescent="0.2">
      <c r="A130" s="129"/>
      <c r="B130" s="457"/>
      <c r="C130" s="396"/>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x14ac:dyDescent="0.2">
      <c r="A131" s="129"/>
      <c r="B131" s="457"/>
      <c r="C131" s="396"/>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x14ac:dyDescent="0.2">
      <c r="A132" s="129"/>
      <c r="B132" s="457"/>
      <c r="C132" s="396"/>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x14ac:dyDescent="0.2">
      <c r="A133" s="129"/>
      <c r="B133" s="457"/>
      <c r="C133" s="396"/>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x14ac:dyDescent="0.2">
      <c r="A134" s="129"/>
      <c r="B134" s="457"/>
      <c r="C134" s="396"/>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x14ac:dyDescent="0.2">
      <c r="A135" s="129"/>
      <c r="B135" s="457"/>
      <c r="C135" s="396"/>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x14ac:dyDescent="0.2">
      <c r="A136" s="129"/>
      <c r="B136" s="457"/>
      <c r="C136" s="396"/>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x14ac:dyDescent="0.2">
      <c r="A137" s="129"/>
      <c r="B137" s="457"/>
      <c r="C137" s="396"/>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x14ac:dyDescent="0.2">
      <c r="A138" s="129"/>
      <c r="B138" s="457"/>
      <c r="C138" s="396"/>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x14ac:dyDescent="0.2">
      <c r="A139" s="129"/>
      <c r="B139" s="457"/>
      <c r="C139" s="396"/>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x14ac:dyDescent="0.2">
      <c r="A140" s="129"/>
      <c r="B140" s="457"/>
      <c r="C140" s="396"/>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x14ac:dyDescent="0.2">
      <c r="A141" s="129"/>
      <c r="B141" s="457"/>
      <c r="C141" s="396"/>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x14ac:dyDescent="0.2">
      <c r="A142" s="129"/>
      <c r="B142" s="457"/>
      <c r="C142" s="396"/>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x14ac:dyDescent="0.2">
      <c r="A143" s="129"/>
      <c r="B143" s="457"/>
      <c r="C143" s="396"/>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x14ac:dyDescent="0.2">
      <c r="A144" s="129"/>
      <c r="B144" s="457"/>
      <c r="C144" s="396"/>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x14ac:dyDescent="0.2">
      <c r="A145" s="129"/>
      <c r="B145" s="457"/>
      <c r="C145" s="396"/>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x14ac:dyDescent="0.2">
      <c r="A146" s="129"/>
      <c r="B146" s="457"/>
      <c r="C146" s="396"/>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x14ac:dyDescent="0.2">
      <c r="A147" s="129"/>
      <c r="B147" s="457"/>
      <c r="C147" s="396"/>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x14ac:dyDescent="0.2">
      <c r="A148" s="129"/>
      <c r="B148" s="457"/>
      <c r="C148" s="396"/>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x14ac:dyDescent="0.2">
      <c r="A149" s="129"/>
      <c r="B149" s="457"/>
      <c r="C149" s="396"/>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x14ac:dyDescent="0.2">
      <c r="A150" s="129"/>
      <c r="B150" s="457"/>
      <c r="C150" s="396"/>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x14ac:dyDescent="0.2">
      <c r="A151" s="129"/>
      <c r="B151" s="457"/>
      <c r="C151" s="396"/>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x14ac:dyDescent="0.2">
      <c r="A152" s="129"/>
      <c r="B152" s="457"/>
      <c r="C152" s="396"/>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x14ac:dyDescent="0.2">
      <c r="A153" s="129"/>
      <c r="B153" s="457"/>
      <c r="C153" s="396"/>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x14ac:dyDescent="0.2">
      <c r="A154" s="129"/>
      <c r="B154" s="457"/>
      <c r="C154" s="396"/>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x14ac:dyDescent="0.2">
      <c r="A155" s="129"/>
      <c r="B155" s="457"/>
      <c r="C155" s="396"/>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x14ac:dyDescent="0.2">
      <c r="A156" s="129"/>
      <c r="B156" s="457"/>
      <c r="C156" s="396"/>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x14ac:dyDescent="0.2">
      <c r="A157" s="129"/>
      <c r="B157" s="457"/>
      <c r="C157" s="396"/>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x14ac:dyDescent="0.2">
      <c r="A158" s="129"/>
      <c r="B158" s="457"/>
      <c r="C158" s="396"/>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x14ac:dyDescent="0.2">
      <c r="A159" s="129"/>
      <c r="B159" s="457"/>
      <c r="C159" s="396"/>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x14ac:dyDescent="0.2">
      <c r="A160" s="129"/>
      <c r="B160" s="457"/>
      <c r="C160" s="396"/>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x14ac:dyDescent="0.2">
      <c r="A161" s="129"/>
      <c r="B161" s="457"/>
      <c r="C161" s="396"/>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x14ac:dyDescent="0.2">
      <c r="A162" s="129"/>
      <c r="B162" s="457"/>
      <c r="C162" s="396"/>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x14ac:dyDescent="0.2">
      <c r="A163" s="129"/>
      <c r="B163" s="457"/>
      <c r="C163" s="396"/>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x14ac:dyDescent="0.2">
      <c r="A164" s="129"/>
      <c r="B164" s="457"/>
      <c r="C164" s="396"/>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x14ac:dyDescent="0.2">
      <c r="A165" s="129"/>
      <c r="B165" s="457"/>
      <c r="C165" s="396"/>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x14ac:dyDescent="0.2">
      <c r="A166" s="129"/>
      <c r="B166" s="457"/>
      <c r="C166" s="396"/>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x14ac:dyDescent="0.2">
      <c r="A167" s="129"/>
      <c r="B167" s="457"/>
      <c r="C167" s="396"/>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x14ac:dyDescent="0.2">
      <c r="A168" s="129"/>
      <c r="B168" s="457"/>
      <c r="C168" s="396"/>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x14ac:dyDescent="0.2">
      <c r="A169" s="129"/>
      <c r="B169" s="457"/>
      <c r="C169" s="396"/>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x14ac:dyDescent="0.2">
      <c r="A170" s="129"/>
      <c r="B170" s="457"/>
      <c r="C170" s="396"/>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x14ac:dyDescent="0.2">
      <c r="A171" s="129"/>
      <c r="B171" s="457"/>
      <c r="C171" s="396"/>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x14ac:dyDescent="0.2">
      <c r="A172" s="129"/>
      <c r="B172" s="457"/>
      <c r="C172" s="396"/>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x14ac:dyDescent="0.2">
      <c r="A173" s="129"/>
      <c r="B173" s="457"/>
      <c r="C173" s="396"/>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x14ac:dyDescent="0.2">
      <c r="A174" s="129"/>
      <c r="B174" s="457"/>
      <c r="C174" s="396"/>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x14ac:dyDescent="0.2">
      <c r="A175" s="129"/>
      <c r="B175" s="457"/>
      <c r="C175" s="396"/>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x14ac:dyDescent="0.2">
      <c r="A176" s="129"/>
      <c r="B176" s="457"/>
      <c r="C176" s="396"/>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x14ac:dyDescent="0.2">
      <c r="A177" s="129"/>
      <c r="B177" s="457"/>
      <c r="C177" s="396"/>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x14ac:dyDescent="0.2">
      <c r="A178" s="129"/>
      <c r="B178" s="457"/>
      <c r="C178" s="396"/>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x14ac:dyDescent="0.2">
      <c r="A179" s="129"/>
      <c r="B179" s="457"/>
      <c r="C179" s="396"/>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x14ac:dyDescent="0.2">
      <c r="A180" s="129"/>
      <c r="B180" s="457"/>
      <c r="C180" s="396"/>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x14ac:dyDescent="0.2">
      <c r="A181" s="129"/>
      <c r="B181" s="457"/>
      <c r="C181" s="396"/>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x14ac:dyDescent="0.2">
      <c r="A182" s="129"/>
      <c r="B182" s="457"/>
      <c r="C182" s="396"/>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x14ac:dyDescent="0.2">
      <c r="A183" s="129"/>
      <c r="B183" s="457"/>
      <c r="C183" s="396"/>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x14ac:dyDescent="0.2">
      <c r="A184" s="129"/>
      <c r="B184" s="457"/>
      <c r="C184" s="396"/>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x14ac:dyDescent="0.2">
      <c r="A185" s="129"/>
      <c r="B185" s="457"/>
      <c r="C185" s="396"/>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x14ac:dyDescent="0.2">
      <c r="A186" s="129"/>
      <c r="B186" s="457"/>
      <c r="C186" s="396"/>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x14ac:dyDescent="0.2">
      <c r="A187" s="129"/>
      <c r="B187" s="457"/>
      <c r="C187" s="396"/>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x14ac:dyDescent="0.2">
      <c r="A188" s="129"/>
      <c r="B188" s="457"/>
      <c r="C188" s="396"/>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x14ac:dyDescent="0.2">
      <c r="A189" s="129"/>
      <c r="B189" s="457"/>
      <c r="C189" s="396"/>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x14ac:dyDescent="0.2">
      <c r="A190" s="129"/>
      <c r="B190" s="457"/>
      <c r="C190" s="396"/>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x14ac:dyDescent="0.2">
      <c r="A191" s="129"/>
      <c r="B191" s="457"/>
      <c r="C191" s="396"/>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x14ac:dyDescent="0.2">
      <c r="A192" s="129"/>
      <c r="B192" s="457"/>
      <c r="C192" s="396"/>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x14ac:dyDescent="0.2">
      <c r="A193" s="129"/>
      <c r="B193" s="457"/>
      <c r="C193" s="396"/>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x14ac:dyDescent="0.2">
      <c r="A194" s="129"/>
      <c r="B194" s="457"/>
      <c r="C194" s="396"/>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x14ac:dyDescent="0.2">
      <c r="A195" s="129"/>
      <c r="B195" s="457"/>
      <c r="C195" s="396"/>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x14ac:dyDescent="0.2">
      <c r="A196" s="129"/>
      <c r="B196" s="457"/>
      <c r="C196" s="396"/>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x14ac:dyDescent="0.2">
      <c r="A197" s="129"/>
      <c r="B197" s="457"/>
      <c r="C197" s="396"/>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x14ac:dyDescent="0.2">
      <c r="A198" s="129"/>
      <c r="B198" s="457"/>
      <c r="C198" s="396"/>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x14ac:dyDescent="0.2">
      <c r="A199" s="129"/>
      <c r="B199" s="457"/>
      <c r="C199" s="396"/>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x14ac:dyDescent="0.2">
      <c r="A200" s="129"/>
      <c r="B200" s="457"/>
      <c r="C200" s="396"/>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x14ac:dyDescent="0.2">
      <c r="A201" s="129"/>
      <c r="B201" s="457"/>
      <c r="C201" s="396"/>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x14ac:dyDescent="0.2">
      <c r="A202" s="129"/>
      <c r="B202" s="457"/>
      <c r="C202" s="396"/>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x14ac:dyDescent="0.2">
      <c r="A203" s="129"/>
      <c r="B203" s="457"/>
      <c r="C203" s="396"/>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x14ac:dyDescent="0.2">
      <c r="A204" s="129"/>
      <c r="B204" s="457"/>
      <c r="C204" s="396"/>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x14ac:dyDescent="0.2">
      <c r="A205" s="129"/>
      <c r="B205" s="457"/>
      <c r="C205" s="396"/>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x14ac:dyDescent="0.2">
      <c r="A206" s="129"/>
      <c r="B206" s="457"/>
      <c r="C206" s="396"/>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x14ac:dyDescent="0.2">
      <c r="A207" s="129"/>
      <c r="B207" s="457"/>
      <c r="C207" s="396"/>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x14ac:dyDescent="0.2">
      <c r="A208" s="129"/>
      <c r="B208" s="457"/>
      <c r="C208" s="396"/>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x14ac:dyDescent="0.2">
      <c r="A209" s="129"/>
      <c r="B209" s="457"/>
      <c r="C209" s="396"/>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x14ac:dyDescent="0.2">
      <c r="A210" s="129"/>
      <c r="B210" s="457"/>
      <c r="C210" s="396"/>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x14ac:dyDescent="0.2">
      <c r="A211" s="129"/>
      <c r="B211" s="457"/>
      <c r="C211" s="396"/>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x14ac:dyDescent="0.2">
      <c r="A212" s="129"/>
      <c r="B212" s="457"/>
      <c r="C212" s="396"/>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x14ac:dyDescent="0.2">
      <c r="A213" s="129"/>
      <c r="B213" s="457"/>
      <c r="C213" s="396"/>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x14ac:dyDescent="0.2">
      <c r="A214" s="129"/>
      <c r="B214" s="457"/>
      <c r="C214" s="396"/>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x14ac:dyDescent="0.2">
      <c r="A215" s="129"/>
      <c r="B215" s="457"/>
      <c r="C215" s="396"/>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x14ac:dyDescent="0.2">
      <c r="A216" s="129"/>
      <c r="B216" s="457"/>
      <c r="C216" s="396"/>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x14ac:dyDescent="0.2">
      <c r="A217" s="129"/>
      <c r="B217" s="457"/>
      <c r="C217" s="396"/>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x14ac:dyDescent="0.2">
      <c r="A218" s="129"/>
      <c r="B218" s="457"/>
      <c r="C218" s="396"/>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x14ac:dyDescent="0.2">
      <c r="A219" s="129"/>
      <c r="B219" s="457"/>
      <c r="C219" s="396"/>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x14ac:dyDescent="0.2">
      <c r="A220" s="129"/>
      <c r="B220" s="457"/>
      <c r="C220" s="396"/>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x14ac:dyDescent="0.2">
      <c r="A221" s="129"/>
      <c r="B221" s="457"/>
      <c r="C221" s="396"/>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x14ac:dyDescent="0.2">
      <c r="A222" s="129"/>
      <c r="B222" s="457"/>
      <c r="C222" s="396"/>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x14ac:dyDescent="0.2">
      <c r="A223" s="129"/>
      <c r="B223" s="457"/>
      <c r="C223" s="396"/>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x14ac:dyDescent="0.2">
      <c r="A224" s="129"/>
      <c r="B224" s="457"/>
      <c r="C224" s="396"/>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x14ac:dyDescent="0.2">
      <c r="A225" s="129"/>
      <c r="B225" s="457"/>
      <c r="C225" s="396"/>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x14ac:dyDescent="0.2">
      <c r="A226" s="129"/>
      <c r="B226" s="457"/>
      <c r="C226" s="396"/>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x14ac:dyDescent="0.2">
      <c r="A227" s="129"/>
      <c r="B227" s="457"/>
      <c r="C227" s="396"/>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x14ac:dyDescent="0.2">
      <c r="A228" s="129"/>
      <c r="B228" s="457"/>
      <c r="C228" s="396"/>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x14ac:dyDescent="0.2">
      <c r="A229" s="129"/>
      <c r="B229" s="457"/>
      <c r="C229" s="396"/>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x14ac:dyDescent="0.2">
      <c r="A230" s="129"/>
      <c r="B230" s="457"/>
      <c r="C230" s="396"/>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x14ac:dyDescent="0.2">
      <c r="A231" s="129"/>
      <c r="B231" s="457"/>
      <c r="C231" s="396"/>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x14ac:dyDescent="0.2">
      <c r="A232" s="129"/>
      <c r="B232" s="457"/>
      <c r="C232" s="396"/>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x14ac:dyDescent="0.2">
      <c r="A233" s="129"/>
      <c r="B233" s="457"/>
      <c r="C233" s="396"/>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x14ac:dyDescent="0.2">
      <c r="A234" s="129"/>
      <c r="B234" s="457"/>
      <c r="C234" s="396"/>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x14ac:dyDescent="0.2">
      <c r="A235" s="129"/>
      <c r="B235" s="457"/>
      <c r="C235" s="396"/>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x14ac:dyDescent="0.2">
      <c r="A236" s="129"/>
      <c r="B236" s="457"/>
      <c r="C236" s="396"/>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x14ac:dyDescent="0.2">
      <c r="A237" s="129"/>
      <c r="B237" s="457"/>
      <c r="C237" s="396"/>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x14ac:dyDescent="0.2">
      <c r="A238" s="129"/>
      <c r="B238" s="457"/>
      <c r="C238" s="396"/>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x14ac:dyDescent="0.2">
      <c r="A239" s="129"/>
      <c r="B239" s="457"/>
      <c r="C239" s="396"/>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x14ac:dyDescent="0.2">
      <c r="A240" s="129"/>
      <c r="B240" s="457"/>
      <c r="C240" s="396"/>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x14ac:dyDescent="0.2">
      <c r="A241" s="129"/>
      <c r="B241" s="457"/>
      <c r="C241" s="396"/>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x14ac:dyDescent="0.2">
      <c r="A242" s="129"/>
      <c r="B242" s="457"/>
      <c r="C242" s="396"/>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x14ac:dyDescent="0.2">
      <c r="A243" s="129"/>
      <c r="B243" s="457"/>
      <c r="C243" s="396"/>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x14ac:dyDescent="0.2">
      <c r="A244" s="129"/>
      <c r="B244" s="457"/>
      <c r="C244" s="396"/>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x14ac:dyDescent="0.2">
      <c r="A245" s="129"/>
      <c r="B245" s="457"/>
      <c r="C245" s="396"/>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x14ac:dyDescent="0.2">
      <c r="A246" s="129"/>
      <c r="B246" s="457"/>
      <c r="C246" s="396"/>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x14ac:dyDescent="0.2">
      <c r="A247" s="129"/>
      <c r="B247" s="457"/>
      <c r="C247" s="396"/>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x14ac:dyDescent="0.2">
      <c r="A248" s="137"/>
      <c r="B248" s="30"/>
      <c r="C248" s="30"/>
      <c r="D248" s="138"/>
      <c r="E248" s="138"/>
      <c r="F248" s="30"/>
      <c r="G248" s="30"/>
      <c r="H248" s="30"/>
      <c r="I248" s="139"/>
      <c r="J248" s="72"/>
      <c r="K248" s="327"/>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x14ac:dyDescent="0.2">
      <c r="A249" s="137"/>
      <c r="B249" s="30"/>
      <c r="C249" s="30"/>
      <c r="D249" s="138"/>
      <c r="E249" s="138"/>
      <c r="F249" s="30"/>
      <c r="G249" s="30"/>
      <c r="H249" s="30"/>
      <c r="I249" s="139"/>
      <c r="J249" s="72"/>
      <c r="K249" s="327"/>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x14ac:dyDescent="0.2">
      <c r="A250" s="137"/>
      <c r="B250" s="30"/>
      <c r="C250" s="30"/>
      <c r="D250" s="138"/>
      <c r="E250" s="138"/>
      <c r="F250" s="30"/>
      <c r="G250" s="30"/>
      <c r="H250" s="30"/>
      <c r="I250" s="139"/>
      <c r="J250" s="72"/>
      <c r="K250" s="327"/>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x14ac:dyDescent="0.2">
      <c r="A251" s="137"/>
      <c r="B251" s="30"/>
      <c r="C251" s="30"/>
      <c r="D251" s="138"/>
      <c r="E251" s="138"/>
      <c r="F251" s="30"/>
      <c r="G251" s="30"/>
      <c r="H251" s="30"/>
      <c r="I251" s="139"/>
      <c r="J251" s="72"/>
      <c r="K251" s="327"/>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x14ac:dyDescent="0.2">
      <c r="A252" s="137"/>
      <c r="B252" s="30"/>
      <c r="C252" s="30"/>
      <c r="D252" s="138"/>
      <c r="E252" s="138"/>
      <c r="F252" s="30"/>
      <c r="G252" s="30"/>
      <c r="H252" s="30"/>
      <c r="I252" s="139"/>
      <c r="J252" s="72"/>
      <c r="K252" s="327"/>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x14ac:dyDescent="0.2">
      <c r="A253" s="137"/>
      <c r="B253" s="30"/>
      <c r="C253" s="30"/>
      <c r="D253" s="138"/>
      <c r="E253" s="138"/>
      <c r="F253" s="30"/>
      <c r="G253" s="30"/>
      <c r="H253" s="30"/>
      <c r="I253" s="139"/>
      <c r="J253" s="72"/>
      <c r="K253" s="327"/>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x14ac:dyDescent="0.2">
      <c r="A254" s="137"/>
      <c r="B254" s="30"/>
      <c r="C254" s="30"/>
      <c r="D254" s="138"/>
      <c r="E254" s="138"/>
      <c r="F254" s="30"/>
      <c r="G254" s="30"/>
      <c r="H254" s="30"/>
      <c r="I254" s="139"/>
      <c r="J254" s="72"/>
      <c r="K254" s="327"/>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x14ac:dyDescent="0.2">
      <c r="A255" s="137"/>
      <c r="B255" s="30"/>
      <c r="C255" s="30"/>
      <c r="D255" s="138"/>
      <c r="E255" s="138"/>
      <c r="F255" s="30"/>
      <c r="G255" s="30"/>
      <c r="H255" s="30"/>
      <c r="I255" s="139"/>
      <c r="J255" s="72"/>
      <c r="K255" s="327"/>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x14ac:dyDescent="0.2">
      <c r="A256" s="137"/>
      <c r="B256" s="30"/>
      <c r="C256" s="30"/>
      <c r="D256" s="138"/>
      <c r="E256" s="138"/>
      <c r="F256" s="30"/>
      <c r="G256" s="30"/>
      <c r="H256" s="30"/>
      <c r="I256" s="139"/>
      <c r="J256" s="72"/>
      <c r="K256" s="327"/>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x14ac:dyDescent="0.2">
      <c r="A257" s="142"/>
      <c r="B257" s="30"/>
      <c r="C257" s="30"/>
      <c r="D257" s="138"/>
      <c r="E257" s="138"/>
      <c r="F257" s="30"/>
      <c r="G257" s="30"/>
      <c r="H257" s="30"/>
      <c r="I257" s="139"/>
      <c r="J257" s="72"/>
      <c r="K257" s="327"/>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x14ac:dyDescent="0.2">
      <c r="A258" s="142"/>
      <c r="B258" s="30"/>
      <c r="C258" s="30"/>
      <c r="D258" s="138"/>
      <c r="E258" s="138"/>
      <c r="F258" s="30"/>
      <c r="G258" s="30"/>
      <c r="H258" s="30"/>
      <c r="I258" s="139"/>
      <c r="J258" s="72"/>
      <c r="K258" s="327"/>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x14ac:dyDescent="0.2">
      <c r="A259" s="142"/>
      <c r="B259" s="30"/>
      <c r="C259" s="30"/>
      <c r="D259" s="138"/>
      <c r="E259" s="138"/>
      <c r="F259" s="30"/>
      <c r="G259" s="30"/>
      <c r="H259" s="30"/>
      <c r="I259" s="139"/>
      <c r="J259" s="72"/>
      <c r="K259" s="327"/>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x14ac:dyDescent="0.2">
      <c r="A260" s="142"/>
      <c r="B260" s="30"/>
      <c r="C260" s="30"/>
      <c r="D260" s="138"/>
      <c r="E260" s="138"/>
      <c r="F260" s="30"/>
      <c r="G260" s="30"/>
      <c r="H260" s="30"/>
      <c r="I260" s="139"/>
      <c r="J260" s="72"/>
      <c r="K260" s="327"/>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x14ac:dyDescent="0.2">
      <c r="A261" s="142"/>
      <c r="B261" s="30"/>
      <c r="C261" s="30"/>
      <c r="D261" s="138"/>
      <c r="E261" s="138"/>
      <c r="F261" s="30"/>
      <c r="G261" s="30"/>
      <c r="H261" s="30"/>
      <c r="I261" s="139"/>
      <c r="J261" s="72"/>
      <c r="K261" s="327"/>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x14ac:dyDescent="0.2">
      <c r="A262" s="142"/>
      <c r="B262" s="30"/>
      <c r="C262" s="30"/>
      <c r="D262" s="138"/>
      <c r="E262" s="138"/>
      <c r="F262" s="30"/>
      <c r="G262" s="30"/>
      <c r="H262" s="30"/>
      <c r="I262" s="139"/>
      <c r="J262" s="72"/>
      <c r="K262" s="327"/>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x14ac:dyDescent="0.2">
      <c r="A263" s="142"/>
      <c r="B263" s="30"/>
      <c r="C263" s="30"/>
      <c r="D263" s="138"/>
      <c r="E263" s="138"/>
      <c r="F263" s="30"/>
      <c r="G263" s="30"/>
      <c r="H263" s="30"/>
      <c r="I263" s="139"/>
      <c r="J263" s="72"/>
      <c r="K263" s="327"/>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x14ac:dyDescent="0.2">
      <c r="A264" s="142"/>
      <c r="B264" s="30"/>
      <c r="C264" s="30"/>
      <c r="D264" s="138"/>
      <c r="E264" s="138"/>
      <c r="F264" s="30"/>
      <c r="G264" s="30"/>
      <c r="H264" s="30"/>
      <c r="I264" s="139"/>
      <c r="J264" s="72"/>
      <c r="K264" s="327"/>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x14ac:dyDescent="0.2">
      <c r="A265" s="142"/>
      <c r="B265" s="30"/>
      <c r="C265" s="30"/>
      <c r="D265" s="138"/>
      <c r="E265" s="138"/>
      <c r="F265" s="30"/>
      <c r="G265" s="30"/>
      <c r="H265" s="30"/>
      <c r="I265" s="139"/>
      <c r="J265" s="72"/>
      <c r="K265" s="327"/>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x14ac:dyDescent="0.2">
      <c r="A266" s="142"/>
      <c r="B266" s="30"/>
      <c r="C266" s="30"/>
      <c r="D266" s="138"/>
      <c r="E266" s="138"/>
      <c r="F266" s="30"/>
      <c r="G266" s="30"/>
      <c r="H266" s="30"/>
      <c r="I266" s="139"/>
      <c r="J266" s="72"/>
      <c r="K266" s="327"/>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x14ac:dyDescent="0.2">
      <c r="A267" s="142"/>
      <c r="B267" s="30"/>
      <c r="C267" s="30"/>
      <c r="D267" s="138"/>
      <c r="E267" s="138"/>
      <c r="F267" s="30"/>
      <c r="G267" s="30"/>
      <c r="H267" s="30"/>
      <c r="I267" s="139"/>
      <c r="J267" s="72"/>
      <c r="K267" s="327"/>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x14ac:dyDescent="0.2">
      <c r="A268" s="142"/>
      <c r="B268" s="30"/>
      <c r="C268" s="30"/>
      <c r="D268" s="138"/>
      <c r="E268" s="138"/>
      <c r="F268" s="30"/>
      <c r="G268" s="30"/>
      <c r="H268" s="30"/>
      <c r="I268" s="139"/>
      <c r="J268" s="72"/>
      <c r="K268" s="327"/>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x14ac:dyDescent="0.2">
      <c r="A269" s="142"/>
      <c r="B269" s="30"/>
      <c r="C269" s="30"/>
      <c r="D269" s="138"/>
      <c r="E269" s="138"/>
      <c r="F269" s="30"/>
      <c r="G269" s="30"/>
      <c r="H269" s="30"/>
      <c r="I269" s="139"/>
      <c r="J269" s="72"/>
      <c r="K269" s="327"/>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x14ac:dyDescent="0.2">
      <c r="A270" s="142"/>
      <c r="B270" s="30"/>
      <c r="C270" s="30"/>
      <c r="D270" s="138"/>
      <c r="E270" s="138"/>
      <c r="F270" s="30"/>
      <c r="G270" s="30"/>
      <c r="H270" s="30"/>
      <c r="I270" s="139"/>
      <c r="J270" s="72"/>
      <c r="K270" s="327"/>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x14ac:dyDescent="0.2">
      <c r="A271" s="142"/>
      <c r="B271" s="30"/>
      <c r="C271" s="30"/>
      <c r="D271" s="138"/>
      <c r="E271" s="138"/>
      <c r="F271" s="30"/>
      <c r="G271" s="30"/>
      <c r="H271" s="30"/>
      <c r="I271" s="139"/>
      <c r="J271" s="72"/>
      <c r="K271" s="327"/>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x14ac:dyDescent="0.2">
      <c r="A272" s="142"/>
      <c r="B272" s="30"/>
      <c r="C272" s="30"/>
      <c r="D272" s="138"/>
      <c r="E272" s="138"/>
      <c r="F272" s="30"/>
      <c r="G272" s="30"/>
      <c r="H272" s="30"/>
      <c r="I272" s="139"/>
      <c r="J272" s="72"/>
      <c r="K272" s="327"/>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x14ac:dyDescent="0.2">
      <c r="A273" s="142"/>
      <c r="B273" s="30"/>
      <c r="C273" s="30"/>
      <c r="D273" s="138"/>
      <c r="E273" s="138"/>
      <c r="F273" s="30"/>
      <c r="G273" s="30"/>
      <c r="H273" s="30"/>
      <c r="I273" s="139"/>
      <c r="J273" s="72"/>
      <c r="K273" s="327"/>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x14ac:dyDescent="0.2">
      <c r="A274" s="142"/>
      <c r="B274" s="30"/>
      <c r="C274" s="30"/>
      <c r="D274" s="138"/>
      <c r="E274" s="138"/>
      <c r="F274" s="30"/>
      <c r="G274" s="30"/>
      <c r="H274" s="30"/>
      <c r="I274" s="139"/>
      <c r="J274" s="72"/>
      <c r="K274" s="327"/>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x14ac:dyDescent="0.2">
      <c r="A275" s="142"/>
      <c r="B275" s="30"/>
      <c r="C275" s="30"/>
      <c r="D275" s="138"/>
      <c r="E275" s="138"/>
      <c r="F275" s="30"/>
      <c r="G275" s="30"/>
      <c r="H275" s="30"/>
      <c r="I275" s="139"/>
      <c r="J275" s="72"/>
      <c r="K275" s="327"/>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x14ac:dyDescent="0.2">
      <c r="A276" s="142"/>
      <c r="B276" s="30"/>
      <c r="C276" s="30"/>
      <c r="D276" s="138"/>
      <c r="E276" s="138"/>
      <c r="F276" s="30"/>
      <c r="G276" s="30"/>
      <c r="H276" s="30"/>
      <c r="I276" s="139"/>
      <c r="J276" s="72"/>
      <c r="K276" s="327"/>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x14ac:dyDescent="0.2">
      <c r="A277" s="142"/>
      <c r="B277" s="30"/>
      <c r="C277" s="30"/>
      <c r="D277" s="138"/>
      <c r="E277" s="138"/>
      <c r="F277" s="30"/>
      <c r="G277" s="30"/>
      <c r="H277" s="30"/>
      <c r="I277" s="139"/>
      <c r="J277" s="72"/>
      <c r="K277" s="327"/>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x14ac:dyDescent="0.2">
      <c r="A278" s="142"/>
      <c r="B278" s="30"/>
      <c r="C278" s="30"/>
      <c r="D278" s="138"/>
      <c r="E278" s="138"/>
      <c r="F278" s="30"/>
      <c r="G278" s="30"/>
      <c r="H278" s="30"/>
      <c r="I278" s="139"/>
      <c r="J278" s="72"/>
      <c r="K278" s="327"/>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x14ac:dyDescent="0.2">
      <c r="A279" s="142"/>
      <c r="B279" s="30"/>
      <c r="C279" s="30"/>
      <c r="D279" s="138"/>
      <c r="E279" s="138"/>
      <c r="F279" s="30"/>
      <c r="G279" s="30"/>
      <c r="H279" s="30"/>
      <c r="I279" s="139"/>
      <c r="J279" s="72"/>
      <c r="K279" s="327"/>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x14ac:dyDescent="0.2">
      <c r="A280" s="142"/>
      <c r="B280" s="30"/>
      <c r="C280" s="30"/>
      <c r="D280" s="138"/>
      <c r="E280" s="138"/>
      <c r="F280" s="30"/>
      <c r="G280" s="30"/>
      <c r="H280" s="30"/>
      <c r="I280" s="139"/>
      <c r="J280" s="72"/>
      <c r="K280" s="327"/>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x14ac:dyDescent="0.2">
      <c r="A281" s="142"/>
      <c r="B281" s="30"/>
      <c r="C281" s="30"/>
      <c r="D281" s="138"/>
      <c r="E281" s="138"/>
      <c r="F281" s="30"/>
      <c r="G281" s="30"/>
      <c r="H281" s="30"/>
      <c r="I281" s="139"/>
      <c r="J281" s="72"/>
      <c r="K281" s="327"/>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x14ac:dyDescent="0.2">
      <c r="A282" s="142"/>
      <c r="B282" s="30"/>
      <c r="C282" s="30"/>
      <c r="D282" s="138"/>
      <c r="E282" s="138"/>
      <c r="F282" s="30"/>
      <c r="G282" s="30"/>
      <c r="H282" s="30"/>
      <c r="I282" s="139"/>
      <c r="J282" s="72"/>
      <c r="K282" s="327"/>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x14ac:dyDescent="0.2">
      <c r="A283" s="142"/>
      <c r="B283" s="30"/>
      <c r="C283" s="30"/>
      <c r="D283" s="138"/>
      <c r="E283" s="138"/>
      <c r="F283" s="30"/>
      <c r="G283" s="30"/>
      <c r="H283" s="30"/>
      <c r="I283" s="139"/>
      <c r="J283" s="72"/>
      <c r="K283" s="327"/>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x14ac:dyDescent="0.2">
      <c r="A284" s="142"/>
      <c r="B284" s="30"/>
      <c r="C284" s="30"/>
      <c r="D284" s="138"/>
      <c r="E284" s="138"/>
      <c r="F284" s="30"/>
      <c r="G284" s="30"/>
      <c r="H284" s="30"/>
      <c r="I284" s="139"/>
      <c r="J284" s="72"/>
      <c r="K284" s="327"/>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x14ac:dyDescent="0.2">
      <c r="A285" s="142"/>
      <c r="B285" s="30"/>
      <c r="C285" s="30"/>
      <c r="D285" s="138"/>
      <c r="E285" s="138"/>
      <c r="F285" s="30"/>
      <c r="G285" s="30"/>
      <c r="H285" s="30"/>
      <c r="I285" s="139"/>
      <c r="J285" s="72"/>
      <c r="K285" s="327"/>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x14ac:dyDescent="0.2">
      <c r="A286" s="142"/>
      <c r="B286" s="30"/>
      <c r="C286" s="30"/>
      <c r="D286" s="138"/>
      <c r="E286" s="138"/>
      <c r="F286" s="30"/>
      <c r="G286" s="30"/>
      <c r="H286" s="30"/>
      <c r="I286" s="139"/>
      <c r="J286" s="72"/>
      <c r="K286" s="327"/>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x14ac:dyDescent="0.2">
      <c r="A287" s="142"/>
      <c r="B287" s="30"/>
      <c r="C287" s="30"/>
      <c r="D287" s="138"/>
      <c r="E287" s="138"/>
      <c r="F287" s="30"/>
      <c r="G287" s="30"/>
      <c r="H287" s="30"/>
      <c r="I287" s="139"/>
      <c r="J287" s="72"/>
      <c r="K287" s="327"/>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x14ac:dyDescent="0.2">
      <c r="A288" s="142"/>
      <c r="B288" s="30"/>
      <c r="C288" s="30"/>
      <c r="D288" s="138"/>
      <c r="E288" s="138"/>
      <c r="F288" s="30"/>
      <c r="G288" s="30"/>
      <c r="H288" s="30"/>
      <c r="I288" s="139"/>
      <c r="J288" s="72"/>
      <c r="K288" s="327"/>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x14ac:dyDescent="0.2">
      <c r="A289" s="142"/>
      <c r="B289" s="30"/>
      <c r="C289" s="30"/>
      <c r="D289" s="138"/>
      <c r="E289" s="138"/>
      <c r="F289" s="30"/>
      <c r="G289" s="30"/>
      <c r="H289" s="30"/>
      <c r="I289" s="139"/>
      <c r="J289" s="72"/>
      <c r="K289" s="327"/>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x14ac:dyDescent="0.2">
      <c r="A290" s="142"/>
      <c r="B290" s="30"/>
      <c r="C290" s="30"/>
      <c r="D290" s="138"/>
      <c r="E290" s="138"/>
      <c r="F290" s="30"/>
      <c r="G290" s="30"/>
      <c r="H290" s="30"/>
      <c r="I290" s="139"/>
      <c r="J290" s="72"/>
      <c r="K290" s="327"/>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x14ac:dyDescent="0.2">
      <c r="A291" s="142"/>
      <c r="B291" s="30"/>
      <c r="C291" s="30"/>
      <c r="D291" s="138"/>
      <c r="E291" s="138"/>
      <c r="F291" s="30"/>
      <c r="G291" s="30"/>
      <c r="H291" s="30"/>
      <c r="I291" s="139"/>
      <c r="J291" s="72"/>
      <c r="K291" s="327"/>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x14ac:dyDescent="0.2">
      <c r="A292" s="142"/>
      <c r="B292" s="30"/>
      <c r="C292" s="30"/>
      <c r="D292" s="138"/>
      <c r="E292" s="138"/>
      <c r="F292" s="30"/>
      <c r="G292" s="30"/>
      <c r="H292" s="30"/>
      <c r="I292" s="139"/>
      <c r="J292" s="72"/>
      <c r="K292" s="327"/>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x14ac:dyDescent="0.2">
      <c r="A293" s="142"/>
      <c r="B293" s="30"/>
      <c r="C293" s="30"/>
      <c r="D293" s="138"/>
      <c r="E293" s="138"/>
      <c r="F293" s="30"/>
      <c r="G293" s="30"/>
      <c r="H293" s="30"/>
      <c r="I293" s="139"/>
      <c r="J293" s="72"/>
      <c r="K293" s="327"/>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x14ac:dyDescent="0.2">
      <c r="A294" s="142"/>
      <c r="B294" s="30"/>
      <c r="C294" s="30"/>
      <c r="D294" s="138"/>
      <c r="E294" s="138"/>
      <c r="F294" s="30"/>
      <c r="G294" s="30"/>
      <c r="H294" s="30"/>
      <c r="I294" s="139"/>
      <c r="J294" s="72"/>
      <c r="K294" s="327"/>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x14ac:dyDescent="0.2">
      <c r="A295" s="142"/>
      <c r="B295" s="30"/>
      <c r="C295" s="30"/>
      <c r="D295" s="138"/>
      <c r="E295" s="138"/>
      <c r="F295" s="30"/>
      <c r="G295" s="30"/>
      <c r="H295" s="30"/>
      <c r="I295" s="139"/>
      <c r="J295" s="72"/>
      <c r="K295" s="327"/>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x14ac:dyDescent="0.2">
      <c r="A296" s="142"/>
      <c r="B296" s="30"/>
      <c r="C296" s="30"/>
      <c r="D296" s="138"/>
      <c r="E296" s="138"/>
      <c r="F296" s="30"/>
      <c r="G296" s="30"/>
      <c r="H296" s="30"/>
      <c r="I296" s="139"/>
      <c r="J296" s="72"/>
      <c r="K296" s="327"/>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x14ac:dyDescent="0.2">
      <c r="A297" s="142"/>
      <c r="B297" s="30"/>
      <c r="C297" s="30"/>
      <c r="D297" s="138"/>
      <c r="E297" s="138"/>
      <c r="F297" s="30"/>
      <c r="G297" s="30"/>
      <c r="H297" s="30"/>
      <c r="I297" s="139"/>
      <c r="J297" s="72"/>
      <c r="K297" s="327"/>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x14ac:dyDescent="0.2">
      <c r="A298" s="142"/>
      <c r="B298" s="30"/>
      <c r="C298" s="30"/>
      <c r="D298" s="138"/>
      <c r="E298" s="138"/>
      <c r="F298" s="30"/>
      <c r="G298" s="30"/>
      <c r="H298" s="30"/>
      <c r="I298" s="139"/>
      <c r="J298" s="72"/>
      <c r="K298" s="327"/>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x14ac:dyDescent="0.2">
      <c r="A299" s="142"/>
      <c r="B299" s="30"/>
      <c r="C299" s="30"/>
      <c r="D299" s="138"/>
      <c r="E299" s="138"/>
      <c r="F299" s="30"/>
      <c r="G299" s="30"/>
      <c r="H299" s="30"/>
      <c r="I299" s="139"/>
      <c r="J299" s="72"/>
      <c r="K299" s="327"/>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x14ac:dyDescent="0.2">
      <c r="A300" s="142"/>
      <c r="B300" s="30"/>
      <c r="C300" s="30"/>
      <c r="D300" s="138"/>
      <c r="E300" s="138"/>
      <c r="F300" s="30"/>
      <c r="G300" s="30"/>
      <c r="H300" s="30"/>
      <c r="I300" s="139"/>
      <c r="J300" s="72"/>
      <c r="K300" s="327"/>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x14ac:dyDescent="0.2">
      <c r="A301" s="142"/>
      <c r="B301" s="30"/>
      <c r="C301" s="30"/>
      <c r="D301" s="138"/>
      <c r="E301" s="138"/>
      <c r="F301" s="30"/>
      <c r="G301" s="30"/>
      <c r="H301" s="30"/>
      <c r="I301" s="139"/>
      <c r="J301" s="72"/>
      <c r="K301" s="327"/>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x14ac:dyDescent="0.2">
      <c r="A302" s="142"/>
      <c r="B302" s="30"/>
      <c r="C302" s="30"/>
      <c r="D302" s="138"/>
      <c r="E302" s="138"/>
      <c r="F302" s="30"/>
      <c r="G302" s="30"/>
      <c r="H302" s="30"/>
      <c r="I302" s="139"/>
      <c r="J302" s="72"/>
      <c r="K302" s="327"/>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x14ac:dyDescent="0.2">
      <c r="A303" s="142"/>
      <c r="B303" s="30"/>
      <c r="C303" s="30"/>
      <c r="D303" s="138"/>
      <c r="E303" s="138"/>
      <c r="F303" s="30"/>
      <c r="G303" s="30"/>
      <c r="H303" s="30"/>
      <c r="I303" s="139"/>
      <c r="J303" s="72"/>
      <c r="K303" s="327"/>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x14ac:dyDescent="0.2">
      <c r="A304" s="142"/>
      <c r="B304" s="30"/>
      <c r="C304" s="30"/>
      <c r="D304" s="138"/>
      <c r="E304" s="138"/>
      <c r="F304" s="30"/>
      <c r="G304" s="30"/>
      <c r="H304" s="30"/>
      <c r="I304" s="139"/>
      <c r="J304" s="72"/>
      <c r="K304" s="327"/>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x14ac:dyDescent="0.2">
      <c r="A305" s="142"/>
      <c r="B305" s="30"/>
      <c r="C305" s="30"/>
      <c r="D305" s="138"/>
      <c r="E305" s="138"/>
      <c r="F305" s="30"/>
      <c r="G305" s="30"/>
      <c r="H305" s="30"/>
      <c r="I305" s="139"/>
      <c r="J305" s="72"/>
      <c r="K305" s="327"/>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x14ac:dyDescent="0.2">
      <c r="A306" s="142"/>
      <c r="B306" s="30"/>
      <c r="C306" s="30"/>
      <c r="D306" s="138"/>
      <c r="E306" s="138"/>
      <c r="F306" s="30"/>
      <c r="G306" s="30"/>
      <c r="H306" s="30"/>
      <c r="I306" s="139"/>
      <c r="J306" s="72"/>
      <c r="K306" s="327"/>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x14ac:dyDescent="0.2">
      <c r="A307" s="142"/>
      <c r="B307" s="30"/>
      <c r="C307" s="30"/>
      <c r="D307" s="138"/>
      <c r="E307" s="138"/>
      <c r="F307" s="30"/>
      <c r="G307" s="30"/>
      <c r="H307" s="30"/>
      <c r="I307" s="139"/>
      <c r="J307" s="72"/>
      <c r="K307" s="327"/>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x14ac:dyDescent="0.2">
      <c r="A308" s="142"/>
      <c r="B308" s="30"/>
      <c r="C308" s="30"/>
      <c r="D308" s="138"/>
      <c r="E308" s="138"/>
      <c r="F308" s="30"/>
      <c r="G308" s="30"/>
      <c r="H308" s="30"/>
      <c r="I308" s="139"/>
      <c r="J308" s="72"/>
      <c r="K308" s="327"/>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x14ac:dyDescent="0.2">
      <c r="A309" s="142"/>
      <c r="B309" s="30"/>
      <c r="C309" s="30"/>
      <c r="D309" s="138"/>
      <c r="E309" s="138"/>
      <c r="F309" s="30"/>
      <c r="G309" s="30"/>
      <c r="H309" s="30"/>
      <c r="I309" s="139"/>
      <c r="J309" s="72"/>
      <c r="K309" s="327"/>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x14ac:dyDescent="0.2">
      <c r="A310" s="142"/>
      <c r="B310" s="30"/>
      <c r="C310" s="30"/>
      <c r="D310" s="138"/>
      <c r="E310" s="138"/>
      <c r="F310" s="30"/>
      <c r="G310" s="30"/>
      <c r="H310" s="30"/>
      <c r="I310" s="139"/>
      <c r="J310" s="72"/>
      <c r="K310" s="327"/>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x14ac:dyDescent="0.2">
      <c r="A311" s="142"/>
      <c r="B311" s="30"/>
      <c r="C311" s="30"/>
      <c r="D311" s="138"/>
      <c r="E311" s="138"/>
      <c r="F311" s="30"/>
      <c r="G311" s="30"/>
      <c r="H311" s="30"/>
      <c r="I311" s="139"/>
      <c r="J311" s="72"/>
      <c r="K311" s="327"/>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x14ac:dyDescent="0.2">
      <c r="A312" s="142"/>
      <c r="B312" s="30"/>
      <c r="C312" s="30"/>
      <c r="D312" s="138"/>
      <c r="E312" s="138"/>
      <c r="F312" s="30"/>
      <c r="G312" s="30"/>
      <c r="H312" s="30"/>
      <c r="I312" s="139"/>
      <c r="J312" s="72"/>
      <c r="K312" s="327"/>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x14ac:dyDescent="0.2">
      <c r="A313" s="142"/>
      <c r="B313" s="30"/>
      <c r="C313" s="30"/>
      <c r="D313" s="138"/>
      <c r="E313" s="138"/>
      <c r="F313" s="30"/>
      <c r="G313" s="30"/>
      <c r="H313" s="30"/>
      <c r="I313" s="139"/>
      <c r="J313" s="72"/>
      <c r="K313" s="327"/>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x14ac:dyDescent="0.2">
      <c r="A314" s="142"/>
      <c r="B314" s="30"/>
      <c r="C314" s="30"/>
      <c r="D314" s="138"/>
      <c r="E314" s="138"/>
      <c r="F314" s="30"/>
      <c r="G314" s="30"/>
      <c r="H314" s="30"/>
      <c r="I314" s="139"/>
      <c r="J314" s="72"/>
      <c r="K314" s="327"/>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x14ac:dyDescent="0.2">
      <c r="A315" s="142"/>
      <c r="B315" s="30"/>
      <c r="C315" s="30"/>
      <c r="D315" s="138"/>
      <c r="E315" s="138"/>
      <c r="F315" s="30"/>
      <c r="G315" s="30"/>
      <c r="H315" s="30"/>
      <c r="I315" s="139"/>
      <c r="J315" s="72"/>
      <c r="K315" s="327"/>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x14ac:dyDescent="0.2">
      <c r="A316" s="142"/>
      <c r="B316" s="30"/>
      <c r="C316" s="30"/>
      <c r="D316" s="138"/>
      <c r="E316" s="138"/>
      <c r="F316" s="30"/>
      <c r="G316" s="30"/>
      <c r="H316" s="30"/>
      <c r="I316" s="139"/>
      <c r="J316" s="72"/>
      <c r="K316" s="327"/>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x14ac:dyDescent="0.2">
      <c r="A317" s="142"/>
      <c r="B317" s="30"/>
      <c r="C317" s="30"/>
      <c r="D317" s="138"/>
      <c r="E317" s="138"/>
      <c r="F317" s="30"/>
      <c r="G317" s="30"/>
      <c r="H317" s="30"/>
      <c r="I317" s="139"/>
      <c r="J317" s="72"/>
      <c r="K317" s="327"/>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x14ac:dyDescent="0.2">
      <c r="A318" s="142"/>
      <c r="B318" s="30"/>
      <c r="C318" s="30"/>
      <c r="D318" s="138"/>
      <c r="E318" s="138"/>
      <c r="F318" s="30"/>
      <c r="G318" s="30"/>
      <c r="H318" s="30"/>
      <c r="I318" s="139"/>
      <c r="J318" s="72"/>
      <c r="K318" s="327"/>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x14ac:dyDescent="0.2">
      <c r="A319" s="142"/>
      <c r="B319" s="30"/>
      <c r="C319" s="30"/>
      <c r="D319" s="138"/>
      <c r="E319" s="138"/>
      <c r="F319" s="30"/>
      <c r="G319" s="30"/>
      <c r="H319" s="30"/>
      <c r="I319" s="139"/>
      <c r="J319" s="72"/>
      <c r="K319" s="327"/>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x14ac:dyDescent="0.2">
      <c r="A320" s="142"/>
      <c r="B320" s="30"/>
      <c r="C320" s="30"/>
      <c r="D320" s="138"/>
      <c r="E320" s="138"/>
      <c r="F320" s="30"/>
      <c r="G320" s="30"/>
      <c r="H320" s="30"/>
      <c r="I320" s="139"/>
      <c r="J320" s="72"/>
      <c r="K320" s="327"/>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x14ac:dyDescent="0.2">
      <c r="A321" s="142"/>
      <c r="B321" s="30"/>
      <c r="C321" s="30"/>
      <c r="D321" s="138"/>
      <c r="E321" s="138"/>
      <c r="F321" s="30"/>
      <c r="G321" s="30"/>
      <c r="H321" s="30"/>
      <c r="I321" s="139"/>
      <c r="J321" s="72"/>
      <c r="K321" s="327"/>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x14ac:dyDescent="0.2">
      <c r="A322" s="142"/>
      <c r="B322" s="30"/>
      <c r="C322" s="30"/>
      <c r="D322" s="138"/>
      <c r="E322" s="138"/>
      <c r="F322" s="30"/>
      <c r="G322" s="30"/>
      <c r="H322" s="30"/>
      <c r="I322" s="139"/>
      <c r="J322" s="72"/>
      <c r="K322" s="327"/>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x14ac:dyDescent="0.2">
      <c r="A323" s="142"/>
      <c r="B323" s="30"/>
      <c r="C323" s="30"/>
      <c r="D323" s="138"/>
      <c r="E323" s="138"/>
      <c r="F323" s="30"/>
      <c r="G323" s="30"/>
      <c r="H323" s="30"/>
      <c r="I323" s="139"/>
      <c r="J323" s="72"/>
      <c r="K323" s="327"/>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x14ac:dyDescent="0.2">
      <c r="A324" s="142"/>
      <c r="B324" s="30"/>
      <c r="C324" s="30"/>
      <c r="D324" s="138"/>
      <c r="E324" s="138"/>
      <c r="F324" s="30"/>
      <c r="G324" s="30"/>
      <c r="H324" s="30"/>
      <c r="I324" s="139"/>
      <c r="J324" s="72"/>
      <c r="K324" s="327"/>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x14ac:dyDescent="0.2">
      <c r="A325" s="142"/>
      <c r="B325" s="30"/>
      <c r="C325" s="30"/>
      <c r="D325" s="138"/>
      <c r="E325" s="138"/>
      <c r="F325" s="30"/>
      <c r="G325" s="30"/>
      <c r="H325" s="30"/>
      <c r="I325" s="139"/>
      <c r="J325" s="72"/>
      <c r="K325" s="327"/>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x14ac:dyDescent="0.2">
      <c r="A326" s="142"/>
      <c r="B326" s="30"/>
      <c r="C326" s="30"/>
      <c r="D326" s="138"/>
      <c r="E326" s="138"/>
      <c r="F326" s="30"/>
      <c r="G326" s="30"/>
      <c r="H326" s="30"/>
      <c r="I326" s="139"/>
      <c r="J326" s="72"/>
      <c r="K326" s="327"/>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x14ac:dyDescent="0.2">
      <c r="A327" s="142"/>
      <c r="B327" s="30"/>
      <c r="C327" s="30"/>
      <c r="D327" s="138"/>
      <c r="E327" s="138"/>
      <c r="F327" s="30"/>
      <c r="G327" s="30"/>
      <c r="H327" s="30"/>
      <c r="I327" s="139"/>
      <c r="J327" s="72"/>
      <c r="K327" s="327"/>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x14ac:dyDescent="0.2">
      <c r="A328" s="142"/>
      <c r="B328" s="30"/>
      <c r="C328" s="30"/>
      <c r="D328" s="138"/>
      <c r="E328" s="138"/>
      <c r="F328" s="30"/>
      <c r="G328" s="30"/>
      <c r="H328" s="30"/>
      <c r="I328" s="139"/>
      <c r="J328" s="72"/>
      <c r="K328" s="327"/>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x14ac:dyDescent="0.2">
      <c r="A329" s="142"/>
      <c r="B329" s="30"/>
      <c r="C329" s="30"/>
      <c r="D329" s="138"/>
      <c r="E329" s="138"/>
      <c r="F329" s="30"/>
      <c r="G329" s="30"/>
      <c r="H329" s="30"/>
      <c r="I329" s="139"/>
      <c r="J329" s="72"/>
      <c r="K329" s="327"/>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x14ac:dyDescent="0.2">
      <c r="A330" s="142"/>
      <c r="B330" s="30"/>
      <c r="C330" s="30"/>
      <c r="D330" s="138"/>
      <c r="E330" s="138"/>
      <c r="F330" s="30"/>
      <c r="G330" s="30"/>
      <c r="H330" s="30"/>
      <c r="I330" s="139"/>
      <c r="J330" s="72"/>
      <c r="K330" s="327"/>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x14ac:dyDescent="0.2">
      <c r="A331" s="142"/>
      <c r="B331" s="30"/>
      <c r="C331" s="30"/>
      <c r="D331" s="138"/>
      <c r="E331" s="138"/>
      <c r="F331" s="30"/>
      <c r="G331" s="30"/>
      <c r="H331" s="30"/>
      <c r="I331" s="139"/>
      <c r="J331" s="72"/>
      <c r="K331" s="327"/>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x14ac:dyDescent="0.2">
      <c r="A332" s="142"/>
      <c r="B332" s="30"/>
      <c r="C332" s="30"/>
      <c r="D332" s="138"/>
      <c r="E332" s="138"/>
      <c r="F332" s="30"/>
      <c r="G332" s="30"/>
      <c r="H332" s="30"/>
      <c r="I332" s="139"/>
      <c r="J332" s="72"/>
      <c r="K332" s="327"/>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x14ac:dyDescent="0.2">
      <c r="A333" s="142"/>
      <c r="B333" s="30"/>
      <c r="C333" s="30"/>
      <c r="D333" s="138"/>
      <c r="E333" s="138"/>
      <c r="F333" s="30"/>
      <c r="G333" s="30"/>
      <c r="H333" s="30"/>
      <c r="I333" s="139"/>
      <c r="J333" s="72"/>
      <c r="K333" s="327"/>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x14ac:dyDescent="0.2">
      <c r="A334" s="142"/>
      <c r="B334" s="30"/>
      <c r="C334" s="30"/>
      <c r="D334" s="138"/>
      <c r="E334" s="138"/>
      <c r="F334" s="30"/>
      <c r="G334" s="30"/>
      <c r="H334" s="30"/>
      <c r="I334" s="139"/>
      <c r="J334" s="72"/>
      <c r="K334" s="327"/>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x14ac:dyDescent="0.2">
      <c r="A335" s="142"/>
      <c r="B335" s="30"/>
      <c r="C335" s="30"/>
      <c r="D335" s="138"/>
      <c r="E335" s="138"/>
      <c r="F335" s="30"/>
      <c r="G335" s="30"/>
      <c r="H335" s="30"/>
      <c r="I335" s="139"/>
      <c r="J335" s="72"/>
      <c r="K335" s="327"/>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x14ac:dyDescent="0.2">
      <c r="A336" s="142"/>
      <c r="B336" s="30"/>
      <c r="C336" s="30"/>
      <c r="D336" s="138"/>
      <c r="E336" s="138"/>
      <c r="F336" s="30"/>
      <c r="G336" s="30"/>
      <c r="H336" s="30"/>
      <c r="I336" s="139"/>
      <c r="J336" s="72"/>
      <c r="K336" s="327"/>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x14ac:dyDescent="0.2">
      <c r="A337" s="142"/>
      <c r="B337" s="30"/>
      <c r="C337" s="30"/>
      <c r="D337" s="138"/>
      <c r="E337" s="138"/>
      <c r="F337" s="30"/>
      <c r="G337" s="30"/>
      <c r="H337" s="30"/>
      <c r="I337" s="139"/>
      <c r="J337" s="72"/>
      <c r="K337" s="327"/>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x14ac:dyDescent="0.2">
      <c r="A338" s="142"/>
      <c r="B338" s="30"/>
      <c r="C338" s="30"/>
      <c r="D338" s="138"/>
      <c r="E338" s="138"/>
      <c r="F338" s="30"/>
      <c r="G338" s="30"/>
      <c r="H338" s="30"/>
      <c r="I338" s="139"/>
      <c r="J338" s="72"/>
      <c r="K338" s="327"/>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x14ac:dyDescent="0.2">
      <c r="A339" s="142"/>
      <c r="B339" s="30"/>
      <c r="C339" s="30"/>
      <c r="D339" s="138"/>
      <c r="E339" s="138"/>
      <c r="F339" s="30"/>
      <c r="G339" s="30"/>
      <c r="H339" s="30"/>
      <c r="I339" s="139"/>
      <c r="J339" s="72"/>
      <c r="K339" s="327"/>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x14ac:dyDescent="0.2">
      <c r="A340" s="142"/>
      <c r="B340" s="30"/>
      <c r="C340" s="30"/>
      <c r="D340" s="138"/>
      <c r="E340" s="138"/>
      <c r="F340" s="30"/>
      <c r="G340" s="30"/>
      <c r="H340" s="30"/>
      <c r="I340" s="139"/>
      <c r="J340" s="72"/>
      <c r="K340" s="327"/>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x14ac:dyDescent="0.2">
      <c r="A341" s="142"/>
      <c r="B341" s="30"/>
      <c r="C341" s="30"/>
      <c r="D341" s="138"/>
      <c r="E341" s="138"/>
      <c r="F341" s="30"/>
      <c r="G341" s="30"/>
      <c r="H341" s="30"/>
      <c r="I341" s="139"/>
      <c r="J341" s="72"/>
      <c r="K341" s="327"/>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x14ac:dyDescent="0.2">
      <c r="A342" s="142"/>
      <c r="B342" s="30"/>
      <c r="C342" s="30"/>
      <c r="D342" s="138"/>
      <c r="E342" s="138"/>
      <c r="F342" s="30"/>
      <c r="G342" s="30"/>
      <c r="H342" s="30"/>
      <c r="I342" s="139"/>
      <c r="J342" s="72"/>
      <c r="K342" s="327"/>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x14ac:dyDescent="0.2">
      <c r="A343" s="142"/>
      <c r="B343" s="30"/>
      <c r="C343" s="30"/>
      <c r="D343" s="138"/>
      <c r="E343" s="138"/>
      <c r="F343" s="30"/>
      <c r="G343" s="30"/>
      <c r="H343" s="30"/>
      <c r="I343" s="139"/>
      <c r="J343" s="72"/>
      <c r="K343" s="327"/>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x14ac:dyDescent="0.2">
      <c r="A344" s="142"/>
      <c r="B344" s="30"/>
      <c r="C344" s="30"/>
      <c r="D344" s="138"/>
      <c r="E344" s="138"/>
      <c r="F344" s="30"/>
      <c r="G344" s="30"/>
      <c r="H344" s="30"/>
      <c r="I344" s="139"/>
      <c r="J344" s="72"/>
      <c r="K344" s="327"/>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x14ac:dyDescent="0.2">
      <c r="A345" s="142"/>
      <c r="B345" s="30"/>
      <c r="C345" s="30"/>
      <c r="D345" s="138"/>
      <c r="E345" s="138"/>
      <c r="F345" s="30"/>
      <c r="G345" s="30"/>
      <c r="H345" s="30"/>
      <c r="I345" s="139"/>
      <c r="J345" s="72"/>
      <c r="K345" s="327"/>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x14ac:dyDescent="0.2">
      <c r="A346" s="142"/>
      <c r="B346" s="30"/>
      <c r="C346" s="30"/>
      <c r="D346" s="138"/>
      <c r="E346" s="138"/>
      <c r="F346" s="30"/>
      <c r="G346" s="30"/>
      <c r="H346" s="30"/>
      <c r="I346" s="139"/>
      <c r="J346" s="72"/>
      <c r="K346" s="327"/>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x14ac:dyDescent="0.2">
      <c r="A347" s="142"/>
      <c r="B347" s="30"/>
      <c r="C347" s="30"/>
      <c r="D347" s="138"/>
      <c r="E347" s="138"/>
      <c r="F347" s="30"/>
      <c r="G347" s="30"/>
      <c r="H347" s="30"/>
      <c r="I347" s="139"/>
      <c r="J347" s="72"/>
      <c r="K347" s="327"/>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x14ac:dyDescent="0.2">
      <c r="A348" s="142"/>
      <c r="B348" s="30"/>
      <c r="C348" s="30"/>
      <c r="D348" s="138"/>
      <c r="E348" s="138"/>
      <c r="F348" s="30"/>
      <c r="G348" s="30"/>
      <c r="H348" s="30"/>
      <c r="I348" s="139"/>
      <c r="J348" s="72"/>
      <c r="K348" s="327"/>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x14ac:dyDescent="0.2">
      <c r="A349" s="142"/>
      <c r="B349" s="30"/>
      <c r="C349" s="30"/>
      <c r="D349" s="138"/>
      <c r="E349" s="138"/>
      <c r="F349" s="30"/>
      <c r="G349" s="30"/>
      <c r="H349" s="30"/>
      <c r="I349" s="139"/>
      <c r="J349" s="72"/>
      <c r="K349" s="327"/>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x14ac:dyDescent="0.2">
      <c r="A350" s="142"/>
      <c r="B350" s="30"/>
      <c r="C350" s="30"/>
      <c r="D350" s="138"/>
      <c r="E350" s="138"/>
      <c r="F350" s="30"/>
      <c r="G350" s="30"/>
      <c r="H350" s="30"/>
      <c r="I350" s="139"/>
      <c r="J350" s="72"/>
      <c r="K350" s="327"/>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x14ac:dyDescent="0.2">
      <c r="A351" s="142"/>
      <c r="B351" s="30"/>
      <c r="C351" s="30"/>
      <c r="D351" s="138"/>
      <c r="E351" s="138"/>
      <c r="F351" s="30"/>
      <c r="G351" s="30"/>
      <c r="H351" s="30"/>
      <c r="I351" s="139"/>
      <c r="J351" s="72"/>
      <c r="K351" s="327"/>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x14ac:dyDescent="0.2">
      <c r="A352" s="142"/>
      <c r="B352" s="30"/>
      <c r="C352" s="30"/>
      <c r="D352" s="138"/>
      <c r="E352" s="138"/>
      <c r="F352" s="30"/>
      <c r="G352" s="30"/>
      <c r="H352" s="30"/>
      <c r="I352" s="139"/>
      <c r="J352" s="72"/>
      <c r="K352" s="327"/>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x14ac:dyDescent="0.2">
      <c r="A353" s="142"/>
      <c r="B353" s="30"/>
      <c r="C353" s="30"/>
      <c r="D353" s="138"/>
      <c r="E353" s="138"/>
      <c r="F353" s="30"/>
      <c r="G353" s="30"/>
      <c r="H353" s="30"/>
      <c r="I353" s="139"/>
      <c r="J353" s="72"/>
      <c r="K353" s="327"/>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x14ac:dyDescent="0.2">
      <c r="A354" s="142"/>
      <c r="B354" s="30"/>
      <c r="C354" s="30"/>
      <c r="D354" s="138"/>
      <c r="E354" s="138"/>
      <c r="F354" s="30"/>
      <c r="G354" s="30"/>
      <c r="H354" s="30"/>
      <c r="I354" s="139"/>
      <c r="J354" s="72"/>
      <c r="K354" s="327"/>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x14ac:dyDescent="0.2">
      <c r="A355" s="142"/>
      <c r="B355" s="30"/>
      <c r="C355" s="30"/>
      <c r="D355" s="138"/>
      <c r="E355" s="138"/>
      <c r="F355" s="30"/>
      <c r="G355" s="30"/>
      <c r="H355" s="30"/>
      <c r="I355" s="139"/>
      <c r="J355" s="72"/>
      <c r="K355" s="327"/>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x14ac:dyDescent="0.2">
      <c r="A356" s="142"/>
      <c r="B356" s="30"/>
      <c r="C356" s="30"/>
      <c r="D356" s="138"/>
      <c r="E356" s="138"/>
      <c r="F356" s="30"/>
      <c r="G356" s="30"/>
      <c r="H356" s="30"/>
      <c r="I356" s="139"/>
      <c r="J356" s="72"/>
      <c r="K356" s="327"/>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x14ac:dyDescent="0.2">
      <c r="A357" s="142"/>
      <c r="B357" s="30"/>
      <c r="C357" s="30"/>
      <c r="D357" s="138"/>
      <c r="E357" s="138"/>
      <c r="F357" s="30"/>
      <c r="G357" s="30"/>
      <c r="H357" s="30"/>
      <c r="I357" s="139"/>
      <c r="J357" s="72"/>
      <c r="K357" s="327"/>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x14ac:dyDescent="0.2">
      <c r="A358" s="142"/>
      <c r="B358" s="30"/>
      <c r="C358" s="30"/>
      <c r="D358" s="138"/>
      <c r="E358" s="138"/>
      <c r="F358" s="30"/>
      <c r="G358" s="30"/>
      <c r="H358" s="30"/>
      <c r="I358" s="139"/>
      <c r="J358" s="72"/>
      <c r="K358" s="327"/>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x14ac:dyDescent="0.2">
      <c r="A359" s="142"/>
      <c r="B359" s="30"/>
      <c r="C359" s="30"/>
      <c r="D359" s="138"/>
      <c r="E359" s="138"/>
      <c r="F359" s="30"/>
      <c r="G359" s="30"/>
      <c r="H359" s="30"/>
      <c r="I359" s="139"/>
      <c r="J359" s="72"/>
      <c r="K359" s="327"/>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x14ac:dyDescent="0.2">
      <c r="A360" s="142"/>
      <c r="B360" s="30"/>
      <c r="C360" s="30"/>
      <c r="D360" s="138"/>
      <c r="E360" s="138"/>
      <c r="F360" s="30"/>
      <c r="G360" s="30"/>
      <c r="H360" s="30"/>
      <c r="I360" s="139"/>
      <c r="J360" s="72"/>
      <c r="K360" s="327"/>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x14ac:dyDescent="0.2">
      <c r="A361" s="142"/>
      <c r="B361" s="30"/>
      <c r="C361" s="30"/>
      <c r="D361" s="138"/>
      <c r="E361" s="138"/>
      <c r="F361" s="30"/>
      <c r="G361" s="30"/>
      <c r="H361" s="30"/>
      <c r="I361" s="139"/>
      <c r="J361" s="72"/>
      <c r="K361" s="327"/>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x14ac:dyDescent="0.2">
      <c r="A362" s="142"/>
      <c r="B362" s="30"/>
      <c r="C362" s="30"/>
      <c r="D362" s="138"/>
      <c r="E362" s="138"/>
      <c r="F362" s="30"/>
      <c r="G362" s="30"/>
      <c r="H362" s="30"/>
      <c r="I362" s="139"/>
      <c r="J362" s="72"/>
      <c r="K362" s="327"/>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x14ac:dyDescent="0.2">
      <c r="A363" s="142"/>
      <c r="B363" s="30"/>
      <c r="C363" s="30"/>
      <c r="D363" s="138"/>
      <c r="E363" s="138"/>
      <c r="F363" s="30"/>
      <c r="G363" s="30"/>
      <c r="H363" s="30"/>
      <c r="I363" s="139"/>
      <c r="J363" s="72"/>
      <c r="K363" s="327"/>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x14ac:dyDescent="0.2">
      <c r="A364" s="142"/>
      <c r="B364" s="30"/>
      <c r="C364" s="30"/>
      <c r="D364" s="138"/>
      <c r="E364" s="138"/>
      <c r="F364" s="30"/>
      <c r="G364" s="30"/>
      <c r="H364" s="30"/>
      <c r="I364" s="139"/>
      <c r="J364" s="72"/>
      <c r="K364" s="327"/>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x14ac:dyDescent="0.2">
      <c r="A365" s="142"/>
      <c r="B365" s="30"/>
      <c r="C365" s="30"/>
      <c r="D365" s="138"/>
      <c r="E365" s="138"/>
      <c r="F365" s="30"/>
      <c r="G365" s="30"/>
      <c r="H365" s="30"/>
      <c r="I365" s="139"/>
      <c r="J365" s="72"/>
      <c r="K365" s="327"/>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x14ac:dyDescent="0.2">
      <c r="A366" s="142"/>
      <c r="B366" s="30"/>
      <c r="C366" s="30"/>
      <c r="D366" s="138"/>
      <c r="E366" s="138"/>
      <c r="F366" s="30"/>
      <c r="G366" s="30"/>
      <c r="H366" s="30"/>
      <c r="I366" s="139"/>
      <c r="J366" s="72"/>
      <c r="K366" s="327"/>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x14ac:dyDescent="0.2">
      <c r="A367" s="142"/>
      <c r="B367" s="30"/>
      <c r="C367" s="30"/>
      <c r="D367" s="138"/>
      <c r="E367" s="138"/>
      <c r="F367" s="30"/>
      <c r="G367" s="30"/>
      <c r="H367" s="30"/>
      <c r="I367" s="139"/>
      <c r="J367" s="72"/>
      <c r="K367" s="327"/>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x14ac:dyDescent="0.2">
      <c r="A368" s="142"/>
      <c r="B368" s="30"/>
      <c r="C368" s="30"/>
      <c r="D368" s="138"/>
      <c r="E368" s="138"/>
      <c r="F368" s="30"/>
      <c r="G368" s="30"/>
      <c r="H368" s="30"/>
      <c r="I368" s="139"/>
      <c r="J368" s="72"/>
      <c r="K368" s="327"/>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x14ac:dyDescent="0.2">
      <c r="A369" s="142"/>
      <c r="B369" s="30"/>
      <c r="C369" s="30"/>
      <c r="D369" s="138"/>
      <c r="E369" s="138"/>
      <c r="F369" s="30"/>
      <c r="G369" s="30"/>
      <c r="H369" s="30"/>
      <c r="I369" s="139"/>
      <c r="J369" s="72"/>
      <c r="K369" s="327"/>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x14ac:dyDescent="0.2">
      <c r="A370" s="142"/>
      <c r="B370" s="30"/>
      <c r="C370" s="30"/>
      <c r="D370" s="138"/>
      <c r="E370" s="138"/>
      <c r="F370" s="30"/>
      <c r="G370" s="30"/>
      <c r="H370" s="30"/>
      <c r="I370" s="139"/>
      <c r="J370" s="72"/>
      <c r="K370" s="327"/>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x14ac:dyDescent="0.2">
      <c r="A371" s="142"/>
      <c r="B371" s="30"/>
      <c r="C371" s="30"/>
      <c r="D371" s="138"/>
      <c r="E371" s="138"/>
      <c r="F371" s="30"/>
      <c r="G371" s="30"/>
      <c r="H371" s="30"/>
      <c r="I371" s="139"/>
      <c r="J371" s="72"/>
      <c r="K371" s="327"/>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x14ac:dyDescent="0.2">
      <c r="A372" s="142"/>
      <c r="B372" s="30"/>
      <c r="C372" s="30"/>
      <c r="D372" s="138"/>
      <c r="E372" s="138"/>
      <c r="F372" s="30"/>
      <c r="G372" s="30"/>
      <c r="H372" s="30"/>
      <c r="I372" s="139"/>
      <c r="J372" s="72"/>
      <c r="K372" s="327"/>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x14ac:dyDescent="0.2">
      <c r="A373" s="142"/>
      <c r="B373" s="30"/>
      <c r="C373" s="30"/>
      <c r="D373" s="138"/>
      <c r="E373" s="138"/>
      <c r="F373" s="30"/>
      <c r="G373" s="30"/>
      <c r="H373" s="30"/>
      <c r="I373" s="139"/>
      <c r="J373" s="72"/>
      <c r="K373" s="327"/>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x14ac:dyDescent="0.2">
      <c r="A374" s="142"/>
      <c r="B374" s="30"/>
      <c r="C374" s="30"/>
      <c r="D374" s="138"/>
      <c r="E374" s="138"/>
      <c r="F374" s="30"/>
      <c r="G374" s="30"/>
      <c r="H374" s="30"/>
      <c r="I374" s="139"/>
      <c r="J374" s="72"/>
      <c r="K374" s="327"/>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x14ac:dyDescent="0.2">
      <c r="A375" s="142"/>
      <c r="B375" s="30"/>
      <c r="C375" s="30"/>
      <c r="D375" s="138"/>
      <c r="E375" s="138"/>
      <c r="F375" s="30"/>
      <c r="G375" s="30"/>
      <c r="H375" s="30"/>
      <c r="I375" s="139"/>
      <c r="J375" s="72"/>
      <c r="K375" s="327"/>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x14ac:dyDescent="0.2">
      <c r="A376" s="142"/>
      <c r="B376" s="30"/>
      <c r="C376" s="30"/>
      <c r="D376" s="138"/>
      <c r="E376" s="138"/>
      <c r="F376" s="30"/>
      <c r="G376" s="30"/>
      <c r="H376" s="30"/>
      <c r="I376" s="139"/>
      <c r="J376" s="72"/>
      <c r="K376" s="327"/>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x14ac:dyDescent="0.2">
      <c r="A377" s="142"/>
      <c r="B377" s="30"/>
      <c r="C377" s="30"/>
      <c r="D377" s="138"/>
      <c r="E377" s="138"/>
      <c r="F377" s="30"/>
      <c r="G377" s="30"/>
      <c r="H377" s="30"/>
      <c r="I377" s="139"/>
      <c r="J377" s="72"/>
      <c r="K377" s="327"/>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x14ac:dyDescent="0.2">
      <c r="A378" s="142"/>
      <c r="B378" s="30"/>
      <c r="C378" s="30"/>
      <c r="D378" s="138"/>
      <c r="E378" s="138"/>
      <c r="F378" s="30"/>
      <c r="G378" s="30"/>
      <c r="H378" s="30"/>
      <c r="I378" s="139"/>
      <c r="J378" s="72"/>
      <c r="K378" s="327"/>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x14ac:dyDescent="0.2">
      <c r="A379" s="142"/>
      <c r="B379" s="30"/>
      <c r="C379" s="30"/>
      <c r="D379" s="138"/>
      <c r="E379" s="138"/>
      <c r="F379" s="30"/>
      <c r="G379" s="30"/>
      <c r="H379" s="30"/>
      <c r="I379" s="139"/>
      <c r="J379" s="72"/>
      <c r="K379" s="327"/>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x14ac:dyDescent="0.2">
      <c r="A380" s="142"/>
      <c r="B380" s="30"/>
      <c r="C380" s="30"/>
      <c r="D380" s="138"/>
      <c r="E380" s="138"/>
      <c r="F380" s="30"/>
      <c r="G380" s="30"/>
      <c r="H380" s="30"/>
      <c r="I380" s="139"/>
      <c r="J380" s="72"/>
      <c r="K380" s="327"/>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x14ac:dyDescent="0.2">
      <c r="A381" s="142"/>
      <c r="B381" s="30"/>
      <c r="C381" s="30"/>
      <c r="D381" s="138"/>
      <c r="E381" s="138"/>
      <c r="F381" s="30"/>
      <c r="G381" s="30"/>
      <c r="H381" s="30"/>
      <c r="I381" s="139"/>
      <c r="J381" s="72"/>
      <c r="K381" s="327"/>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x14ac:dyDescent="0.2">
      <c r="A382" s="142"/>
      <c r="B382" s="30"/>
      <c r="C382" s="30"/>
      <c r="D382" s="138"/>
      <c r="E382" s="138"/>
      <c r="F382" s="30"/>
      <c r="G382" s="30"/>
      <c r="H382" s="30"/>
      <c r="I382" s="139"/>
      <c r="J382" s="72"/>
      <c r="K382" s="327"/>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x14ac:dyDescent="0.2">
      <c r="A383" s="142"/>
      <c r="B383" s="30"/>
      <c r="C383" s="30"/>
      <c r="D383" s="138"/>
      <c r="E383" s="138"/>
      <c r="F383" s="30"/>
      <c r="G383" s="30"/>
      <c r="H383" s="30"/>
      <c r="I383" s="139"/>
      <c r="J383" s="72"/>
      <c r="K383" s="327"/>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x14ac:dyDescent="0.2">
      <c r="A384" s="142"/>
      <c r="B384" s="30"/>
      <c r="C384" s="30"/>
      <c r="D384" s="138"/>
      <c r="E384" s="138"/>
      <c r="F384" s="30"/>
      <c r="G384" s="30"/>
      <c r="H384" s="30"/>
      <c r="I384" s="139"/>
      <c r="J384" s="72"/>
      <c r="K384" s="327"/>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x14ac:dyDescent="0.2">
      <c r="A385" s="142"/>
      <c r="B385" s="30"/>
      <c r="C385" s="30"/>
      <c r="D385" s="138"/>
      <c r="E385" s="138"/>
      <c r="F385" s="30"/>
      <c r="G385" s="30"/>
      <c r="H385" s="30"/>
      <c r="I385" s="139"/>
      <c r="J385" s="72"/>
      <c r="K385" s="327"/>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x14ac:dyDescent="0.2">
      <c r="A386" s="142"/>
      <c r="B386" s="30"/>
      <c r="C386" s="30"/>
      <c r="D386" s="138"/>
      <c r="E386" s="138"/>
      <c r="F386" s="30"/>
      <c r="G386" s="30"/>
      <c r="H386" s="30"/>
      <c r="I386" s="139"/>
      <c r="J386" s="72"/>
      <c r="K386" s="327"/>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x14ac:dyDescent="0.2">
      <c r="A387" s="142"/>
      <c r="B387" s="30"/>
      <c r="C387" s="30"/>
      <c r="D387" s="138"/>
      <c r="E387" s="138"/>
      <c r="F387" s="30"/>
      <c r="G387" s="30"/>
      <c r="H387" s="30"/>
      <c r="I387" s="139"/>
      <c r="J387" s="72"/>
      <c r="K387" s="327"/>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x14ac:dyDescent="0.2">
      <c r="A388" s="142"/>
      <c r="B388" s="30"/>
      <c r="C388" s="30"/>
      <c r="D388" s="138"/>
      <c r="E388" s="138"/>
      <c r="F388" s="30"/>
      <c r="G388" s="30"/>
      <c r="H388" s="30"/>
      <c r="I388" s="139"/>
      <c r="J388" s="72"/>
      <c r="K388" s="327"/>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x14ac:dyDescent="0.2">
      <c r="A389" s="142"/>
      <c r="B389" s="30"/>
      <c r="C389" s="30"/>
      <c r="D389" s="138"/>
      <c r="E389" s="138"/>
      <c r="F389" s="30"/>
      <c r="G389" s="30"/>
      <c r="H389" s="30"/>
      <c r="I389" s="139"/>
      <c r="J389" s="72"/>
      <c r="K389" s="327"/>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x14ac:dyDescent="0.2">
      <c r="A390" s="142"/>
      <c r="B390" s="30"/>
      <c r="C390" s="30"/>
      <c r="D390" s="138"/>
      <c r="E390" s="138"/>
      <c r="F390" s="30"/>
      <c r="G390" s="30"/>
      <c r="H390" s="30"/>
      <c r="I390" s="139"/>
      <c r="J390" s="72"/>
      <c r="K390" s="327"/>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x14ac:dyDescent="0.2">
      <c r="A391" s="142"/>
      <c r="B391" s="30"/>
      <c r="C391" s="30"/>
      <c r="D391" s="138"/>
      <c r="E391" s="138"/>
      <c r="F391" s="30"/>
      <c r="G391" s="30"/>
      <c r="H391" s="30"/>
      <c r="I391" s="139"/>
      <c r="J391" s="72"/>
      <c r="K391" s="327"/>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x14ac:dyDescent="0.2">
      <c r="A392" s="142"/>
      <c r="B392" s="30"/>
      <c r="C392" s="30"/>
      <c r="D392" s="138"/>
      <c r="E392" s="138"/>
      <c r="F392" s="30"/>
      <c r="G392" s="30"/>
      <c r="H392" s="30"/>
      <c r="I392" s="139"/>
      <c r="J392" s="72"/>
      <c r="K392" s="327"/>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x14ac:dyDescent="0.2">
      <c r="A393" s="142"/>
      <c r="B393" s="30"/>
      <c r="C393" s="30"/>
      <c r="D393" s="138"/>
      <c r="E393" s="138"/>
      <c r="F393" s="30"/>
      <c r="G393" s="30"/>
      <c r="H393" s="30"/>
      <c r="I393" s="139"/>
      <c r="J393" s="72"/>
      <c r="K393" s="327"/>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x14ac:dyDescent="0.2">
      <c r="A394" s="142"/>
      <c r="B394" s="30"/>
      <c r="C394" s="30"/>
      <c r="D394" s="138"/>
      <c r="E394" s="138"/>
      <c r="F394" s="30"/>
      <c r="G394" s="30"/>
      <c r="H394" s="30"/>
      <c r="I394" s="139"/>
      <c r="J394" s="72"/>
      <c r="K394" s="327"/>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x14ac:dyDescent="0.2">
      <c r="A395" s="142"/>
      <c r="B395" s="30"/>
      <c r="C395" s="30"/>
      <c r="D395" s="138"/>
      <c r="E395" s="138"/>
      <c r="F395" s="30"/>
      <c r="G395" s="30"/>
      <c r="H395" s="30"/>
      <c r="I395" s="139"/>
      <c r="J395" s="72"/>
      <c r="K395" s="327"/>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x14ac:dyDescent="0.2">
      <c r="A396" s="142"/>
      <c r="B396" s="30"/>
      <c r="C396" s="30"/>
      <c r="D396" s="138"/>
      <c r="E396" s="138"/>
      <c r="F396" s="30"/>
      <c r="G396" s="30"/>
      <c r="H396" s="30"/>
      <c r="I396" s="139"/>
      <c r="J396" s="72"/>
      <c r="K396" s="327"/>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x14ac:dyDescent="0.2">
      <c r="A397" s="142"/>
      <c r="B397" s="30"/>
      <c r="C397" s="30"/>
      <c r="D397" s="138"/>
      <c r="E397" s="138"/>
      <c r="F397" s="30"/>
      <c r="G397" s="30"/>
      <c r="H397" s="30"/>
      <c r="I397" s="139"/>
      <c r="J397" s="72"/>
      <c r="K397" s="327"/>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x14ac:dyDescent="0.2">
      <c r="A398" s="142"/>
      <c r="B398" s="30"/>
      <c r="C398" s="30"/>
      <c r="D398" s="138"/>
      <c r="E398" s="138"/>
      <c r="F398" s="30"/>
      <c r="G398" s="30"/>
      <c r="H398" s="30"/>
      <c r="I398" s="139"/>
      <c r="J398" s="72"/>
      <c r="K398" s="327"/>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x14ac:dyDescent="0.2">
      <c r="A399" s="142"/>
      <c r="B399" s="30"/>
      <c r="C399" s="30"/>
      <c r="D399" s="138"/>
      <c r="E399" s="138"/>
      <c r="F399" s="30"/>
      <c r="G399" s="30"/>
      <c r="H399" s="30"/>
      <c r="I399" s="139"/>
      <c r="J399" s="72"/>
      <c r="K399" s="327"/>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x14ac:dyDescent="0.2">
      <c r="A400" s="142"/>
      <c r="B400" s="30"/>
      <c r="C400" s="30"/>
      <c r="D400" s="138"/>
      <c r="E400" s="138"/>
      <c r="F400" s="30"/>
      <c r="G400" s="30"/>
      <c r="H400" s="30"/>
      <c r="I400" s="139"/>
      <c r="J400" s="72"/>
      <c r="K400" s="327"/>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x14ac:dyDescent="0.2">
      <c r="A401" s="142"/>
      <c r="B401" s="30"/>
      <c r="C401" s="30"/>
      <c r="D401" s="138"/>
      <c r="E401" s="138"/>
      <c r="F401" s="30"/>
      <c r="G401" s="30"/>
      <c r="H401" s="30"/>
      <c r="I401" s="139"/>
      <c r="J401" s="72"/>
      <c r="K401" s="327"/>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x14ac:dyDescent="0.2">
      <c r="A402" s="142"/>
      <c r="B402" s="30"/>
      <c r="C402" s="30"/>
      <c r="D402" s="138"/>
      <c r="E402" s="138"/>
      <c r="F402" s="30"/>
      <c r="G402" s="30"/>
      <c r="H402" s="30"/>
      <c r="I402" s="139"/>
      <c r="J402" s="72"/>
      <c r="K402" s="327"/>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x14ac:dyDescent="0.2">
      <c r="A403" s="142"/>
      <c r="B403" s="30"/>
      <c r="C403" s="30"/>
      <c r="D403" s="138"/>
      <c r="E403" s="138"/>
      <c r="F403" s="30"/>
      <c r="G403" s="30"/>
      <c r="H403" s="30"/>
      <c r="I403" s="139"/>
      <c r="J403" s="72"/>
      <c r="K403" s="327"/>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x14ac:dyDescent="0.2">
      <c r="A404" s="142"/>
      <c r="B404" s="30"/>
      <c r="C404" s="30"/>
      <c r="D404" s="138"/>
      <c r="E404" s="138"/>
      <c r="F404" s="30"/>
      <c r="G404" s="30"/>
      <c r="H404" s="30"/>
      <c r="I404" s="139"/>
      <c r="J404" s="72"/>
      <c r="K404" s="327"/>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x14ac:dyDescent="0.2">
      <c r="A405" s="142"/>
      <c r="B405" s="30"/>
      <c r="C405" s="30"/>
      <c r="D405" s="138"/>
      <c r="E405" s="138"/>
      <c r="F405" s="30"/>
      <c r="G405" s="30"/>
      <c r="H405" s="30"/>
      <c r="I405" s="139"/>
      <c r="J405" s="72"/>
      <c r="K405" s="327"/>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x14ac:dyDescent="0.2">
      <c r="A406" s="142"/>
      <c r="B406" s="30"/>
      <c r="C406" s="30"/>
      <c r="D406" s="138"/>
      <c r="E406" s="138"/>
      <c r="F406" s="30"/>
      <c r="G406" s="30"/>
      <c r="H406" s="30"/>
      <c r="I406" s="139"/>
      <c r="J406" s="72"/>
      <c r="K406" s="327"/>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x14ac:dyDescent="0.2">
      <c r="A407" s="142"/>
      <c r="B407" s="30"/>
      <c r="C407" s="30"/>
      <c r="D407" s="138"/>
      <c r="E407" s="138"/>
      <c r="F407" s="30"/>
      <c r="G407" s="30"/>
      <c r="H407" s="30"/>
      <c r="I407" s="139"/>
      <c r="J407" s="72"/>
      <c r="K407" s="327"/>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x14ac:dyDescent="0.2">
      <c r="A408" s="142"/>
      <c r="B408" s="30"/>
      <c r="C408" s="30"/>
      <c r="D408" s="138"/>
      <c r="E408" s="138"/>
      <c r="F408" s="30"/>
      <c r="G408" s="30"/>
      <c r="H408" s="30"/>
      <c r="I408" s="139"/>
      <c r="J408" s="72"/>
      <c r="K408" s="327"/>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x14ac:dyDescent="0.2">
      <c r="A409" s="142"/>
      <c r="B409" s="30"/>
      <c r="C409" s="30"/>
      <c r="D409" s="138"/>
      <c r="E409" s="138"/>
      <c r="F409" s="30"/>
      <c r="G409" s="30"/>
      <c r="H409" s="30"/>
      <c r="I409" s="139"/>
      <c r="J409" s="72"/>
      <c r="K409" s="327"/>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x14ac:dyDescent="0.2">
      <c r="A410" s="142"/>
      <c r="B410" s="30"/>
      <c r="C410" s="30"/>
      <c r="D410" s="138"/>
      <c r="E410" s="138"/>
      <c r="F410" s="30"/>
      <c r="G410" s="30"/>
      <c r="H410" s="30"/>
      <c r="I410" s="139"/>
      <c r="J410" s="72"/>
      <c r="K410" s="327"/>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x14ac:dyDescent="0.2">
      <c r="A411" s="142"/>
      <c r="B411" s="30"/>
      <c r="C411" s="30"/>
      <c r="D411" s="138"/>
      <c r="E411" s="138"/>
      <c r="F411" s="30"/>
      <c r="G411" s="30"/>
      <c r="H411" s="30"/>
      <c r="I411" s="139"/>
      <c r="J411" s="72"/>
      <c r="K411" s="327"/>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x14ac:dyDescent="0.2">
      <c r="A412" s="142"/>
      <c r="B412" s="30"/>
      <c r="C412" s="30"/>
      <c r="D412" s="138"/>
      <c r="E412" s="138"/>
      <c r="F412" s="30"/>
      <c r="G412" s="30"/>
      <c r="H412" s="30"/>
      <c r="I412" s="139"/>
      <c r="J412" s="72"/>
      <c r="K412" s="327"/>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x14ac:dyDescent="0.2">
      <c r="A413" s="142"/>
      <c r="B413" s="30"/>
      <c r="C413" s="30"/>
      <c r="D413" s="138"/>
      <c r="E413" s="138"/>
      <c r="F413" s="30"/>
      <c r="G413" s="30"/>
      <c r="H413" s="30"/>
      <c r="I413" s="139"/>
      <c r="J413" s="72"/>
      <c r="K413" s="327"/>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x14ac:dyDescent="0.2">
      <c r="A414" s="142"/>
      <c r="B414" s="30"/>
      <c r="C414" s="30"/>
      <c r="D414" s="138"/>
      <c r="E414" s="138"/>
      <c r="F414" s="30"/>
      <c r="G414" s="30"/>
      <c r="H414" s="30"/>
      <c r="I414" s="139"/>
      <c r="J414" s="72"/>
      <c r="K414" s="327"/>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x14ac:dyDescent="0.2">
      <c r="A415" s="142"/>
      <c r="B415" s="30"/>
      <c r="C415" s="30"/>
      <c r="D415" s="138"/>
      <c r="E415" s="138"/>
      <c r="F415" s="30"/>
      <c r="G415" s="30"/>
      <c r="H415" s="30"/>
      <c r="I415" s="139"/>
      <c r="J415" s="72"/>
      <c r="K415" s="327"/>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x14ac:dyDescent="0.2">
      <c r="A416" s="142"/>
      <c r="B416" s="30"/>
      <c r="C416" s="30"/>
      <c r="D416" s="138"/>
      <c r="E416" s="138"/>
      <c r="F416" s="30"/>
      <c r="G416" s="30"/>
      <c r="H416" s="30"/>
      <c r="I416" s="139"/>
      <c r="J416" s="72"/>
      <c r="K416" s="327"/>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x14ac:dyDescent="0.2">
      <c r="A417" s="142"/>
      <c r="B417" s="30"/>
      <c r="C417" s="30"/>
      <c r="D417" s="138"/>
      <c r="E417" s="138"/>
      <c r="F417" s="30"/>
      <c r="G417" s="30"/>
      <c r="H417" s="30"/>
      <c r="I417" s="139"/>
      <c r="J417" s="72"/>
      <c r="K417" s="327"/>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x14ac:dyDescent="0.2">
      <c r="A418" s="142"/>
      <c r="B418" s="30"/>
      <c r="C418" s="30"/>
      <c r="D418" s="138"/>
      <c r="E418" s="138"/>
      <c r="F418" s="30"/>
      <c r="G418" s="30"/>
      <c r="H418" s="30"/>
      <c r="I418" s="139"/>
      <c r="J418" s="72"/>
      <c r="K418" s="327"/>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x14ac:dyDescent="0.2">
      <c r="A419" s="142"/>
      <c r="B419" s="30"/>
      <c r="C419" s="30"/>
      <c r="D419" s="138"/>
      <c r="E419" s="138"/>
      <c r="F419" s="30"/>
      <c r="G419" s="30"/>
      <c r="H419" s="30"/>
      <c r="I419" s="139"/>
      <c r="J419" s="72"/>
      <c r="K419" s="327"/>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x14ac:dyDescent="0.2">
      <c r="A420" s="142"/>
      <c r="B420" s="30"/>
      <c r="C420" s="30"/>
      <c r="D420" s="138"/>
      <c r="E420" s="138"/>
      <c r="F420" s="30"/>
      <c r="G420" s="30"/>
      <c r="H420" s="30"/>
      <c r="I420" s="139"/>
      <c r="J420" s="72"/>
      <c r="K420" s="327"/>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x14ac:dyDescent="0.2">
      <c r="A421" s="142"/>
      <c r="B421" s="30"/>
      <c r="C421" s="30"/>
      <c r="D421" s="138"/>
      <c r="E421" s="138"/>
      <c r="F421" s="30"/>
      <c r="G421" s="30"/>
      <c r="H421" s="30"/>
      <c r="I421" s="139"/>
      <c r="J421" s="72"/>
      <c r="K421" s="327"/>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x14ac:dyDescent="0.2">
      <c r="A422" s="142"/>
      <c r="B422" s="30"/>
      <c r="C422" s="30"/>
      <c r="D422" s="138"/>
      <c r="E422" s="138"/>
      <c r="F422" s="30"/>
      <c r="G422" s="30"/>
      <c r="H422" s="30"/>
      <c r="I422" s="139"/>
      <c r="J422" s="72"/>
      <c r="K422" s="327"/>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x14ac:dyDescent="0.2">
      <c r="A423" s="142"/>
      <c r="B423" s="30"/>
      <c r="C423" s="30"/>
      <c r="D423" s="138"/>
      <c r="E423" s="138"/>
      <c r="F423" s="30"/>
      <c r="G423" s="30"/>
      <c r="H423" s="30"/>
      <c r="I423" s="139"/>
      <c r="J423" s="72"/>
      <c r="K423" s="327"/>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x14ac:dyDescent="0.2">
      <c r="A424" s="142"/>
      <c r="B424" s="30"/>
      <c r="C424" s="30"/>
      <c r="D424" s="138"/>
      <c r="E424" s="138"/>
      <c r="F424" s="30"/>
      <c r="G424" s="30"/>
      <c r="H424" s="30"/>
      <c r="I424" s="139"/>
      <c r="J424" s="72"/>
      <c r="K424" s="327"/>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x14ac:dyDescent="0.2">
      <c r="A425" s="142"/>
      <c r="B425" s="30"/>
      <c r="C425" s="30"/>
      <c r="D425" s="138"/>
      <c r="E425" s="138"/>
      <c r="F425" s="30"/>
      <c r="G425" s="30"/>
      <c r="H425" s="30"/>
      <c r="I425" s="139"/>
      <c r="J425" s="72"/>
      <c r="K425" s="327"/>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x14ac:dyDescent="0.2">
      <c r="A426" s="142"/>
      <c r="B426" s="30"/>
      <c r="C426" s="30"/>
      <c r="D426" s="138"/>
      <c r="E426" s="138"/>
      <c r="F426" s="30"/>
      <c r="G426" s="30"/>
      <c r="H426" s="30"/>
      <c r="I426" s="139"/>
      <c r="J426" s="72"/>
      <c r="K426" s="327"/>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x14ac:dyDescent="0.2">
      <c r="A427" s="142"/>
      <c r="B427" s="30"/>
      <c r="C427" s="30"/>
      <c r="D427" s="138"/>
      <c r="E427" s="138"/>
      <c r="F427" s="30"/>
      <c r="G427" s="30"/>
      <c r="H427" s="30"/>
      <c r="I427" s="139"/>
      <c r="J427" s="72"/>
      <c r="K427" s="327"/>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x14ac:dyDescent="0.2">
      <c r="A428" s="142"/>
      <c r="B428" s="30"/>
      <c r="C428" s="30"/>
      <c r="D428" s="138"/>
      <c r="E428" s="138"/>
      <c r="F428" s="30"/>
      <c r="G428" s="30"/>
      <c r="H428" s="30"/>
      <c r="I428" s="139"/>
      <c r="J428" s="72"/>
      <c r="K428" s="327"/>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x14ac:dyDescent="0.2">
      <c r="A429" s="142"/>
      <c r="B429" s="30"/>
      <c r="C429" s="30"/>
      <c r="D429" s="138"/>
      <c r="E429" s="138"/>
      <c r="F429" s="30"/>
      <c r="G429" s="30"/>
      <c r="H429" s="30"/>
      <c r="I429" s="139"/>
      <c r="J429" s="72"/>
      <c r="K429" s="327"/>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x14ac:dyDescent="0.2">
      <c r="A430" s="142"/>
      <c r="B430" s="30"/>
      <c r="C430" s="30"/>
      <c r="D430" s="138"/>
      <c r="E430" s="138"/>
      <c r="F430" s="30"/>
      <c r="G430" s="30"/>
      <c r="H430" s="30"/>
      <c r="I430" s="139"/>
      <c r="J430" s="72"/>
      <c r="K430" s="327"/>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x14ac:dyDescent="0.2">
      <c r="A431" s="142"/>
      <c r="B431" s="30"/>
      <c r="C431" s="30"/>
      <c r="D431" s="138"/>
      <c r="E431" s="138"/>
      <c r="F431" s="30"/>
      <c r="G431" s="30"/>
      <c r="H431" s="30"/>
      <c r="I431" s="139"/>
      <c r="J431" s="72"/>
      <c r="K431" s="327"/>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x14ac:dyDescent="0.2">
      <c r="A432" s="142"/>
      <c r="B432" s="30"/>
      <c r="C432" s="30"/>
      <c r="D432" s="138"/>
      <c r="E432" s="138"/>
      <c r="F432" s="30"/>
      <c r="G432" s="30"/>
      <c r="H432" s="30"/>
      <c r="I432" s="139"/>
      <c r="J432" s="72"/>
      <c r="K432" s="327"/>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x14ac:dyDescent="0.2">
      <c r="A433" s="142"/>
      <c r="B433" s="30"/>
      <c r="C433" s="30"/>
      <c r="D433" s="138"/>
      <c r="E433" s="138"/>
      <c r="F433" s="30"/>
      <c r="G433" s="30"/>
      <c r="H433" s="30"/>
      <c r="I433" s="139"/>
      <c r="J433" s="72"/>
      <c r="K433" s="327"/>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x14ac:dyDescent="0.2">
      <c r="A434" s="142"/>
      <c r="B434" s="30"/>
      <c r="C434" s="30"/>
      <c r="D434" s="138"/>
      <c r="E434" s="138"/>
      <c r="F434" s="30"/>
      <c r="G434" s="30"/>
      <c r="H434" s="30"/>
      <c r="I434" s="139"/>
      <c r="J434" s="72"/>
      <c r="K434" s="327"/>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x14ac:dyDescent="0.2">
      <c r="A435" s="142"/>
      <c r="B435" s="30"/>
      <c r="C435" s="30"/>
      <c r="D435" s="138"/>
      <c r="E435" s="138"/>
      <c r="F435" s="30"/>
      <c r="G435" s="30"/>
      <c r="H435" s="30"/>
      <c r="I435" s="139"/>
      <c r="J435" s="72"/>
      <c r="K435" s="327"/>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x14ac:dyDescent="0.2">
      <c r="A436" s="142"/>
      <c r="B436" s="30"/>
      <c r="C436" s="30"/>
      <c r="D436" s="138"/>
      <c r="E436" s="138"/>
      <c r="F436" s="30"/>
      <c r="G436" s="30"/>
      <c r="H436" s="30"/>
      <c r="I436" s="139"/>
      <c r="J436" s="72"/>
      <c r="K436" s="327"/>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x14ac:dyDescent="0.2">
      <c r="A437" s="142"/>
      <c r="B437" s="30"/>
      <c r="C437" s="30"/>
      <c r="D437" s="138"/>
      <c r="E437" s="138"/>
      <c r="F437" s="30"/>
      <c r="G437" s="30"/>
      <c r="H437" s="30"/>
      <c r="I437" s="139"/>
      <c r="J437" s="72"/>
      <c r="K437" s="327"/>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x14ac:dyDescent="0.2">
      <c r="A438" s="142"/>
      <c r="B438" s="30"/>
      <c r="C438" s="30"/>
      <c r="D438" s="138"/>
      <c r="E438" s="138"/>
      <c r="F438" s="30"/>
      <c r="G438" s="30"/>
      <c r="H438" s="30"/>
      <c r="I438" s="139"/>
      <c r="J438" s="72"/>
      <c r="K438" s="327"/>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x14ac:dyDescent="0.2">
      <c r="A439" s="142"/>
      <c r="B439" s="30"/>
      <c r="C439" s="30"/>
      <c r="D439" s="138"/>
      <c r="E439" s="138"/>
      <c r="F439" s="30"/>
      <c r="G439" s="30"/>
      <c r="H439" s="30"/>
      <c r="I439" s="139"/>
      <c r="J439" s="72"/>
      <c r="K439" s="327"/>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x14ac:dyDescent="0.2">
      <c r="A440" s="142"/>
      <c r="B440" s="30"/>
      <c r="C440" s="30"/>
      <c r="D440" s="138"/>
      <c r="E440" s="138"/>
      <c r="F440" s="30"/>
      <c r="G440" s="30"/>
      <c r="H440" s="30"/>
      <c r="I440" s="139"/>
      <c r="J440" s="72"/>
      <c r="K440" s="327"/>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x14ac:dyDescent="0.2">
      <c r="A441" s="142"/>
      <c r="B441" s="30"/>
      <c r="C441" s="30"/>
      <c r="D441" s="138"/>
      <c r="E441" s="138"/>
      <c r="F441" s="30"/>
      <c r="G441" s="30"/>
      <c r="H441" s="30"/>
      <c r="I441" s="139"/>
      <c r="J441" s="72"/>
      <c r="K441" s="327"/>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x14ac:dyDescent="0.2">
      <c r="A442" s="142"/>
      <c r="B442" s="30"/>
      <c r="C442" s="30"/>
      <c r="D442" s="138"/>
      <c r="E442" s="138"/>
      <c r="F442" s="30"/>
      <c r="G442" s="30"/>
      <c r="H442" s="30"/>
      <c r="I442" s="139"/>
      <c r="J442" s="72"/>
      <c r="K442" s="327"/>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x14ac:dyDescent="0.2">
      <c r="A443" s="142"/>
      <c r="B443" s="30"/>
      <c r="C443" s="30"/>
      <c r="D443" s="138"/>
      <c r="E443" s="138"/>
      <c r="F443" s="30"/>
      <c r="G443" s="30"/>
      <c r="H443" s="30"/>
      <c r="I443" s="139"/>
      <c r="J443" s="72"/>
      <c r="K443" s="327"/>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x14ac:dyDescent="0.2">
      <c r="A444" s="142"/>
      <c r="B444" s="30"/>
      <c r="C444" s="30"/>
      <c r="D444" s="138"/>
      <c r="E444" s="138"/>
      <c r="F444" s="30"/>
      <c r="G444" s="30"/>
      <c r="H444" s="30"/>
      <c r="I444" s="139"/>
      <c r="J444" s="72"/>
      <c r="K444" s="327"/>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x14ac:dyDescent="0.2">
      <c r="A445" s="142"/>
      <c r="B445" s="30"/>
      <c r="C445" s="30"/>
      <c r="D445" s="138"/>
      <c r="E445" s="138"/>
      <c r="F445" s="30"/>
      <c r="G445" s="30"/>
      <c r="H445" s="30"/>
      <c r="I445" s="139"/>
      <c r="J445" s="72"/>
      <c r="K445" s="327"/>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x14ac:dyDescent="0.2">
      <c r="A446" s="142"/>
      <c r="B446" s="30"/>
      <c r="C446" s="30"/>
      <c r="D446" s="138"/>
      <c r="E446" s="138"/>
      <c r="F446" s="30"/>
      <c r="G446" s="30"/>
      <c r="H446" s="30"/>
      <c r="I446" s="139"/>
      <c r="J446" s="72"/>
      <c r="K446" s="327"/>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x14ac:dyDescent="0.2">
      <c r="A447" s="142"/>
      <c r="B447" s="30"/>
      <c r="C447" s="30"/>
      <c r="D447" s="138"/>
      <c r="E447" s="138"/>
      <c r="F447" s="30"/>
      <c r="G447" s="30"/>
      <c r="H447" s="30"/>
      <c r="I447" s="139"/>
      <c r="J447" s="72"/>
      <c r="K447" s="327"/>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x14ac:dyDescent="0.2">
      <c r="A448" s="142"/>
      <c r="B448" s="30"/>
      <c r="C448" s="30"/>
      <c r="D448" s="138"/>
      <c r="E448" s="138"/>
      <c r="F448" s="30"/>
      <c r="G448" s="30"/>
      <c r="H448" s="30"/>
      <c r="I448" s="139"/>
      <c r="J448" s="72"/>
      <c r="K448" s="327"/>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x14ac:dyDescent="0.2">
      <c r="A449" s="142"/>
      <c r="B449" s="30"/>
      <c r="C449" s="30"/>
      <c r="D449" s="138"/>
      <c r="E449" s="138"/>
      <c r="F449" s="30"/>
      <c r="G449" s="30"/>
      <c r="H449" s="30"/>
      <c r="I449" s="139"/>
      <c r="J449" s="72"/>
      <c r="K449" s="327"/>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x14ac:dyDescent="0.2">
      <c r="A450" s="142"/>
      <c r="B450" s="30"/>
      <c r="C450" s="30"/>
      <c r="D450" s="138"/>
      <c r="E450" s="138"/>
      <c r="F450" s="30"/>
      <c r="G450" s="30"/>
      <c r="H450" s="30"/>
      <c r="I450" s="139"/>
      <c r="J450" s="72"/>
      <c r="K450" s="327"/>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x14ac:dyDescent="0.2">
      <c r="A451" s="142"/>
      <c r="B451" s="30"/>
      <c r="C451" s="30"/>
      <c r="D451" s="138"/>
      <c r="E451" s="138"/>
      <c r="F451" s="30"/>
      <c r="G451" s="30"/>
      <c r="H451" s="30"/>
      <c r="I451" s="139"/>
      <c r="J451" s="72"/>
      <c r="K451" s="327"/>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x14ac:dyDescent="0.2">
      <c r="A452" s="142"/>
      <c r="B452" s="30"/>
      <c r="C452" s="30"/>
      <c r="D452" s="138"/>
      <c r="E452" s="138"/>
      <c r="F452" s="30"/>
      <c r="G452" s="30"/>
      <c r="H452" s="30"/>
      <c r="I452" s="139"/>
      <c r="J452" s="72"/>
      <c r="K452" s="327"/>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x14ac:dyDescent="0.2">
      <c r="A453" s="142"/>
      <c r="B453" s="30"/>
      <c r="C453" s="30"/>
      <c r="D453" s="138"/>
      <c r="E453" s="138"/>
      <c r="F453" s="30"/>
      <c r="G453" s="30"/>
      <c r="H453" s="30"/>
      <c r="I453" s="139"/>
      <c r="J453" s="72"/>
      <c r="K453" s="327"/>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x14ac:dyDescent="0.2">
      <c r="A454" s="142"/>
      <c r="B454" s="30"/>
      <c r="C454" s="30"/>
      <c r="D454" s="138"/>
      <c r="E454" s="138"/>
      <c r="F454" s="30"/>
      <c r="G454" s="30"/>
      <c r="H454" s="30"/>
      <c r="I454" s="139"/>
      <c r="J454" s="72"/>
      <c r="K454" s="327"/>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x14ac:dyDescent="0.2">
      <c r="A455" s="142"/>
      <c r="B455" s="30"/>
      <c r="C455" s="30"/>
      <c r="D455" s="138"/>
      <c r="E455" s="138"/>
      <c r="F455" s="30"/>
      <c r="G455" s="30"/>
      <c r="H455" s="30"/>
      <c r="I455" s="139"/>
      <c r="J455" s="72"/>
      <c r="K455" s="327"/>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x14ac:dyDescent="0.2">
      <c r="A456" s="142"/>
      <c r="B456" s="30"/>
      <c r="C456" s="30"/>
      <c r="D456" s="138"/>
      <c r="E456" s="138"/>
      <c r="F456" s="30"/>
      <c r="G456" s="30"/>
      <c r="H456" s="30"/>
      <c r="I456" s="139"/>
      <c r="J456" s="72"/>
      <c r="K456" s="327"/>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x14ac:dyDescent="0.2">
      <c r="A457" s="142"/>
      <c r="B457" s="30"/>
      <c r="C457" s="30"/>
      <c r="D457" s="138"/>
      <c r="E457" s="138"/>
      <c r="F457" s="30"/>
      <c r="G457" s="30"/>
      <c r="H457" s="30"/>
      <c r="I457" s="139"/>
      <c r="J457" s="72"/>
      <c r="K457" s="327"/>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x14ac:dyDescent="0.2">
      <c r="A458" s="142"/>
      <c r="B458" s="30"/>
      <c r="C458" s="30"/>
      <c r="D458" s="138"/>
      <c r="E458" s="138"/>
      <c r="F458" s="30"/>
      <c r="G458" s="30"/>
      <c r="H458" s="30"/>
      <c r="I458" s="139"/>
      <c r="J458" s="72"/>
      <c r="K458" s="327"/>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x14ac:dyDescent="0.2">
      <c r="A459" s="142"/>
      <c r="B459" s="30"/>
      <c r="C459" s="30"/>
      <c r="D459" s="138"/>
      <c r="E459" s="138"/>
      <c r="F459" s="30"/>
      <c r="G459" s="30"/>
      <c r="H459" s="30"/>
      <c r="I459" s="139"/>
      <c r="J459" s="72"/>
      <c r="K459" s="327"/>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x14ac:dyDescent="0.2">
      <c r="A460" s="142"/>
      <c r="B460" s="30"/>
      <c r="C460" s="30"/>
      <c r="D460" s="138"/>
      <c r="E460" s="138"/>
      <c r="F460" s="30"/>
      <c r="G460" s="30"/>
      <c r="H460" s="30"/>
      <c r="I460" s="139"/>
      <c r="J460" s="72"/>
      <c r="K460" s="327"/>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x14ac:dyDescent="0.2">
      <c r="A461" s="142"/>
      <c r="B461" s="30"/>
      <c r="C461" s="30"/>
      <c r="D461" s="138"/>
      <c r="E461" s="138"/>
      <c r="F461" s="30"/>
      <c r="G461" s="30"/>
      <c r="H461" s="30"/>
      <c r="I461" s="139"/>
      <c r="J461" s="72"/>
      <c r="K461" s="327"/>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x14ac:dyDescent="0.2">
      <c r="A462" s="142"/>
      <c r="B462" s="30"/>
      <c r="C462" s="30"/>
      <c r="D462" s="138"/>
      <c r="E462" s="138"/>
      <c r="F462" s="30"/>
      <c r="G462" s="30"/>
      <c r="H462" s="30"/>
      <c r="I462" s="139"/>
      <c r="J462" s="72"/>
      <c r="K462" s="327"/>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x14ac:dyDescent="0.2">
      <c r="A463" s="142"/>
      <c r="B463" s="30"/>
      <c r="C463" s="30"/>
      <c r="D463" s="138"/>
      <c r="E463" s="138"/>
      <c r="F463" s="30"/>
      <c r="G463" s="30"/>
      <c r="H463" s="30"/>
      <c r="I463" s="139"/>
      <c r="J463" s="72"/>
      <c r="K463" s="327"/>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x14ac:dyDescent="0.2">
      <c r="A464" s="142"/>
      <c r="B464" s="30"/>
      <c r="C464" s="30"/>
      <c r="D464" s="138"/>
      <c r="E464" s="138"/>
      <c r="F464" s="30"/>
      <c r="G464" s="30"/>
      <c r="H464" s="30"/>
      <c r="I464" s="139"/>
      <c r="J464" s="72"/>
      <c r="K464" s="327"/>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x14ac:dyDescent="0.2">
      <c r="A465" s="142"/>
      <c r="B465" s="30"/>
      <c r="C465" s="30"/>
      <c r="D465" s="138"/>
      <c r="E465" s="138"/>
      <c r="F465" s="30"/>
      <c r="G465" s="30"/>
      <c r="H465" s="30"/>
      <c r="I465" s="139"/>
      <c r="J465" s="72"/>
      <c r="K465" s="327"/>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x14ac:dyDescent="0.2">
      <c r="A466" s="142"/>
      <c r="B466" s="30"/>
      <c r="C466" s="30"/>
      <c r="D466" s="138"/>
      <c r="E466" s="138"/>
      <c r="F466" s="30"/>
      <c r="G466" s="30"/>
      <c r="H466" s="30"/>
      <c r="I466" s="139"/>
      <c r="J466" s="72"/>
      <c r="K466" s="327"/>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x14ac:dyDescent="0.2">
      <c r="A467" s="142"/>
      <c r="B467" s="30"/>
      <c r="C467" s="30"/>
      <c r="D467" s="138"/>
      <c r="E467" s="138"/>
      <c r="F467" s="30"/>
      <c r="G467" s="30"/>
      <c r="H467" s="30"/>
      <c r="I467" s="139"/>
      <c r="J467" s="72"/>
      <c r="K467" s="327"/>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x14ac:dyDescent="0.2">
      <c r="A468" s="142"/>
      <c r="B468" s="30"/>
      <c r="C468" s="30"/>
      <c r="D468" s="138"/>
      <c r="E468" s="138"/>
      <c r="F468" s="30"/>
      <c r="G468" s="30"/>
      <c r="H468" s="30"/>
      <c r="I468" s="139"/>
      <c r="J468" s="72"/>
      <c r="K468" s="327"/>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x14ac:dyDescent="0.2">
      <c r="A469" s="142"/>
      <c r="B469" s="30"/>
      <c r="C469" s="30"/>
      <c r="D469" s="138"/>
      <c r="E469" s="138"/>
      <c r="F469" s="30"/>
      <c r="G469" s="30"/>
      <c r="H469" s="30"/>
      <c r="I469" s="139"/>
      <c r="J469" s="72"/>
      <c r="K469" s="327"/>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x14ac:dyDescent="0.2">
      <c r="A470" s="142"/>
      <c r="B470" s="30"/>
      <c r="C470" s="30"/>
      <c r="D470" s="138"/>
      <c r="E470" s="138"/>
      <c r="F470" s="30"/>
      <c r="G470" s="30"/>
      <c r="H470" s="30"/>
      <c r="I470" s="139"/>
      <c r="J470" s="72"/>
      <c r="K470" s="327"/>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x14ac:dyDescent="0.2">
      <c r="A471" s="142"/>
      <c r="B471" s="30"/>
      <c r="C471" s="30"/>
      <c r="D471" s="138"/>
      <c r="E471" s="138"/>
      <c r="F471" s="30"/>
      <c r="G471" s="30"/>
      <c r="H471" s="30"/>
      <c r="I471" s="139"/>
      <c r="J471" s="72"/>
      <c r="K471" s="327"/>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x14ac:dyDescent="0.2">
      <c r="A472" s="142"/>
      <c r="B472" s="30"/>
      <c r="C472" s="30"/>
      <c r="D472" s="138"/>
      <c r="E472" s="138"/>
      <c r="F472" s="30"/>
      <c r="G472" s="30"/>
      <c r="H472" s="30"/>
      <c r="I472" s="139"/>
      <c r="J472" s="72"/>
      <c r="K472" s="327"/>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x14ac:dyDescent="0.2">
      <c r="A473" s="142"/>
      <c r="B473" s="30"/>
      <c r="C473" s="30"/>
      <c r="D473" s="138"/>
      <c r="E473" s="138"/>
      <c r="F473" s="30"/>
      <c r="G473" s="30"/>
      <c r="H473" s="30"/>
      <c r="I473" s="139"/>
      <c r="J473" s="72"/>
      <c r="K473" s="327"/>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x14ac:dyDescent="0.2">
      <c r="A474" s="142"/>
      <c r="B474" s="30"/>
      <c r="C474" s="30"/>
      <c r="D474" s="138"/>
      <c r="E474" s="138"/>
      <c r="F474" s="30"/>
      <c r="G474" s="30"/>
      <c r="H474" s="30"/>
      <c r="I474" s="139"/>
      <c r="J474" s="72"/>
      <c r="K474" s="327"/>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x14ac:dyDescent="0.2">
      <c r="A475" s="142"/>
      <c r="B475" s="30"/>
      <c r="C475" s="30"/>
      <c r="D475" s="138"/>
      <c r="E475" s="138"/>
      <c r="F475" s="30"/>
      <c r="G475" s="30"/>
      <c r="H475" s="30"/>
      <c r="I475" s="139"/>
      <c r="J475" s="72"/>
      <c r="K475" s="327"/>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x14ac:dyDescent="0.2">
      <c r="A476" s="142"/>
      <c r="B476" s="30"/>
      <c r="C476" s="30"/>
      <c r="D476" s="138"/>
      <c r="E476" s="138"/>
      <c r="F476" s="30"/>
      <c r="G476" s="30"/>
      <c r="H476" s="30"/>
      <c r="I476" s="139"/>
      <c r="J476" s="72"/>
      <c r="K476" s="327"/>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x14ac:dyDescent="0.2">
      <c r="A477" s="142"/>
      <c r="B477" s="30"/>
      <c r="C477" s="30"/>
      <c r="D477" s="138"/>
      <c r="E477" s="138"/>
      <c r="F477" s="30"/>
      <c r="G477" s="30"/>
      <c r="H477" s="30"/>
      <c r="I477" s="139"/>
      <c r="J477" s="72"/>
      <c r="K477" s="327"/>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x14ac:dyDescent="0.2">
      <c r="A478" s="142"/>
      <c r="B478" s="30"/>
      <c r="C478" s="30"/>
      <c r="D478" s="138"/>
      <c r="E478" s="138"/>
      <c r="F478" s="30"/>
      <c r="G478" s="30"/>
      <c r="H478" s="30"/>
      <c r="I478" s="139"/>
      <c r="J478" s="72"/>
      <c r="K478" s="327"/>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x14ac:dyDescent="0.2">
      <c r="A479" s="142"/>
      <c r="B479" s="30"/>
      <c r="C479" s="30"/>
      <c r="D479" s="138"/>
      <c r="E479" s="138"/>
      <c r="F479" s="30"/>
      <c r="G479" s="30"/>
      <c r="H479" s="30"/>
      <c r="I479" s="139"/>
      <c r="J479" s="72"/>
      <c r="K479" s="327"/>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x14ac:dyDescent="0.2">
      <c r="A480" s="142"/>
      <c r="B480" s="30"/>
      <c r="C480" s="30"/>
      <c r="D480" s="138"/>
      <c r="E480" s="138"/>
      <c r="F480" s="30"/>
      <c r="G480" s="30"/>
      <c r="H480" s="30"/>
      <c r="I480" s="139"/>
      <c r="J480" s="72"/>
      <c r="K480" s="327"/>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x14ac:dyDescent="0.2">
      <c r="A481" s="142"/>
      <c r="B481" s="30"/>
      <c r="C481" s="30"/>
      <c r="D481" s="138"/>
      <c r="E481" s="138"/>
      <c r="F481" s="30"/>
      <c r="G481" s="30"/>
      <c r="H481" s="30"/>
      <c r="I481" s="139"/>
      <c r="J481" s="72"/>
      <c r="K481" s="327"/>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x14ac:dyDescent="0.2">
      <c r="A482" s="142"/>
      <c r="B482" s="30"/>
      <c r="C482" s="30"/>
      <c r="D482" s="138"/>
      <c r="E482" s="138"/>
      <c r="F482" s="30"/>
      <c r="G482" s="30"/>
      <c r="H482" s="30"/>
      <c r="I482" s="139"/>
      <c r="J482" s="72"/>
      <c r="K482" s="327"/>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x14ac:dyDescent="0.2">
      <c r="A483" s="142"/>
      <c r="B483" s="30"/>
      <c r="C483" s="30"/>
      <c r="D483" s="138"/>
      <c r="E483" s="138"/>
      <c r="F483" s="30"/>
      <c r="G483" s="30"/>
      <c r="H483" s="30"/>
      <c r="I483" s="139"/>
      <c r="J483" s="72"/>
      <c r="K483" s="327"/>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x14ac:dyDescent="0.2">
      <c r="A484" s="142"/>
      <c r="B484" s="30"/>
      <c r="C484" s="30"/>
      <c r="D484" s="138"/>
      <c r="E484" s="138"/>
      <c r="F484" s="30"/>
      <c r="G484" s="30"/>
      <c r="H484" s="30"/>
      <c r="I484" s="139"/>
      <c r="J484" s="72"/>
      <c r="K484" s="327"/>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x14ac:dyDescent="0.2">
      <c r="A485" s="142"/>
      <c r="B485" s="30"/>
      <c r="C485" s="30"/>
      <c r="D485" s="138"/>
      <c r="E485" s="138"/>
      <c r="F485" s="30"/>
      <c r="G485" s="30"/>
      <c r="H485" s="30"/>
      <c r="I485" s="139"/>
      <c r="J485" s="72"/>
      <c r="K485" s="327"/>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x14ac:dyDescent="0.2">
      <c r="A486" s="142"/>
      <c r="B486" s="30"/>
      <c r="C486" s="30"/>
      <c r="D486" s="138"/>
      <c r="E486" s="138"/>
      <c r="F486" s="30"/>
      <c r="G486" s="30"/>
      <c r="H486" s="30"/>
      <c r="I486" s="139"/>
      <c r="J486" s="72"/>
      <c r="K486" s="327"/>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x14ac:dyDescent="0.2">
      <c r="A487" s="142"/>
      <c r="B487" s="30"/>
      <c r="C487" s="30"/>
      <c r="D487" s="138"/>
      <c r="E487" s="138"/>
      <c r="F487" s="30"/>
      <c r="G487" s="30"/>
      <c r="H487" s="30"/>
      <c r="I487" s="139"/>
      <c r="J487" s="72"/>
      <c r="K487" s="327"/>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x14ac:dyDescent="0.2">
      <c r="A488" s="142"/>
      <c r="B488" s="30"/>
      <c r="C488" s="30"/>
      <c r="D488" s="138"/>
      <c r="E488" s="138"/>
      <c r="F488" s="30"/>
      <c r="G488" s="30"/>
      <c r="H488" s="30"/>
      <c r="I488" s="139"/>
      <c r="J488" s="72"/>
      <c r="K488" s="327"/>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x14ac:dyDescent="0.2">
      <c r="A489" s="142"/>
      <c r="B489" s="30"/>
      <c r="C489" s="30"/>
      <c r="D489" s="138"/>
      <c r="E489" s="138"/>
      <c r="F489" s="30"/>
      <c r="G489" s="30"/>
      <c r="H489" s="30"/>
      <c r="I489" s="139"/>
      <c r="J489" s="72"/>
      <c r="K489" s="327"/>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x14ac:dyDescent="0.2">
      <c r="A490" s="142"/>
      <c r="B490" s="30"/>
      <c r="C490" s="30"/>
      <c r="D490" s="138"/>
      <c r="E490" s="138"/>
      <c r="F490" s="30"/>
      <c r="G490" s="30"/>
      <c r="H490" s="30"/>
      <c r="I490" s="139"/>
      <c r="J490" s="72"/>
      <c r="K490" s="327"/>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x14ac:dyDescent="0.2">
      <c r="A491" s="142"/>
      <c r="B491" s="30"/>
      <c r="C491" s="30"/>
      <c r="D491" s="138"/>
      <c r="E491" s="138"/>
      <c r="F491" s="30"/>
      <c r="G491" s="30"/>
      <c r="H491" s="30"/>
      <c r="I491" s="139"/>
      <c r="J491" s="72"/>
      <c r="K491" s="327"/>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x14ac:dyDescent="0.2">
      <c r="A492" s="142"/>
      <c r="B492" s="30"/>
      <c r="C492" s="30"/>
      <c r="D492" s="138"/>
      <c r="E492" s="138"/>
      <c r="F492" s="30"/>
      <c r="G492" s="30"/>
      <c r="H492" s="30"/>
      <c r="I492" s="139"/>
      <c r="J492" s="72"/>
      <c r="K492" s="327"/>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x14ac:dyDescent="0.2">
      <c r="A493" s="142"/>
      <c r="B493" s="30"/>
      <c r="C493" s="30"/>
      <c r="D493" s="138"/>
      <c r="E493" s="138"/>
      <c r="F493" s="30"/>
      <c r="G493" s="30"/>
      <c r="H493" s="30"/>
      <c r="I493" s="139"/>
      <c r="J493" s="72"/>
      <c r="K493" s="327"/>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x14ac:dyDescent="0.2">
      <c r="A494" s="142"/>
      <c r="B494" s="30"/>
      <c r="C494" s="30"/>
      <c r="D494" s="138"/>
      <c r="E494" s="138"/>
      <c r="F494" s="30"/>
      <c r="G494" s="30"/>
      <c r="H494" s="30"/>
      <c r="I494" s="139"/>
      <c r="J494" s="72"/>
      <c r="K494" s="327"/>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x14ac:dyDescent="0.2">
      <c r="A495" s="142"/>
      <c r="B495" s="30"/>
      <c r="C495" s="30"/>
      <c r="D495" s="138"/>
      <c r="E495" s="138"/>
      <c r="F495" s="30"/>
      <c r="G495" s="30"/>
      <c r="H495" s="30"/>
      <c r="I495" s="139"/>
      <c r="J495" s="72"/>
      <c r="K495" s="327"/>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x14ac:dyDescent="0.2">
      <c r="A496" s="142"/>
      <c r="B496" s="30"/>
      <c r="C496" s="30"/>
      <c r="D496" s="138"/>
      <c r="E496" s="138"/>
      <c r="F496" s="30"/>
      <c r="G496" s="30"/>
      <c r="H496" s="30"/>
      <c r="I496" s="139"/>
      <c r="J496" s="72"/>
      <c r="K496" s="327"/>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x14ac:dyDescent="0.2">
      <c r="A497" s="142"/>
      <c r="B497" s="30"/>
      <c r="C497" s="30"/>
      <c r="D497" s="138"/>
      <c r="E497" s="138"/>
      <c r="F497" s="30"/>
      <c r="G497" s="30"/>
      <c r="H497" s="30"/>
      <c r="I497" s="139"/>
      <c r="J497" s="72"/>
      <c r="K497" s="327"/>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x14ac:dyDescent="0.2">
      <c r="A498" s="142"/>
      <c r="B498" s="30"/>
      <c r="C498" s="30"/>
      <c r="D498" s="138"/>
      <c r="E498" s="138"/>
      <c r="F498" s="30"/>
      <c r="G498" s="30"/>
      <c r="H498" s="30"/>
      <c r="I498" s="139"/>
      <c r="J498" s="72"/>
      <c r="K498" s="327"/>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x14ac:dyDescent="0.2">
      <c r="A499" s="142"/>
      <c r="B499" s="30"/>
      <c r="C499" s="30"/>
      <c r="D499" s="138"/>
      <c r="E499" s="138"/>
      <c r="F499" s="30"/>
      <c r="G499" s="30"/>
      <c r="H499" s="30"/>
      <c r="I499" s="139"/>
      <c r="J499" s="72"/>
      <c r="K499" s="327"/>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x14ac:dyDescent="0.2">
      <c r="A500" s="142"/>
      <c r="B500" s="30"/>
      <c r="C500" s="30"/>
      <c r="D500" s="138"/>
      <c r="E500" s="138"/>
      <c r="F500" s="30"/>
      <c r="G500" s="30"/>
      <c r="H500" s="30"/>
      <c r="I500" s="139"/>
      <c r="J500" s="72"/>
      <c r="K500" s="327"/>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x14ac:dyDescent="0.2">
      <c r="A501" s="142"/>
      <c r="B501" s="30"/>
      <c r="C501" s="30"/>
      <c r="D501" s="138"/>
      <c r="E501" s="138"/>
      <c r="F501" s="30"/>
      <c r="G501" s="30"/>
      <c r="H501" s="30"/>
      <c r="I501" s="139"/>
      <c r="J501" s="72"/>
      <c r="K501" s="327"/>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x14ac:dyDescent="0.2">
      <c r="A502" s="142"/>
      <c r="B502" s="30"/>
      <c r="C502" s="30"/>
      <c r="D502" s="138"/>
      <c r="E502" s="138"/>
      <c r="F502" s="30"/>
      <c r="G502" s="30"/>
      <c r="H502" s="30"/>
      <c r="I502" s="139"/>
      <c r="J502" s="72"/>
      <c r="K502" s="327"/>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x14ac:dyDescent="0.2">
      <c r="A503" s="142"/>
      <c r="B503" s="30"/>
      <c r="C503" s="30"/>
      <c r="D503" s="138"/>
      <c r="E503" s="138"/>
      <c r="F503" s="30"/>
      <c r="G503" s="30"/>
      <c r="H503" s="30"/>
      <c r="I503" s="139"/>
      <c r="J503" s="72"/>
      <c r="K503" s="327"/>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x14ac:dyDescent="0.2">
      <c r="A504" s="142"/>
      <c r="B504" s="30"/>
      <c r="C504" s="30"/>
      <c r="D504" s="138"/>
      <c r="E504" s="138"/>
      <c r="F504" s="30"/>
      <c r="G504" s="30"/>
      <c r="H504" s="30"/>
      <c r="I504" s="139"/>
      <c r="J504" s="72"/>
      <c r="K504" s="327"/>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x14ac:dyDescent="0.2">
      <c r="A505" s="142"/>
      <c r="B505" s="30"/>
      <c r="C505" s="30"/>
      <c r="D505" s="138"/>
      <c r="E505" s="138"/>
      <c r="F505" s="30"/>
      <c r="G505" s="30"/>
      <c r="H505" s="30"/>
      <c r="I505" s="139"/>
      <c r="J505" s="72"/>
      <c r="K505" s="327"/>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x14ac:dyDescent="0.2">
      <c r="A506" s="142"/>
      <c r="B506" s="30"/>
      <c r="C506" s="30"/>
      <c r="D506" s="138"/>
      <c r="E506" s="138"/>
      <c r="F506" s="30"/>
      <c r="G506" s="30"/>
      <c r="H506" s="30"/>
      <c r="I506" s="139"/>
      <c r="J506" s="72"/>
      <c r="K506" s="327"/>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x14ac:dyDescent="0.2">
      <c r="A507" s="142"/>
      <c r="B507" s="30"/>
      <c r="C507" s="30"/>
      <c r="D507" s="138"/>
      <c r="E507" s="138"/>
      <c r="F507" s="30"/>
      <c r="G507" s="30"/>
      <c r="H507" s="30"/>
      <c r="I507" s="139"/>
      <c r="J507" s="72"/>
      <c r="K507" s="327"/>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x14ac:dyDescent="0.2">
      <c r="A508" s="142"/>
      <c r="B508" s="30"/>
      <c r="C508" s="30"/>
      <c r="D508" s="138"/>
      <c r="E508" s="138"/>
      <c r="F508" s="30"/>
      <c r="G508" s="30"/>
      <c r="H508" s="30"/>
      <c r="I508" s="139"/>
      <c r="J508" s="72"/>
      <c r="K508" s="327"/>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x14ac:dyDescent="0.2">
      <c r="A509" s="142"/>
      <c r="B509" s="30"/>
      <c r="C509" s="30"/>
      <c r="D509" s="138"/>
      <c r="E509" s="138"/>
      <c r="F509" s="30"/>
      <c r="G509" s="30"/>
      <c r="H509" s="30"/>
      <c r="I509" s="139"/>
      <c r="J509" s="72"/>
      <c r="K509" s="327"/>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x14ac:dyDescent="0.2">
      <c r="A510" s="142"/>
      <c r="B510" s="30"/>
      <c r="C510" s="30"/>
      <c r="D510" s="138"/>
      <c r="E510" s="138"/>
      <c r="F510" s="30"/>
      <c r="G510" s="30"/>
      <c r="H510" s="30"/>
      <c r="I510" s="139"/>
      <c r="J510" s="72"/>
      <c r="K510" s="327"/>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x14ac:dyDescent="0.2">
      <c r="A511" s="142"/>
      <c r="B511" s="30"/>
      <c r="C511" s="30"/>
      <c r="D511" s="138"/>
      <c r="E511" s="138"/>
      <c r="F511" s="30"/>
      <c r="G511" s="30"/>
      <c r="H511" s="30"/>
      <c r="I511" s="139"/>
      <c r="J511" s="72"/>
      <c r="K511" s="327"/>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x14ac:dyDescent="0.2">
      <c r="A512" s="142"/>
      <c r="B512" s="30"/>
      <c r="C512" s="30"/>
      <c r="D512" s="138"/>
      <c r="E512" s="138"/>
      <c r="F512" s="30"/>
      <c r="G512" s="30"/>
      <c r="H512" s="30"/>
      <c r="I512" s="139"/>
      <c r="J512" s="72"/>
      <c r="K512" s="327"/>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x14ac:dyDescent="0.2">
      <c r="A513" s="142"/>
      <c r="B513" s="30"/>
      <c r="C513" s="30"/>
      <c r="D513" s="138"/>
      <c r="E513" s="138"/>
      <c r="F513" s="30"/>
      <c r="G513" s="30"/>
      <c r="H513" s="30"/>
      <c r="I513" s="139"/>
      <c r="J513" s="72"/>
      <c r="K513" s="327"/>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x14ac:dyDescent="0.2">
      <c r="A514" s="142"/>
      <c r="B514" s="30"/>
      <c r="C514" s="30"/>
      <c r="D514" s="138"/>
      <c r="E514" s="138"/>
      <c r="F514" s="30"/>
      <c r="G514" s="30"/>
      <c r="H514" s="30"/>
      <c r="I514" s="139"/>
      <c r="J514" s="72"/>
      <c r="K514" s="327"/>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x14ac:dyDescent="0.2">
      <c r="A515" s="142"/>
      <c r="B515" s="30"/>
      <c r="C515" s="30"/>
      <c r="D515" s="138"/>
      <c r="E515" s="138"/>
      <c r="F515" s="30"/>
      <c r="G515" s="30"/>
      <c r="H515" s="30"/>
      <c r="I515" s="139"/>
      <c r="J515" s="72"/>
      <c r="K515" s="327"/>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x14ac:dyDescent="0.2">
      <c r="A516" s="142"/>
      <c r="B516" s="30"/>
      <c r="C516" s="30"/>
      <c r="D516" s="138"/>
      <c r="E516" s="138"/>
      <c r="F516" s="30"/>
      <c r="G516" s="30"/>
      <c r="H516" s="30"/>
      <c r="I516" s="139"/>
      <c r="J516" s="72"/>
      <c r="K516" s="327"/>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x14ac:dyDescent="0.2">
      <c r="A517" s="142"/>
      <c r="B517" s="30"/>
      <c r="C517" s="30"/>
      <c r="D517" s="138"/>
      <c r="E517" s="138"/>
      <c r="F517" s="30"/>
      <c r="G517" s="30"/>
      <c r="H517" s="30"/>
      <c r="I517" s="139"/>
      <c r="J517" s="72"/>
      <c r="K517" s="327"/>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x14ac:dyDescent="0.2">
      <c r="A518" s="142"/>
      <c r="B518" s="30"/>
      <c r="C518" s="30"/>
      <c r="D518" s="138"/>
      <c r="E518" s="138"/>
      <c r="F518" s="30"/>
      <c r="G518" s="30"/>
      <c r="H518" s="30"/>
      <c r="I518" s="139"/>
      <c r="J518" s="72"/>
      <c r="K518" s="327"/>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x14ac:dyDescent="0.2">
      <c r="A519" s="142"/>
      <c r="B519" s="30"/>
      <c r="C519" s="30"/>
      <c r="D519" s="138"/>
      <c r="E519" s="138"/>
      <c r="F519" s="30"/>
      <c r="G519" s="30"/>
      <c r="H519" s="30"/>
      <c r="I519" s="139"/>
      <c r="J519" s="72"/>
      <c r="K519" s="327"/>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x14ac:dyDescent="0.2">
      <c r="A520" s="142"/>
      <c r="B520" s="30"/>
      <c r="C520" s="30"/>
      <c r="D520" s="138"/>
      <c r="E520" s="138"/>
      <c r="F520" s="30"/>
      <c r="G520" s="30"/>
      <c r="H520" s="30"/>
      <c r="I520" s="139"/>
      <c r="J520" s="72"/>
      <c r="K520" s="327"/>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x14ac:dyDescent="0.2">
      <c r="A521" s="142"/>
      <c r="B521" s="30"/>
      <c r="C521" s="30"/>
      <c r="D521" s="138"/>
      <c r="E521" s="138"/>
      <c r="F521" s="30"/>
      <c r="G521" s="30"/>
      <c r="H521" s="30"/>
      <c r="I521" s="139"/>
      <c r="J521" s="72"/>
      <c r="K521" s="327"/>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x14ac:dyDescent="0.2">
      <c r="A522" s="142"/>
      <c r="B522" s="30"/>
      <c r="C522" s="30"/>
      <c r="D522" s="138"/>
      <c r="E522" s="138"/>
      <c r="F522" s="30"/>
      <c r="G522" s="30"/>
      <c r="H522" s="30"/>
      <c r="I522" s="139"/>
      <c r="J522" s="72"/>
      <c r="K522" s="327"/>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x14ac:dyDescent="0.2">
      <c r="A523" s="142"/>
      <c r="B523" s="30"/>
      <c r="C523" s="30"/>
      <c r="D523" s="138"/>
      <c r="E523" s="138"/>
      <c r="F523" s="30"/>
      <c r="G523" s="30"/>
      <c r="H523" s="30"/>
      <c r="I523" s="139"/>
      <c r="J523" s="72"/>
      <c r="K523" s="327"/>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x14ac:dyDescent="0.2">
      <c r="A524" s="142"/>
      <c r="B524" s="30"/>
      <c r="C524" s="30"/>
      <c r="D524" s="138"/>
      <c r="E524" s="138"/>
      <c r="F524" s="30"/>
      <c r="G524" s="30"/>
      <c r="H524" s="30"/>
      <c r="I524" s="139"/>
      <c r="J524" s="72"/>
      <c r="K524" s="327"/>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x14ac:dyDescent="0.2">
      <c r="A525" s="142"/>
      <c r="B525" s="30"/>
      <c r="C525" s="30"/>
      <c r="D525" s="138"/>
      <c r="E525" s="138"/>
      <c r="F525" s="30"/>
      <c r="G525" s="30"/>
      <c r="H525" s="30"/>
      <c r="I525" s="139"/>
      <c r="J525" s="72"/>
      <c r="K525" s="327"/>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x14ac:dyDescent="0.2">
      <c r="A526" s="142"/>
      <c r="B526" s="30"/>
      <c r="C526" s="30"/>
      <c r="D526" s="138"/>
      <c r="E526" s="138"/>
      <c r="F526" s="30"/>
      <c r="G526" s="30"/>
      <c r="H526" s="30"/>
      <c r="I526" s="139"/>
      <c r="J526" s="72"/>
      <c r="K526" s="327"/>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x14ac:dyDescent="0.2">
      <c r="A527" s="142"/>
      <c r="B527" s="30"/>
      <c r="C527" s="30"/>
      <c r="D527" s="138"/>
      <c r="E527" s="138"/>
      <c r="F527" s="30"/>
      <c r="G527" s="30"/>
      <c r="H527" s="30"/>
      <c r="I527" s="139"/>
      <c r="J527" s="72"/>
      <c r="K527" s="327"/>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x14ac:dyDescent="0.2">
      <c r="A528" s="142"/>
      <c r="B528" s="30"/>
      <c r="C528" s="30"/>
      <c r="D528" s="138"/>
      <c r="E528" s="138"/>
      <c r="F528" s="30"/>
      <c r="G528" s="30"/>
      <c r="H528" s="30"/>
      <c r="I528" s="139"/>
      <c r="J528" s="72"/>
      <c r="K528" s="327"/>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x14ac:dyDescent="0.2">
      <c r="A529" s="142"/>
      <c r="B529" s="30"/>
      <c r="C529" s="30"/>
      <c r="D529" s="138"/>
      <c r="E529" s="138"/>
      <c r="F529" s="30"/>
      <c r="G529" s="30"/>
      <c r="H529" s="30"/>
      <c r="I529" s="139"/>
      <c r="J529" s="72"/>
      <c r="K529" s="327"/>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x14ac:dyDescent="0.2">
      <c r="A530" s="142"/>
      <c r="B530" s="30"/>
      <c r="C530" s="30"/>
      <c r="D530" s="138"/>
      <c r="E530" s="138"/>
      <c r="F530" s="30"/>
      <c r="G530" s="30"/>
      <c r="H530" s="30"/>
      <c r="I530" s="139"/>
      <c r="J530" s="72"/>
      <c r="K530" s="327"/>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x14ac:dyDescent="0.2">
      <c r="A531" s="142"/>
      <c r="B531" s="30"/>
      <c r="C531" s="30"/>
      <c r="D531" s="138"/>
      <c r="E531" s="138"/>
      <c r="F531" s="30"/>
      <c r="G531" s="30"/>
      <c r="H531" s="30"/>
      <c r="I531" s="139"/>
      <c r="J531" s="72"/>
      <c r="K531" s="327"/>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x14ac:dyDescent="0.2">
      <c r="A532" s="142"/>
      <c r="B532" s="30"/>
      <c r="C532" s="30"/>
      <c r="D532" s="138"/>
      <c r="E532" s="138"/>
      <c r="F532" s="30"/>
      <c r="G532" s="30"/>
      <c r="H532" s="30"/>
      <c r="I532" s="139"/>
      <c r="J532" s="72"/>
      <c r="K532" s="327"/>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x14ac:dyDescent="0.2">
      <c r="A533" s="142"/>
      <c r="B533" s="30"/>
      <c r="C533" s="30"/>
      <c r="D533" s="138"/>
      <c r="E533" s="138"/>
      <c r="F533" s="30"/>
      <c r="G533" s="30"/>
      <c r="H533" s="30"/>
      <c r="I533" s="139"/>
      <c r="J533" s="72"/>
      <c r="K533" s="327"/>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x14ac:dyDescent="0.2">
      <c r="A534" s="142"/>
      <c r="B534" s="30"/>
      <c r="C534" s="30"/>
      <c r="D534" s="138"/>
      <c r="E534" s="138"/>
      <c r="F534" s="30"/>
      <c r="G534" s="30"/>
      <c r="H534" s="30"/>
      <c r="I534" s="139"/>
      <c r="J534" s="72"/>
      <c r="K534" s="327"/>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x14ac:dyDescent="0.2">
      <c r="A535" s="142"/>
      <c r="B535" s="30"/>
      <c r="C535" s="30"/>
      <c r="D535" s="138"/>
      <c r="E535" s="138"/>
      <c r="F535" s="30"/>
      <c r="G535" s="30"/>
      <c r="H535" s="30"/>
      <c r="I535" s="139"/>
      <c r="J535" s="72"/>
      <c r="K535" s="327"/>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x14ac:dyDescent="0.2">
      <c r="A536" s="142"/>
      <c r="B536" s="30"/>
      <c r="C536" s="30"/>
      <c r="D536" s="138"/>
      <c r="E536" s="138"/>
      <c r="F536" s="30"/>
      <c r="G536" s="30"/>
      <c r="H536" s="30"/>
      <c r="I536" s="139"/>
      <c r="J536" s="72"/>
      <c r="K536" s="327"/>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x14ac:dyDescent="0.2">
      <c r="A537" s="142"/>
      <c r="B537" s="30"/>
      <c r="C537" s="30"/>
      <c r="D537" s="138"/>
      <c r="E537" s="138"/>
      <c r="F537" s="30"/>
      <c r="G537" s="30"/>
      <c r="H537" s="30"/>
      <c r="I537" s="139"/>
      <c r="J537" s="72"/>
      <c r="K537" s="327"/>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x14ac:dyDescent="0.2">
      <c r="A538" s="142"/>
      <c r="B538" s="30"/>
      <c r="C538" s="30"/>
      <c r="D538" s="138"/>
      <c r="E538" s="138"/>
      <c r="F538" s="30"/>
      <c r="G538" s="30"/>
      <c r="H538" s="30"/>
      <c r="I538" s="139"/>
      <c r="J538" s="72"/>
      <c r="K538" s="327"/>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x14ac:dyDescent="0.2">
      <c r="A539" s="142"/>
      <c r="B539" s="30"/>
      <c r="C539" s="30"/>
      <c r="D539" s="138"/>
      <c r="E539" s="138"/>
      <c r="F539" s="30"/>
      <c r="G539" s="30"/>
      <c r="H539" s="30"/>
      <c r="I539" s="139"/>
      <c r="J539" s="72"/>
      <c r="K539" s="327"/>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x14ac:dyDescent="0.2">
      <c r="A540" s="142"/>
      <c r="B540" s="30"/>
      <c r="C540" s="30"/>
      <c r="D540" s="138"/>
      <c r="E540" s="138"/>
      <c r="F540" s="30"/>
      <c r="G540" s="30"/>
      <c r="H540" s="30"/>
      <c r="I540" s="139"/>
      <c r="J540" s="72"/>
      <c r="K540" s="327"/>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x14ac:dyDescent="0.2">
      <c r="A541" s="142"/>
      <c r="B541" s="30"/>
      <c r="C541" s="30"/>
      <c r="D541" s="138"/>
      <c r="E541" s="138"/>
      <c r="F541" s="30"/>
      <c r="G541" s="30"/>
      <c r="H541" s="30"/>
      <c r="I541" s="139"/>
      <c r="J541" s="72"/>
      <c r="K541" s="327"/>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x14ac:dyDescent="0.2">
      <c r="A542" s="142"/>
      <c r="B542" s="30"/>
      <c r="C542" s="30"/>
      <c r="D542" s="138"/>
      <c r="E542" s="138"/>
      <c r="F542" s="30"/>
      <c r="G542" s="30"/>
      <c r="H542" s="30"/>
      <c r="I542" s="139"/>
      <c r="J542" s="72"/>
      <c r="K542" s="327"/>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x14ac:dyDescent="0.2">
      <c r="A543" s="142"/>
      <c r="B543" s="30"/>
      <c r="C543" s="30"/>
      <c r="D543" s="138"/>
      <c r="E543" s="138"/>
      <c r="F543" s="30"/>
      <c r="G543" s="30"/>
      <c r="H543" s="30"/>
      <c r="I543" s="139"/>
      <c r="J543" s="72"/>
      <c r="K543" s="327"/>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x14ac:dyDescent="0.2">
      <c r="A544" s="142"/>
      <c r="B544" s="30"/>
      <c r="C544" s="30"/>
      <c r="D544" s="138"/>
      <c r="E544" s="138"/>
      <c r="F544" s="30"/>
      <c r="G544" s="30"/>
      <c r="H544" s="30"/>
      <c r="I544" s="139"/>
      <c r="J544" s="72"/>
      <c r="K544" s="327"/>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x14ac:dyDescent="0.2">
      <c r="A545" s="142"/>
      <c r="B545" s="30"/>
      <c r="C545" s="30"/>
      <c r="D545" s="138"/>
      <c r="E545" s="138"/>
      <c r="F545" s="30"/>
      <c r="G545" s="30"/>
      <c r="H545" s="30"/>
      <c r="I545" s="139"/>
      <c r="J545" s="72"/>
      <c r="K545" s="327"/>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x14ac:dyDescent="0.2">
      <c r="A546" s="142"/>
      <c r="B546" s="30"/>
      <c r="C546" s="30"/>
      <c r="D546" s="138"/>
      <c r="E546" s="138"/>
      <c r="F546" s="30"/>
      <c r="G546" s="30"/>
      <c r="H546" s="30"/>
      <c r="I546" s="139"/>
      <c r="J546" s="72"/>
      <c r="K546" s="327"/>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x14ac:dyDescent="0.2">
      <c r="A547" s="142"/>
      <c r="B547" s="30"/>
      <c r="C547" s="30"/>
      <c r="D547" s="138"/>
      <c r="E547" s="138"/>
      <c r="F547" s="30"/>
      <c r="G547" s="30"/>
      <c r="H547" s="30"/>
      <c r="I547" s="139"/>
      <c r="J547" s="72"/>
      <c r="K547" s="327"/>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x14ac:dyDescent="0.2">
      <c r="A548" s="142"/>
      <c r="B548" s="30"/>
      <c r="C548" s="30"/>
      <c r="D548" s="138"/>
      <c r="E548" s="138"/>
      <c r="F548" s="30"/>
      <c r="G548" s="30"/>
      <c r="H548" s="30"/>
      <c r="I548" s="139"/>
      <c r="J548" s="72"/>
      <c r="K548" s="327"/>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x14ac:dyDescent="0.2">
      <c r="A549" s="142"/>
      <c r="B549" s="30"/>
      <c r="C549" s="30"/>
      <c r="D549" s="138"/>
      <c r="E549" s="138"/>
      <c r="F549" s="30"/>
      <c r="G549" s="30"/>
      <c r="H549" s="30"/>
      <c r="I549" s="139"/>
      <c r="J549" s="72"/>
      <c r="K549" s="327"/>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x14ac:dyDescent="0.2">
      <c r="A550" s="142"/>
      <c r="B550" s="30"/>
      <c r="C550" s="30"/>
      <c r="D550" s="138"/>
      <c r="E550" s="138"/>
      <c r="F550" s="30"/>
      <c r="G550" s="30"/>
      <c r="H550" s="30"/>
      <c r="I550" s="139"/>
      <c r="J550" s="72"/>
      <c r="K550" s="327"/>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x14ac:dyDescent="0.2">
      <c r="A551" s="142"/>
      <c r="B551" s="30"/>
      <c r="C551" s="30"/>
      <c r="D551" s="138"/>
      <c r="E551" s="138"/>
      <c r="F551" s="30"/>
      <c r="G551" s="30"/>
      <c r="H551" s="30"/>
      <c r="I551" s="139"/>
      <c r="J551" s="72"/>
      <c r="K551" s="327"/>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x14ac:dyDescent="0.2">
      <c r="A552" s="142"/>
      <c r="B552" s="30"/>
      <c r="C552" s="30"/>
      <c r="D552" s="138"/>
      <c r="E552" s="138"/>
      <c r="F552" s="30"/>
      <c r="G552" s="30"/>
      <c r="H552" s="30"/>
      <c r="I552" s="139"/>
      <c r="J552" s="72"/>
      <c r="K552" s="327"/>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x14ac:dyDescent="0.2">
      <c r="A553" s="142"/>
      <c r="B553" s="30"/>
      <c r="C553" s="30"/>
      <c r="D553" s="138"/>
      <c r="E553" s="138"/>
      <c r="F553" s="30"/>
      <c r="G553" s="30"/>
      <c r="H553" s="30"/>
      <c r="I553" s="139"/>
      <c r="J553" s="72"/>
      <c r="K553" s="327"/>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x14ac:dyDescent="0.2">
      <c r="A554" s="142"/>
      <c r="B554" s="30"/>
      <c r="C554" s="30"/>
      <c r="D554" s="138"/>
      <c r="E554" s="138"/>
      <c r="F554" s="30"/>
      <c r="G554" s="30"/>
      <c r="H554" s="30"/>
      <c r="I554" s="139"/>
      <c r="J554" s="72"/>
      <c r="K554" s="327"/>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x14ac:dyDescent="0.2">
      <c r="A555" s="142"/>
      <c r="B555" s="30"/>
      <c r="C555" s="30"/>
      <c r="D555" s="138"/>
      <c r="E555" s="138"/>
      <c r="F555" s="30"/>
      <c r="G555" s="30"/>
      <c r="H555" s="30"/>
      <c r="I555" s="139"/>
      <c r="J555" s="72"/>
      <c r="K555" s="327"/>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x14ac:dyDescent="0.2">
      <c r="A556" s="142"/>
      <c r="B556" s="30"/>
      <c r="C556" s="30"/>
      <c r="D556" s="138"/>
      <c r="E556" s="138"/>
      <c r="F556" s="30"/>
      <c r="G556" s="30"/>
      <c r="H556" s="30"/>
      <c r="I556" s="139"/>
      <c r="J556" s="72"/>
      <c r="K556" s="327"/>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x14ac:dyDescent="0.2">
      <c r="A557" s="142"/>
      <c r="B557" s="30"/>
      <c r="C557" s="30"/>
      <c r="D557" s="138"/>
      <c r="E557" s="138"/>
      <c r="F557" s="30"/>
      <c r="G557" s="30"/>
      <c r="H557" s="30"/>
      <c r="I557" s="139"/>
      <c r="J557" s="72"/>
      <c r="K557" s="327"/>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x14ac:dyDescent="0.2">
      <c r="A558" s="142"/>
      <c r="B558" s="30"/>
      <c r="C558" s="30"/>
      <c r="D558" s="138"/>
      <c r="E558" s="138"/>
      <c r="F558" s="30"/>
      <c r="G558" s="30"/>
      <c r="H558" s="30"/>
      <c r="I558" s="139"/>
      <c r="J558" s="72"/>
      <c r="K558" s="327"/>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x14ac:dyDescent="0.2">
      <c r="A559" s="142"/>
      <c r="B559" s="30"/>
      <c r="C559" s="30"/>
      <c r="D559" s="138"/>
      <c r="E559" s="138"/>
      <c r="F559" s="30"/>
      <c r="G559" s="30"/>
      <c r="H559" s="30"/>
      <c r="I559" s="139"/>
      <c r="J559" s="72"/>
      <c r="K559" s="327"/>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x14ac:dyDescent="0.2">
      <c r="A560" s="142"/>
      <c r="B560" s="30"/>
      <c r="C560" s="30"/>
      <c r="D560" s="138"/>
      <c r="E560" s="138"/>
      <c r="F560" s="30"/>
      <c r="G560" s="30"/>
      <c r="H560" s="30"/>
      <c r="I560" s="139"/>
      <c r="J560" s="72"/>
      <c r="K560" s="327"/>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x14ac:dyDescent="0.2">
      <c r="A561" s="142"/>
      <c r="B561" s="30"/>
      <c r="C561" s="30"/>
      <c r="D561" s="138"/>
      <c r="E561" s="138"/>
      <c r="F561" s="30"/>
      <c r="G561" s="30"/>
      <c r="H561" s="30"/>
      <c r="I561" s="139"/>
      <c r="J561" s="72"/>
      <c r="K561" s="327"/>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x14ac:dyDescent="0.2">
      <c r="A562" s="142"/>
      <c r="B562" s="30"/>
      <c r="C562" s="30"/>
      <c r="D562" s="138"/>
      <c r="E562" s="138"/>
      <c r="F562" s="30"/>
      <c r="G562" s="30"/>
      <c r="H562" s="30"/>
      <c r="I562" s="139"/>
      <c r="J562" s="72"/>
      <c r="K562" s="327"/>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x14ac:dyDescent="0.2">
      <c r="A563" s="142"/>
      <c r="B563" s="30"/>
      <c r="C563" s="30"/>
      <c r="D563" s="138"/>
      <c r="E563" s="138"/>
      <c r="F563" s="30"/>
      <c r="G563" s="30"/>
      <c r="H563" s="30"/>
      <c r="I563" s="139"/>
      <c r="J563" s="72"/>
      <c r="K563" s="327"/>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x14ac:dyDescent="0.2">
      <c r="A564" s="142"/>
      <c r="B564" s="30"/>
      <c r="C564" s="30"/>
      <c r="D564" s="138"/>
      <c r="E564" s="138"/>
      <c r="F564" s="30"/>
      <c r="G564" s="30"/>
      <c r="H564" s="30"/>
      <c r="I564" s="139"/>
      <c r="J564" s="72"/>
      <c r="K564" s="327"/>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x14ac:dyDescent="0.2">
      <c r="A565" s="142"/>
      <c r="B565" s="30"/>
      <c r="C565" s="30"/>
      <c r="D565" s="138"/>
      <c r="E565" s="138"/>
      <c r="F565" s="30"/>
      <c r="G565" s="30"/>
      <c r="H565" s="30"/>
      <c r="I565" s="139"/>
      <c r="J565" s="72"/>
      <c r="K565" s="327"/>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x14ac:dyDescent="0.2">
      <c r="A566" s="142"/>
      <c r="B566" s="30"/>
      <c r="C566" s="30"/>
      <c r="D566" s="138"/>
      <c r="E566" s="138"/>
      <c r="F566" s="30"/>
      <c r="G566" s="30"/>
      <c r="H566" s="30"/>
      <c r="I566" s="139"/>
      <c r="J566" s="72"/>
      <c r="K566" s="327"/>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x14ac:dyDescent="0.2">
      <c r="A567" s="142"/>
      <c r="B567" s="30"/>
      <c r="C567" s="30"/>
      <c r="D567" s="138"/>
      <c r="E567" s="138"/>
      <c r="F567" s="30"/>
      <c r="G567" s="30"/>
      <c r="H567" s="30"/>
      <c r="I567" s="139"/>
      <c r="J567" s="72"/>
      <c r="K567" s="327"/>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x14ac:dyDescent="0.2">
      <c r="A568" s="142"/>
      <c r="B568" s="30"/>
      <c r="C568" s="30"/>
      <c r="D568" s="138"/>
      <c r="E568" s="138"/>
      <c r="F568" s="30"/>
      <c r="G568" s="30"/>
      <c r="H568" s="30"/>
      <c r="I568" s="139"/>
      <c r="J568" s="72"/>
      <c r="K568" s="327"/>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x14ac:dyDescent="0.2">
      <c r="A569" s="142"/>
      <c r="B569" s="30"/>
      <c r="C569" s="30"/>
      <c r="D569" s="138"/>
      <c r="E569" s="138"/>
      <c r="F569" s="30"/>
      <c r="G569" s="30"/>
      <c r="H569" s="30"/>
      <c r="I569" s="139"/>
      <c r="J569" s="72"/>
      <c r="K569" s="327"/>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x14ac:dyDescent="0.2">
      <c r="A570" s="142"/>
      <c r="B570" s="30"/>
      <c r="C570" s="30"/>
      <c r="D570" s="138"/>
      <c r="E570" s="138"/>
      <c r="F570" s="30"/>
      <c r="G570" s="30"/>
      <c r="H570" s="30"/>
      <c r="I570" s="139"/>
      <c r="J570" s="72"/>
      <c r="K570" s="327"/>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x14ac:dyDescent="0.2">
      <c r="A571" s="142"/>
      <c r="B571" s="30"/>
      <c r="C571" s="30"/>
      <c r="D571" s="138"/>
      <c r="E571" s="138"/>
      <c r="F571" s="30"/>
      <c r="G571" s="30"/>
      <c r="H571" s="30"/>
      <c r="I571" s="139"/>
      <c r="J571" s="72"/>
      <c r="K571" s="327"/>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x14ac:dyDescent="0.2">
      <c r="A572" s="142"/>
      <c r="B572" s="30"/>
      <c r="C572" s="30"/>
      <c r="D572" s="138"/>
      <c r="E572" s="138"/>
      <c r="F572" s="30"/>
      <c r="G572" s="30"/>
      <c r="H572" s="30"/>
      <c r="I572" s="139"/>
      <c r="J572" s="72"/>
      <c r="K572" s="327"/>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x14ac:dyDescent="0.2">
      <c r="A573" s="142"/>
      <c r="B573" s="30"/>
      <c r="C573" s="30"/>
      <c r="D573" s="138"/>
      <c r="E573" s="138"/>
      <c r="F573" s="30"/>
      <c r="G573" s="30"/>
      <c r="H573" s="30"/>
      <c r="I573" s="139"/>
      <c r="J573" s="72"/>
      <c r="K573" s="327"/>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x14ac:dyDescent="0.2">
      <c r="A574" s="142"/>
      <c r="B574" s="30"/>
      <c r="C574" s="30"/>
      <c r="D574" s="138"/>
      <c r="E574" s="138"/>
      <c r="F574" s="30"/>
      <c r="G574" s="30"/>
      <c r="H574" s="30"/>
      <c r="I574" s="139"/>
      <c r="J574" s="72"/>
      <c r="K574" s="327"/>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x14ac:dyDescent="0.2">
      <c r="A575" s="142"/>
      <c r="B575" s="30"/>
      <c r="C575" s="30"/>
      <c r="D575" s="138"/>
      <c r="E575" s="138"/>
      <c r="F575" s="30"/>
      <c r="G575" s="30"/>
      <c r="H575" s="30"/>
      <c r="I575" s="139"/>
      <c r="J575" s="72"/>
      <c r="K575" s="327"/>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x14ac:dyDescent="0.2">
      <c r="A576" s="142"/>
      <c r="B576" s="30"/>
      <c r="C576" s="30"/>
      <c r="D576" s="138"/>
      <c r="E576" s="138"/>
      <c r="F576" s="30"/>
      <c r="G576" s="30"/>
      <c r="H576" s="30"/>
      <c r="I576" s="139"/>
      <c r="J576" s="72"/>
      <c r="K576" s="327"/>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x14ac:dyDescent="0.2">
      <c r="A577" s="142"/>
      <c r="B577" s="30"/>
      <c r="C577" s="30"/>
      <c r="D577" s="138"/>
      <c r="E577" s="138"/>
      <c r="F577" s="30"/>
      <c r="G577" s="30"/>
      <c r="H577" s="30"/>
      <c r="I577" s="139"/>
      <c r="J577" s="72"/>
      <c r="K577" s="327"/>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x14ac:dyDescent="0.2">
      <c r="A578" s="142"/>
      <c r="B578" s="30"/>
      <c r="C578" s="30"/>
      <c r="D578" s="138"/>
      <c r="E578" s="138"/>
      <c r="F578" s="30"/>
      <c r="G578" s="30"/>
      <c r="H578" s="30"/>
      <c r="I578" s="139"/>
      <c r="J578" s="72"/>
      <c r="K578" s="327"/>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x14ac:dyDescent="0.2">
      <c r="A579" s="142"/>
      <c r="B579" s="30"/>
      <c r="C579" s="30"/>
      <c r="D579" s="138"/>
      <c r="E579" s="138"/>
      <c r="F579" s="30"/>
      <c r="G579" s="30"/>
      <c r="H579" s="30"/>
      <c r="I579" s="139"/>
      <c r="J579" s="72"/>
      <c r="K579" s="327"/>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x14ac:dyDescent="0.2">
      <c r="A580" s="142"/>
      <c r="B580" s="30"/>
      <c r="C580" s="30"/>
      <c r="D580" s="138"/>
      <c r="E580" s="138"/>
      <c r="F580" s="30"/>
      <c r="G580" s="30"/>
      <c r="H580" s="30"/>
      <c r="I580" s="139"/>
      <c r="J580" s="72"/>
      <c r="K580" s="327"/>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x14ac:dyDescent="0.2">
      <c r="A581" s="142"/>
      <c r="B581" s="30"/>
      <c r="C581" s="30"/>
      <c r="D581" s="138"/>
      <c r="E581" s="138"/>
      <c r="F581" s="30"/>
      <c r="G581" s="30"/>
      <c r="H581" s="30"/>
      <c r="I581" s="139"/>
      <c r="J581" s="72"/>
      <c r="K581" s="327"/>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x14ac:dyDescent="0.2">
      <c r="A582" s="142"/>
      <c r="B582" s="30"/>
      <c r="C582" s="30"/>
      <c r="D582" s="138"/>
      <c r="E582" s="138"/>
      <c r="F582" s="30"/>
      <c r="G582" s="30"/>
      <c r="H582" s="30"/>
      <c r="I582" s="139"/>
      <c r="J582" s="72"/>
      <c r="K582" s="327"/>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x14ac:dyDescent="0.2">
      <c r="A583" s="142"/>
      <c r="B583" s="30"/>
      <c r="C583" s="30"/>
      <c r="D583" s="138"/>
      <c r="E583" s="138"/>
      <c r="F583" s="30"/>
      <c r="G583" s="30"/>
      <c r="H583" s="30"/>
      <c r="I583" s="139"/>
      <c r="J583" s="72"/>
      <c r="K583" s="327"/>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x14ac:dyDescent="0.2">
      <c r="A584" s="142"/>
      <c r="B584" s="30"/>
      <c r="C584" s="30"/>
      <c r="D584" s="138"/>
      <c r="E584" s="138"/>
      <c r="F584" s="30"/>
      <c r="G584" s="30"/>
      <c r="H584" s="30"/>
      <c r="I584" s="139"/>
      <c r="J584" s="72"/>
      <c r="K584" s="327"/>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x14ac:dyDescent="0.2">
      <c r="A585" s="142"/>
      <c r="B585" s="30"/>
      <c r="C585" s="30"/>
      <c r="D585" s="138"/>
      <c r="E585" s="138"/>
      <c r="F585" s="30"/>
      <c r="G585" s="30"/>
      <c r="H585" s="30"/>
      <c r="I585" s="139"/>
      <c r="J585" s="72"/>
      <c r="K585" s="327"/>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x14ac:dyDescent="0.2">
      <c r="A586" s="142"/>
      <c r="B586" s="30"/>
      <c r="C586" s="30"/>
      <c r="D586" s="138"/>
      <c r="E586" s="138"/>
      <c r="F586" s="30"/>
      <c r="G586" s="30"/>
      <c r="H586" s="30"/>
      <c r="I586" s="139"/>
      <c r="J586" s="72"/>
      <c r="K586" s="327"/>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x14ac:dyDescent="0.2">
      <c r="A587" s="142"/>
      <c r="B587" s="30"/>
      <c r="C587" s="30"/>
      <c r="D587" s="138"/>
      <c r="E587" s="138"/>
      <c r="F587" s="30"/>
      <c r="G587" s="30"/>
      <c r="H587" s="30"/>
      <c r="I587" s="139"/>
      <c r="J587" s="72"/>
      <c r="K587" s="327"/>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x14ac:dyDescent="0.2">
      <c r="A588" s="142"/>
      <c r="B588" s="30"/>
      <c r="C588" s="30"/>
      <c r="D588" s="138"/>
      <c r="E588" s="138"/>
      <c r="F588" s="30"/>
      <c r="G588" s="30"/>
      <c r="H588" s="30"/>
      <c r="I588" s="139"/>
      <c r="J588" s="72"/>
      <c r="K588" s="327"/>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x14ac:dyDescent="0.2">
      <c r="A589" s="142"/>
      <c r="B589" s="30"/>
      <c r="C589" s="30"/>
      <c r="D589" s="138"/>
      <c r="E589" s="138"/>
      <c r="F589" s="30"/>
      <c r="G589" s="30"/>
      <c r="H589" s="30"/>
      <c r="I589" s="139"/>
      <c r="J589" s="72"/>
      <c r="K589" s="327"/>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x14ac:dyDescent="0.2">
      <c r="A590" s="142"/>
      <c r="B590" s="30"/>
      <c r="C590" s="30"/>
      <c r="D590" s="138"/>
      <c r="E590" s="138"/>
      <c r="F590" s="30"/>
      <c r="G590" s="30"/>
      <c r="H590" s="30"/>
      <c r="I590" s="139"/>
      <c r="J590" s="72"/>
      <c r="K590" s="327"/>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x14ac:dyDescent="0.2">
      <c r="A591" s="142"/>
      <c r="B591" s="30"/>
      <c r="C591" s="30"/>
      <c r="D591" s="138"/>
      <c r="E591" s="138"/>
      <c r="F591" s="30"/>
      <c r="G591" s="30"/>
      <c r="H591" s="30"/>
      <c r="I591" s="139"/>
      <c r="J591" s="72"/>
      <c r="K591" s="327"/>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x14ac:dyDescent="0.2">
      <c r="A592" s="142"/>
      <c r="B592" s="30"/>
      <c r="C592" s="30"/>
      <c r="D592" s="138"/>
      <c r="E592" s="138"/>
      <c r="F592" s="30"/>
      <c r="G592" s="30"/>
      <c r="H592" s="30"/>
      <c r="I592" s="139"/>
      <c r="J592" s="72"/>
      <c r="K592" s="327"/>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x14ac:dyDescent="0.2">
      <c r="A593" s="142"/>
      <c r="B593" s="30"/>
      <c r="C593" s="30"/>
      <c r="D593" s="138"/>
      <c r="E593" s="138"/>
      <c r="F593" s="30"/>
      <c r="G593" s="30"/>
      <c r="H593" s="30"/>
      <c r="I593" s="139"/>
      <c r="J593" s="72"/>
      <c r="K593" s="327"/>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x14ac:dyDescent="0.2">
      <c r="A594" s="142"/>
      <c r="B594" s="30"/>
      <c r="C594" s="30"/>
      <c r="D594" s="138"/>
      <c r="E594" s="138"/>
      <c r="F594" s="30"/>
      <c r="G594" s="30"/>
      <c r="H594" s="30"/>
      <c r="I594" s="139"/>
      <c r="J594" s="72"/>
      <c r="K594" s="327"/>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x14ac:dyDescent="0.2">
      <c r="A595" s="142"/>
      <c r="B595" s="30"/>
      <c r="C595" s="30"/>
      <c r="D595" s="138"/>
      <c r="E595" s="138"/>
      <c r="F595" s="30"/>
      <c r="G595" s="30"/>
      <c r="H595" s="30"/>
      <c r="I595" s="139"/>
      <c r="J595" s="72"/>
      <c r="K595" s="327"/>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x14ac:dyDescent="0.2">
      <c r="A596" s="142"/>
      <c r="B596" s="30"/>
      <c r="C596" s="30"/>
      <c r="D596" s="138"/>
      <c r="E596" s="138"/>
      <c r="F596" s="30"/>
      <c r="G596" s="30"/>
      <c r="H596" s="30"/>
      <c r="I596" s="139"/>
      <c r="J596" s="72"/>
      <c r="K596" s="327"/>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x14ac:dyDescent="0.2">
      <c r="A597" s="142"/>
      <c r="B597" s="30"/>
      <c r="C597" s="30"/>
      <c r="D597" s="138"/>
      <c r="E597" s="138"/>
      <c r="F597" s="30"/>
      <c r="G597" s="30"/>
      <c r="H597" s="30"/>
      <c r="I597" s="139"/>
      <c r="J597" s="72"/>
      <c r="K597" s="327"/>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x14ac:dyDescent="0.2">
      <c r="A598" s="142"/>
      <c r="B598" s="30"/>
      <c r="C598" s="30"/>
      <c r="D598" s="138"/>
      <c r="E598" s="138"/>
      <c r="F598" s="30"/>
      <c r="G598" s="30"/>
      <c r="H598" s="30"/>
      <c r="I598" s="139"/>
      <c r="J598" s="72"/>
      <c r="K598" s="327"/>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x14ac:dyDescent="0.2">
      <c r="A599" s="142"/>
      <c r="B599" s="30"/>
      <c r="C599" s="30"/>
      <c r="D599" s="138"/>
      <c r="E599" s="138"/>
      <c r="F599" s="30"/>
      <c r="G599" s="30"/>
      <c r="H599" s="30"/>
      <c r="I599" s="139"/>
      <c r="J599" s="72"/>
      <c r="K599" s="327"/>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x14ac:dyDescent="0.2">
      <c r="A600" s="142"/>
      <c r="B600" s="30"/>
      <c r="C600" s="30"/>
      <c r="D600" s="138"/>
      <c r="E600" s="138"/>
      <c r="F600" s="30"/>
      <c r="G600" s="30"/>
      <c r="H600" s="30"/>
      <c r="I600" s="139"/>
      <c r="J600" s="72"/>
      <c r="K600" s="327"/>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x14ac:dyDescent="0.2">
      <c r="A601" s="142"/>
      <c r="B601" s="30"/>
      <c r="C601" s="30"/>
      <c r="D601" s="138"/>
      <c r="E601" s="138"/>
      <c r="F601" s="30"/>
      <c r="G601" s="30"/>
      <c r="H601" s="30"/>
      <c r="I601" s="139"/>
      <c r="J601" s="72"/>
      <c r="K601" s="327"/>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x14ac:dyDescent="0.2">
      <c r="A602" s="142"/>
      <c r="B602" s="30"/>
      <c r="C602" s="30"/>
      <c r="D602" s="138"/>
      <c r="E602" s="138"/>
      <c r="F602" s="30"/>
      <c r="G602" s="30"/>
      <c r="H602" s="30"/>
      <c r="I602" s="139"/>
      <c r="J602" s="72"/>
      <c r="K602" s="327"/>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x14ac:dyDescent="0.2">
      <c r="A603" s="142"/>
      <c r="B603" s="30"/>
      <c r="C603" s="30"/>
      <c r="D603" s="138"/>
      <c r="E603" s="138"/>
      <c r="F603" s="30"/>
      <c r="G603" s="30"/>
      <c r="H603" s="30"/>
      <c r="I603" s="139"/>
      <c r="J603" s="72"/>
      <c r="K603" s="327"/>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x14ac:dyDescent="0.2">
      <c r="A604" s="142"/>
      <c r="B604" s="30"/>
      <c r="C604" s="30"/>
      <c r="D604" s="138"/>
      <c r="E604" s="138"/>
      <c r="F604" s="30"/>
      <c r="G604" s="30"/>
      <c r="H604" s="30"/>
      <c r="I604" s="139"/>
      <c r="J604" s="72"/>
      <c r="K604" s="327"/>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x14ac:dyDescent="0.2">
      <c r="A605" s="142"/>
      <c r="B605" s="30"/>
      <c r="C605" s="30"/>
      <c r="D605" s="138"/>
      <c r="E605" s="138"/>
      <c r="F605" s="30"/>
      <c r="G605" s="30"/>
      <c r="H605" s="30"/>
      <c r="I605" s="139"/>
      <c r="J605" s="72"/>
      <c r="K605" s="327"/>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x14ac:dyDescent="0.2">
      <c r="A606" s="142"/>
      <c r="B606" s="30"/>
      <c r="C606" s="30"/>
      <c r="D606" s="138"/>
      <c r="E606" s="138"/>
      <c r="F606" s="30"/>
      <c r="G606" s="30"/>
      <c r="H606" s="30"/>
      <c r="I606" s="139"/>
      <c r="J606" s="72"/>
      <c r="K606" s="327"/>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x14ac:dyDescent="0.2">
      <c r="A607" s="142"/>
      <c r="B607" s="30"/>
      <c r="C607" s="30"/>
      <c r="D607" s="138"/>
      <c r="E607" s="138"/>
      <c r="F607" s="30"/>
      <c r="G607" s="30"/>
      <c r="H607" s="30"/>
      <c r="I607" s="139"/>
      <c r="J607" s="72"/>
      <c r="K607" s="327"/>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x14ac:dyDescent="0.2">
      <c r="A608" s="142"/>
      <c r="B608" s="30"/>
      <c r="C608" s="30"/>
      <c r="D608" s="138"/>
      <c r="E608" s="138"/>
      <c r="F608" s="30"/>
      <c r="G608" s="30"/>
      <c r="H608" s="30"/>
      <c r="I608" s="139"/>
      <c r="J608" s="72"/>
      <c r="K608" s="327"/>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x14ac:dyDescent="0.2">
      <c r="A609" s="142"/>
      <c r="B609" s="30"/>
      <c r="C609" s="30"/>
      <c r="D609" s="138"/>
      <c r="E609" s="138"/>
      <c r="F609" s="30"/>
      <c r="G609" s="30"/>
      <c r="H609" s="30"/>
      <c r="I609" s="139"/>
      <c r="J609" s="72"/>
      <c r="K609" s="327"/>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x14ac:dyDescent="0.2">
      <c r="A610" s="142"/>
      <c r="B610" s="30"/>
      <c r="C610" s="30"/>
      <c r="D610" s="138"/>
      <c r="E610" s="138"/>
      <c r="F610" s="30"/>
      <c r="G610" s="30"/>
      <c r="H610" s="30"/>
      <c r="I610" s="139"/>
      <c r="J610" s="72"/>
      <c r="K610" s="327"/>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x14ac:dyDescent="0.2">
      <c r="A611" s="142"/>
      <c r="B611" s="30"/>
      <c r="C611" s="30"/>
      <c r="D611" s="138"/>
      <c r="E611" s="138"/>
      <c r="F611" s="30"/>
      <c r="G611" s="30"/>
      <c r="H611" s="30"/>
      <c r="I611" s="139"/>
      <c r="J611" s="72"/>
      <c r="K611" s="327"/>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x14ac:dyDescent="0.2">
      <c r="A612" s="142"/>
      <c r="B612" s="30"/>
      <c r="C612" s="30"/>
      <c r="D612" s="138"/>
      <c r="E612" s="138"/>
      <c r="F612" s="30"/>
      <c r="G612" s="30"/>
      <c r="H612" s="30"/>
      <c r="I612" s="139"/>
      <c r="J612" s="72"/>
      <c r="K612" s="327"/>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x14ac:dyDescent="0.2">
      <c r="A613" s="142"/>
      <c r="B613" s="30"/>
      <c r="C613" s="30"/>
      <c r="D613" s="138"/>
      <c r="E613" s="138"/>
      <c r="F613" s="30"/>
      <c r="G613" s="30"/>
      <c r="H613" s="30"/>
      <c r="I613" s="139"/>
      <c r="J613" s="72"/>
      <c r="K613" s="327"/>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x14ac:dyDescent="0.2">
      <c r="A614" s="142"/>
      <c r="B614" s="30"/>
      <c r="C614" s="30"/>
      <c r="D614" s="138"/>
      <c r="E614" s="138"/>
      <c r="F614" s="30"/>
      <c r="G614" s="30"/>
      <c r="H614" s="30"/>
      <c r="I614" s="139"/>
      <c r="J614" s="72"/>
      <c r="K614" s="327"/>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x14ac:dyDescent="0.2">
      <c r="A615" s="142"/>
      <c r="B615" s="30"/>
      <c r="C615" s="30"/>
      <c r="D615" s="138"/>
      <c r="E615" s="138"/>
      <c r="F615" s="30"/>
      <c r="G615" s="30"/>
      <c r="H615" s="30"/>
      <c r="I615" s="139"/>
      <c r="J615" s="72"/>
      <c r="K615" s="327"/>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x14ac:dyDescent="0.2">
      <c r="A616" s="142"/>
      <c r="B616" s="30"/>
      <c r="C616" s="30"/>
      <c r="D616" s="138"/>
      <c r="E616" s="138"/>
      <c r="F616" s="30"/>
      <c r="G616" s="30"/>
      <c r="H616" s="30"/>
      <c r="I616" s="139"/>
      <c r="J616" s="72"/>
      <c r="K616" s="327"/>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x14ac:dyDescent="0.2">
      <c r="A617" s="142"/>
      <c r="B617" s="30"/>
      <c r="C617" s="30"/>
      <c r="D617" s="138"/>
      <c r="E617" s="138"/>
      <c r="F617" s="30"/>
      <c r="G617" s="30"/>
      <c r="H617" s="30"/>
      <c r="I617" s="139"/>
      <c r="J617" s="72"/>
      <c r="K617" s="327"/>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x14ac:dyDescent="0.2">
      <c r="A618" s="142"/>
      <c r="B618" s="30"/>
      <c r="C618" s="30"/>
      <c r="D618" s="138"/>
      <c r="E618" s="138"/>
      <c r="F618" s="30"/>
      <c r="G618" s="30"/>
      <c r="H618" s="30"/>
      <c r="I618" s="139"/>
      <c r="J618" s="72"/>
      <c r="K618" s="327"/>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x14ac:dyDescent="0.2">
      <c r="A619" s="142"/>
      <c r="B619" s="30"/>
      <c r="C619" s="30"/>
      <c r="D619" s="138"/>
      <c r="E619" s="138"/>
      <c r="F619" s="30"/>
      <c r="G619" s="30"/>
      <c r="H619" s="30"/>
      <c r="I619" s="139"/>
      <c r="J619" s="72"/>
      <c r="K619" s="327"/>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x14ac:dyDescent="0.2">
      <c r="A620" s="142"/>
      <c r="B620" s="30"/>
      <c r="C620" s="30"/>
      <c r="D620" s="138"/>
      <c r="E620" s="138"/>
      <c r="F620" s="30"/>
      <c r="G620" s="30"/>
      <c r="H620" s="30"/>
      <c r="I620" s="139"/>
      <c r="J620" s="72"/>
      <c r="K620" s="327"/>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x14ac:dyDescent="0.2">
      <c r="A621" s="142"/>
      <c r="B621" s="30"/>
      <c r="C621" s="30"/>
      <c r="D621" s="138"/>
      <c r="E621" s="138"/>
      <c r="F621" s="30"/>
      <c r="G621" s="30"/>
      <c r="H621" s="30"/>
      <c r="I621" s="139"/>
      <c r="J621" s="72"/>
      <c r="K621" s="327"/>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x14ac:dyDescent="0.2">
      <c r="A622" s="142"/>
      <c r="B622" s="30"/>
      <c r="C622" s="30"/>
      <c r="D622" s="138"/>
      <c r="E622" s="138"/>
      <c r="F622" s="30"/>
      <c r="G622" s="30"/>
      <c r="H622" s="30"/>
      <c r="I622" s="139"/>
      <c r="J622" s="72"/>
      <c r="K622" s="327"/>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x14ac:dyDescent="0.2">
      <c r="A623" s="142"/>
      <c r="B623" s="30"/>
      <c r="C623" s="30"/>
      <c r="D623" s="138"/>
      <c r="E623" s="138"/>
      <c r="F623" s="30"/>
      <c r="G623" s="30"/>
      <c r="H623" s="30"/>
      <c r="I623" s="139"/>
      <c r="J623" s="72"/>
      <c r="K623" s="327"/>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x14ac:dyDescent="0.2">
      <c r="A624" s="142"/>
      <c r="B624" s="30"/>
      <c r="C624" s="30"/>
      <c r="D624" s="138"/>
      <c r="E624" s="138"/>
      <c r="F624" s="30"/>
      <c r="G624" s="30"/>
      <c r="H624" s="30"/>
      <c r="I624" s="139"/>
      <c r="J624" s="72"/>
      <c r="K624" s="327"/>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x14ac:dyDescent="0.2">
      <c r="A625" s="142"/>
      <c r="B625" s="30"/>
      <c r="C625" s="30"/>
      <c r="D625" s="138"/>
      <c r="E625" s="138"/>
      <c r="F625" s="30"/>
      <c r="G625" s="30"/>
      <c r="H625" s="30"/>
      <c r="I625" s="139"/>
      <c r="J625" s="72"/>
      <c r="K625" s="327"/>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x14ac:dyDescent="0.2">
      <c r="A626" s="142"/>
      <c r="B626" s="30"/>
      <c r="C626" s="30"/>
      <c r="D626" s="138"/>
      <c r="E626" s="138"/>
      <c r="F626" s="30"/>
      <c r="G626" s="30"/>
      <c r="H626" s="30"/>
      <c r="I626" s="139"/>
      <c r="J626" s="72"/>
      <c r="K626" s="327"/>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x14ac:dyDescent="0.2">
      <c r="A627" s="142"/>
      <c r="B627" s="30"/>
      <c r="C627" s="30"/>
      <c r="D627" s="138"/>
      <c r="E627" s="138"/>
      <c r="F627" s="30"/>
      <c r="G627" s="30"/>
      <c r="H627" s="30"/>
      <c r="I627" s="139"/>
      <c r="J627" s="72"/>
      <c r="K627" s="327"/>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x14ac:dyDescent="0.2">
      <c r="A628" s="142"/>
      <c r="B628" s="30"/>
      <c r="C628" s="30"/>
      <c r="D628" s="138"/>
      <c r="E628" s="138"/>
      <c r="F628" s="30"/>
      <c r="G628" s="30"/>
      <c r="H628" s="30"/>
      <c r="I628" s="139"/>
      <c r="J628" s="72"/>
      <c r="K628" s="327"/>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x14ac:dyDescent="0.2">
      <c r="A629" s="142"/>
      <c r="B629" s="30"/>
      <c r="C629" s="30"/>
      <c r="D629" s="138"/>
      <c r="E629" s="138"/>
      <c r="F629" s="30"/>
      <c r="G629" s="30"/>
      <c r="H629" s="30"/>
      <c r="I629" s="139"/>
      <c r="J629" s="72"/>
      <c r="K629" s="327"/>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x14ac:dyDescent="0.2">
      <c r="A630" s="142"/>
      <c r="B630" s="30"/>
      <c r="C630" s="30"/>
      <c r="D630" s="138"/>
      <c r="E630" s="138"/>
      <c r="F630" s="30"/>
      <c r="G630" s="30"/>
      <c r="H630" s="30"/>
      <c r="I630" s="139"/>
      <c r="J630" s="72"/>
      <c r="K630" s="327"/>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x14ac:dyDescent="0.2">
      <c r="A631" s="142"/>
      <c r="B631" s="30"/>
      <c r="C631" s="30"/>
      <c r="D631" s="138"/>
      <c r="E631" s="138"/>
      <c r="F631" s="30"/>
      <c r="G631" s="30"/>
      <c r="H631" s="30"/>
      <c r="I631" s="139"/>
      <c r="J631" s="72"/>
      <c r="K631" s="327"/>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x14ac:dyDescent="0.2">
      <c r="A632" s="142"/>
      <c r="B632" s="30"/>
      <c r="C632" s="30"/>
      <c r="D632" s="138"/>
      <c r="E632" s="138"/>
      <c r="F632" s="30"/>
      <c r="G632" s="30"/>
      <c r="H632" s="30"/>
      <c r="I632" s="139"/>
      <c r="J632" s="72"/>
      <c r="K632" s="327"/>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x14ac:dyDescent="0.2">
      <c r="A633" s="142"/>
      <c r="B633" s="30"/>
      <c r="C633" s="30"/>
      <c r="D633" s="138"/>
      <c r="E633" s="138"/>
      <c r="F633" s="30"/>
      <c r="G633" s="30"/>
      <c r="H633" s="30"/>
      <c r="I633" s="139"/>
      <c r="J633" s="72"/>
      <c r="K633" s="327"/>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x14ac:dyDescent="0.2">
      <c r="A634" s="142"/>
      <c r="B634" s="30"/>
      <c r="C634" s="30"/>
      <c r="D634" s="138"/>
      <c r="E634" s="138"/>
      <c r="F634" s="30"/>
      <c r="G634" s="30"/>
      <c r="H634" s="30"/>
      <c r="I634" s="139"/>
      <c r="J634" s="72"/>
      <c r="K634" s="327"/>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x14ac:dyDescent="0.2">
      <c r="A635" s="142"/>
      <c r="B635" s="30"/>
      <c r="C635" s="30"/>
      <c r="D635" s="138"/>
      <c r="E635" s="138"/>
      <c r="F635" s="30"/>
      <c r="G635" s="30"/>
      <c r="H635" s="30"/>
      <c r="I635" s="139"/>
      <c r="J635" s="72"/>
      <c r="K635" s="327"/>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x14ac:dyDescent="0.2">
      <c r="A636" s="142"/>
      <c r="B636" s="30"/>
      <c r="C636" s="30"/>
      <c r="D636" s="138"/>
      <c r="E636" s="138"/>
      <c r="F636" s="30"/>
      <c r="G636" s="30"/>
      <c r="H636" s="30"/>
      <c r="I636" s="139"/>
      <c r="J636" s="72"/>
      <c r="K636" s="327"/>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x14ac:dyDescent="0.2">
      <c r="A637" s="142"/>
      <c r="B637" s="30"/>
      <c r="C637" s="30"/>
      <c r="D637" s="138"/>
      <c r="E637" s="138"/>
      <c r="F637" s="30"/>
      <c r="G637" s="30"/>
      <c r="H637" s="30"/>
      <c r="I637" s="139"/>
      <c r="J637" s="72"/>
      <c r="K637" s="327"/>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x14ac:dyDescent="0.2">
      <c r="A638" s="142"/>
      <c r="B638" s="30"/>
      <c r="C638" s="30"/>
      <c r="D638" s="138"/>
      <c r="E638" s="138"/>
      <c r="F638" s="30"/>
      <c r="G638" s="30"/>
      <c r="H638" s="30"/>
      <c r="I638" s="139"/>
      <c r="J638" s="72"/>
      <c r="K638" s="327"/>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x14ac:dyDescent="0.2">
      <c r="A639" s="142"/>
      <c r="B639" s="30"/>
      <c r="C639" s="30"/>
      <c r="D639" s="138"/>
      <c r="E639" s="138"/>
      <c r="F639" s="30"/>
      <c r="G639" s="30"/>
      <c r="H639" s="30"/>
      <c r="I639" s="139"/>
      <c r="J639" s="72"/>
      <c r="K639" s="327"/>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x14ac:dyDescent="0.2">
      <c r="A640" s="142"/>
      <c r="B640" s="30"/>
      <c r="C640" s="30"/>
      <c r="D640" s="138"/>
      <c r="E640" s="138"/>
      <c r="F640" s="30"/>
      <c r="G640" s="30"/>
      <c r="H640" s="30"/>
      <c r="I640" s="139"/>
      <c r="J640" s="72"/>
      <c r="K640" s="327"/>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x14ac:dyDescent="0.2">
      <c r="A641" s="142"/>
      <c r="B641" s="30"/>
      <c r="C641" s="30"/>
      <c r="D641" s="138"/>
      <c r="E641" s="138"/>
      <c r="F641" s="30"/>
      <c r="G641" s="30"/>
      <c r="H641" s="30"/>
      <c r="I641" s="139"/>
      <c r="J641" s="72"/>
      <c r="K641" s="327"/>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x14ac:dyDescent="0.2">
      <c r="A642" s="142"/>
      <c r="B642" s="30"/>
      <c r="C642" s="30"/>
      <c r="D642" s="138"/>
      <c r="E642" s="138"/>
      <c r="F642" s="30"/>
      <c r="G642" s="30"/>
      <c r="H642" s="30"/>
      <c r="I642" s="139"/>
      <c r="J642" s="72"/>
      <c r="K642" s="327"/>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x14ac:dyDescent="0.2">
      <c r="A643" s="142"/>
      <c r="B643" s="30"/>
      <c r="C643" s="30"/>
      <c r="D643" s="138"/>
      <c r="E643" s="138"/>
      <c r="F643" s="30"/>
      <c r="G643" s="30"/>
      <c r="H643" s="30"/>
      <c r="I643" s="139"/>
      <c r="J643" s="72"/>
      <c r="K643" s="327"/>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x14ac:dyDescent="0.2">
      <c r="A644" s="142"/>
      <c r="B644" s="30"/>
      <c r="C644" s="30"/>
      <c r="D644" s="138"/>
      <c r="E644" s="138"/>
      <c r="F644" s="30"/>
      <c r="G644" s="30"/>
      <c r="H644" s="30"/>
      <c r="I644" s="139"/>
      <c r="J644" s="72"/>
      <c r="K644" s="327"/>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x14ac:dyDescent="0.2">
      <c r="A645" s="142"/>
      <c r="B645" s="30"/>
      <c r="C645" s="30"/>
      <c r="D645" s="138"/>
      <c r="E645" s="138"/>
      <c r="F645" s="30"/>
      <c r="G645" s="30"/>
      <c r="H645" s="30"/>
      <c r="I645" s="139"/>
      <c r="J645" s="72"/>
      <c r="K645" s="327"/>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x14ac:dyDescent="0.2">
      <c r="A646" s="142"/>
      <c r="B646" s="30"/>
      <c r="C646" s="30"/>
      <c r="D646" s="138"/>
      <c r="E646" s="138"/>
      <c r="F646" s="30"/>
      <c r="G646" s="30"/>
      <c r="H646" s="30"/>
      <c r="I646" s="139"/>
      <c r="J646" s="72"/>
      <c r="K646" s="327"/>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x14ac:dyDescent="0.2">
      <c r="A647" s="142"/>
      <c r="B647" s="30"/>
      <c r="C647" s="30"/>
      <c r="D647" s="138"/>
      <c r="E647" s="138"/>
      <c r="F647" s="30"/>
      <c r="G647" s="30"/>
      <c r="H647" s="30"/>
      <c r="I647" s="139"/>
      <c r="J647" s="72"/>
      <c r="K647" s="327"/>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x14ac:dyDescent="0.2">
      <c r="A648" s="142"/>
      <c r="B648" s="30"/>
      <c r="C648" s="30"/>
      <c r="D648" s="138"/>
      <c r="E648" s="138"/>
      <c r="F648" s="30"/>
      <c r="G648" s="30"/>
      <c r="H648" s="30"/>
      <c r="I648" s="139"/>
      <c r="J648" s="72"/>
      <c r="K648" s="327"/>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x14ac:dyDescent="0.2">
      <c r="A649" s="142"/>
      <c r="B649" s="30"/>
      <c r="C649" s="30"/>
      <c r="D649" s="138"/>
      <c r="E649" s="138"/>
      <c r="F649" s="30"/>
      <c r="G649" s="30"/>
      <c r="H649" s="30"/>
      <c r="I649" s="139"/>
      <c r="J649" s="72"/>
      <c r="K649" s="327"/>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x14ac:dyDescent="0.2">
      <c r="A650" s="142"/>
      <c r="B650" s="30"/>
      <c r="C650" s="30"/>
      <c r="D650" s="138"/>
      <c r="E650" s="138"/>
      <c r="F650" s="30"/>
      <c r="G650" s="30"/>
      <c r="H650" s="30"/>
      <c r="I650" s="139"/>
      <c r="J650" s="72"/>
      <c r="K650" s="327"/>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x14ac:dyDescent="0.2">
      <c r="A651" s="142"/>
      <c r="B651" s="30"/>
      <c r="C651" s="30"/>
      <c r="D651" s="138"/>
      <c r="E651" s="138"/>
      <c r="F651" s="30"/>
      <c r="G651" s="30"/>
      <c r="H651" s="30"/>
      <c r="I651" s="139"/>
      <c r="J651" s="72"/>
      <c r="K651" s="327"/>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x14ac:dyDescent="0.2">
      <c r="A652" s="142"/>
      <c r="B652" s="30"/>
      <c r="C652" s="30"/>
      <c r="D652" s="138"/>
      <c r="E652" s="138"/>
      <c r="F652" s="30"/>
      <c r="G652" s="30"/>
      <c r="H652" s="30"/>
      <c r="I652" s="139"/>
      <c r="J652" s="72"/>
      <c r="K652" s="327"/>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x14ac:dyDescent="0.2">
      <c r="A653" s="142"/>
      <c r="B653" s="30"/>
      <c r="C653" s="30"/>
      <c r="D653" s="138"/>
      <c r="E653" s="138"/>
      <c r="F653" s="30"/>
      <c r="G653" s="30"/>
      <c r="H653" s="30"/>
      <c r="I653" s="139"/>
      <c r="J653" s="72"/>
      <c r="K653" s="327"/>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x14ac:dyDescent="0.2">
      <c r="A654" s="142"/>
      <c r="B654" s="30"/>
      <c r="C654" s="30"/>
      <c r="D654" s="138"/>
      <c r="E654" s="138"/>
      <c r="F654" s="30"/>
      <c r="G654" s="30"/>
      <c r="H654" s="30"/>
      <c r="I654" s="139"/>
      <c r="J654" s="72"/>
      <c r="K654" s="327"/>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x14ac:dyDescent="0.2">
      <c r="A655" s="142"/>
      <c r="B655" s="30"/>
      <c r="C655" s="30"/>
      <c r="D655" s="138"/>
      <c r="E655" s="138"/>
      <c r="F655" s="30"/>
      <c r="G655" s="30"/>
      <c r="H655" s="30"/>
      <c r="I655" s="139"/>
      <c r="J655" s="72"/>
      <c r="K655" s="327"/>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x14ac:dyDescent="0.2">
      <c r="A656" s="142"/>
      <c r="B656" s="30"/>
      <c r="C656" s="30"/>
      <c r="D656" s="138"/>
      <c r="E656" s="138"/>
      <c r="F656" s="30"/>
      <c r="G656" s="30"/>
      <c r="H656" s="30"/>
      <c r="I656" s="139"/>
      <c r="J656" s="72"/>
      <c r="K656" s="327"/>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x14ac:dyDescent="0.2">
      <c r="A657" s="142"/>
      <c r="B657" s="30"/>
      <c r="C657" s="30"/>
      <c r="D657" s="138"/>
      <c r="E657" s="138"/>
      <c r="F657" s="30"/>
      <c r="G657" s="30"/>
      <c r="H657" s="30"/>
      <c r="I657" s="139"/>
      <c r="J657" s="72"/>
      <c r="K657" s="327"/>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x14ac:dyDescent="0.2">
      <c r="A658" s="142"/>
      <c r="B658" s="30"/>
      <c r="C658" s="30"/>
      <c r="D658" s="138"/>
      <c r="E658" s="138"/>
      <c r="F658" s="30"/>
      <c r="G658" s="30"/>
      <c r="H658" s="30"/>
      <c r="I658" s="139"/>
      <c r="J658" s="72"/>
      <c r="K658" s="327"/>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x14ac:dyDescent="0.2">
      <c r="A659" s="142"/>
      <c r="B659" s="30"/>
      <c r="C659" s="30"/>
      <c r="D659" s="138"/>
      <c r="E659" s="138"/>
      <c r="F659" s="30"/>
      <c r="G659" s="30"/>
      <c r="H659" s="30"/>
      <c r="I659" s="139"/>
      <c r="J659" s="72"/>
      <c r="K659" s="327"/>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x14ac:dyDescent="0.2">
      <c r="A660" s="142"/>
      <c r="B660" s="30"/>
      <c r="C660" s="30"/>
      <c r="D660" s="138"/>
      <c r="E660" s="138"/>
      <c r="F660" s="30"/>
      <c r="G660" s="30"/>
      <c r="H660" s="30"/>
      <c r="I660" s="139"/>
      <c r="J660" s="72"/>
      <c r="K660" s="327"/>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x14ac:dyDescent="0.2">
      <c r="A661" s="142"/>
      <c r="B661" s="30"/>
      <c r="C661" s="30"/>
      <c r="D661" s="138"/>
      <c r="E661" s="138"/>
      <c r="F661" s="30"/>
      <c r="G661" s="30"/>
      <c r="H661" s="30"/>
      <c r="I661" s="139"/>
      <c r="J661" s="72"/>
      <c r="K661" s="327"/>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x14ac:dyDescent="0.2">
      <c r="A662" s="142"/>
      <c r="B662" s="30"/>
      <c r="C662" s="30"/>
      <c r="D662" s="138"/>
      <c r="E662" s="138"/>
      <c r="F662" s="30"/>
      <c r="G662" s="30"/>
      <c r="H662" s="30"/>
      <c r="I662" s="139"/>
      <c r="J662" s="72"/>
      <c r="K662" s="327"/>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x14ac:dyDescent="0.2">
      <c r="A663" s="142"/>
      <c r="B663" s="30"/>
      <c r="C663" s="30"/>
      <c r="D663" s="138"/>
      <c r="E663" s="138"/>
      <c r="F663" s="30"/>
      <c r="G663" s="30"/>
      <c r="H663" s="30"/>
      <c r="I663" s="139"/>
      <c r="J663" s="72"/>
      <c r="K663" s="327"/>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x14ac:dyDescent="0.2">
      <c r="A664" s="142"/>
      <c r="B664" s="30"/>
      <c r="C664" s="30"/>
      <c r="D664" s="138"/>
      <c r="E664" s="138"/>
      <c r="F664" s="30"/>
      <c r="G664" s="30"/>
      <c r="H664" s="30"/>
      <c r="I664" s="139"/>
      <c r="J664" s="72"/>
      <c r="K664" s="327"/>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x14ac:dyDescent="0.2">
      <c r="A665" s="142"/>
      <c r="B665" s="30"/>
      <c r="C665" s="30"/>
      <c r="D665" s="138"/>
      <c r="E665" s="138"/>
      <c r="F665" s="30"/>
      <c r="G665" s="30"/>
      <c r="H665" s="30"/>
      <c r="I665" s="139"/>
      <c r="J665" s="72"/>
      <c r="K665" s="327"/>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x14ac:dyDescent="0.2">
      <c r="A666" s="142"/>
      <c r="B666" s="30"/>
      <c r="C666" s="30"/>
      <c r="D666" s="138"/>
      <c r="E666" s="138"/>
      <c r="F666" s="30"/>
      <c r="G666" s="30"/>
      <c r="H666" s="30"/>
      <c r="I666" s="139"/>
      <c r="J666" s="72"/>
      <c r="K666" s="327"/>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x14ac:dyDescent="0.2">
      <c r="A667" s="142"/>
      <c r="B667" s="30"/>
      <c r="C667" s="30"/>
      <c r="D667" s="138"/>
      <c r="E667" s="138"/>
      <c r="F667" s="30"/>
      <c r="G667" s="30"/>
      <c r="H667" s="30"/>
      <c r="I667" s="139"/>
      <c r="J667" s="72"/>
      <c r="K667" s="327"/>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x14ac:dyDescent="0.2">
      <c r="A668" s="142"/>
      <c r="B668" s="30"/>
      <c r="C668" s="30"/>
      <c r="D668" s="138"/>
      <c r="E668" s="138"/>
      <c r="F668" s="30"/>
      <c r="G668" s="30"/>
      <c r="H668" s="30"/>
      <c r="I668" s="139"/>
      <c r="J668" s="72"/>
      <c r="K668" s="327"/>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x14ac:dyDescent="0.2">
      <c r="A669" s="142"/>
      <c r="B669" s="30"/>
      <c r="C669" s="30"/>
      <c r="D669" s="138"/>
      <c r="E669" s="138"/>
      <c r="F669" s="30"/>
      <c r="G669" s="30"/>
      <c r="H669" s="30"/>
      <c r="I669" s="139"/>
      <c r="J669" s="72"/>
      <c r="K669" s="327"/>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x14ac:dyDescent="0.2">
      <c r="A670" s="142"/>
      <c r="B670" s="30"/>
      <c r="C670" s="30"/>
      <c r="D670" s="138"/>
      <c r="E670" s="138"/>
      <c r="F670" s="30"/>
      <c r="G670" s="30"/>
      <c r="H670" s="30"/>
      <c r="I670" s="139"/>
      <c r="J670" s="72"/>
      <c r="K670" s="327"/>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x14ac:dyDescent="0.2">
      <c r="A671" s="142"/>
      <c r="B671" s="30"/>
      <c r="C671" s="30"/>
      <c r="D671" s="138"/>
      <c r="E671" s="138"/>
      <c r="F671" s="30"/>
      <c r="G671" s="30"/>
      <c r="H671" s="30"/>
      <c r="I671" s="139"/>
      <c r="J671" s="72"/>
      <c r="K671" s="327"/>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x14ac:dyDescent="0.2">
      <c r="A672" s="142"/>
      <c r="B672" s="30"/>
      <c r="C672" s="30"/>
      <c r="D672" s="138"/>
      <c r="E672" s="138"/>
      <c r="F672" s="30"/>
      <c r="G672" s="30"/>
      <c r="H672" s="30"/>
      <c r="I672" s="139"/>
      <c r="J672" s="72"/>
      <c r="K672" s="327"/>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x14ac:dyDescent="0.2">
      <c r="A673" s="142"/>
      <c r="B673" s="30"/>
      <c r="C673" s="30"/>
      <c r="D673" s="138"/>
      <c r="E673" s="138"/>
      <c r="F673" s="30"/>
      <c r="G673" s="30"/>
      <c r="H673" s="30"/>
      <c r="I673" s="139"/>
      <c r="J673" s="72"/>
      <c r="K673" s="327"/>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x14ac:dyDescent="0.2">
      <c r="A674" s="142"/>
      <c r="B674" s="30"/>
      <c r="C674" s="30"/>
      <c r="D674" s="138"/>
      <c r="E674" s="138"/>
      <c r="F674" s="30"/>
      <c r="G674" s="30"/>
      <c r="H674" s="30"/>
      <c r="I674" s="139"/>
      <c r="J674" s="72"/>
      <c r="K674" s="327"/>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x14ac:dyDescent="0.2">
      <c r="A675" s="142"/>
      <c r="B675" s="30"/>
      <c r="C675" s="30"/>
      <c r="D675" s="138"/>
      <c r="E675" s="138"/>
      <c r="F675" s="30"/>
      <c r="G675" s="30"/>
      <c r="H675" s="30"/>
      <c r="I675" s="139"/>
      <c r="J675" s="72"/>
      <c r="K675" s="327"/>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x14ac:dyDescent="0.2">
      <c r="A676" s="142"/>
      <c r="B676" s="30"/>
      <c r="C676" s="30"/>
      <c r="D676" s="138"/>
      <c r="E676" s="138"/>
      <c r="F676" s="30"/>
      <c r="G676" s="30"/>
      <c r="H676" s="30"/>
      <c r="I676" s="139"/>
      <c r="J676" s="72"/>
      <c r="K676" s="327"/>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x14ac:dyDescent="0.2">
      <c r="A677" s="142"/>
      <c r="B677" s="30"/>
      <c r="C677" s="30"/>
      <c r="D677" s="138"/>
      <c r="E677" s="138"/>
      <c r="F677" s="30"/>
      <c r="G677" s="30"/>
      <c r="H677" s="30"/>
      <c r="I677" s="139"/>
      <c r="J677" s="72"/>
      <c r="K677" s="327"/>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x14ac:dyDescent="0.2">
      <c r="A678" s="142"/>
      <c r="B678" s="30"/>
      <c r="C678" s="30"/>
      <c r="D678" s="138"/>
      <c r="E678" s="138"/>
      <c r="F678" s="30"/>
      <c r="G678" s="30"/>
      <c r="H678" s="30"/>
      <c r="I678" s="139"/>
      <c r="J678" s="72"/>
      <c r="K678" s="327"/>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x14ac:dyDescent="0.2">
      <c r="A679" s="142"/>
      <c r="B679" s="30"/>
      <c r="C679" s="30"/>
      <c r="D679" s="138"/>
      <c r="E679" s="138"/>
      <c r="F679" s="30"/>
      <c r="G679" s="30"/>
      <c r="H679" s="30"/>
      <c r="I679" s="139"/>
      <c r="J679" s="72"/>
      <c r="K679" s="327"/>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x14ac:dyDescent="0.2">
      <c r="A680" s="142"/>
      <c r="B680" s="30"/>
      <c r="C680" s="30"/>
      <c r="D680" s="138"/>
      <c r="E680" s="138"/>
      <c r="F680" s="30"/>
      <c r="G680" s="30"/>
      <c r="H680" s="30"/>
      <c r="I680" s="139"/>
      <c r="J680" s="72"/>
      <c r="K680" s="327"/>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x14ac:dyDescent="0.2">
      <c r="A681" s="142"/>
      <c r="B681" s="30"/>
      <c r="C681" s="30"/>
      <c r="D681" s="138"/>
      <c r="E681" s="138"/>
      <c r="F681" s="30"/>
      <c r="G681" s="30"/>
      <c r="H681" s="30"/>
      <c r="I681" s="139"/>
      <c r="J681" s="72"/>
      <c r="K681" s="327"/>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x14ac:dyDescent="0.2">
      <c r="A682" s="142"/>
      <c r="B682" s="30"/>
      <c r="C682" s="30"/>
      <c r="D682" s="138"/>
      <c r="E682" s="138"/>
      <c r="F682" s="30"/>
      <c r="G682" s="30"/>
      <c r="H682" s="30"/>
      <c r="I682" s="139"/>
      <c r="J682" s="72"/>
      <c r="K682" s="327"/>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x14ac:dyDescent="0.2">
      <c r="A683" s="142"/>
      <c r="B683" s="30"/>
      <c r="C683" s="30"/>
      <c r="D683" s="138"/>
      <c r="E683" s="138"/>
      <c r="F683" s="30"/>
      <c r="G683" s="30"/>
      <c r="H683" s="30"/>
      <c r="I683" s="139"/>
      <c r="J683" s="72"/>
      <c r="K683" s="327"/>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x14ac:dyDescent="0.2">
      <c r="A684" s="142"/>
      <c r="B684" s="30"/>
      <c r="C684" s="30"/>
      <c r="D684" s="138"/>
      <c r="E684" s="138"/>
      <c r="F684" s="30"/>
      <c r="G684" s="30"/>
      <c r="H684" s="30"/>
      <c r="I684" s="139"/>
      <c r="J684" s="72"/>
      <c r="K684" s="327"/>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x14ac:dyDescent="0.2">
      <c r="A685" s="142"/>
      <c r="B685" s="30"/>
      <c r="C685" s="30"/>
      <c r="D685" s="138"/>
      <c r="E685" s="138"/>
      <c r="F685" s="30"/>
      <c r="G685" s="30"/>
      <c r="H685" s="30"/>
      <c r="I685" s="139"/>
      <c r="J685" s="72"/>
      <c r="K685" s="327"/>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x14ac:dyDescent="0.2">
      <c r="A686" s="142"/>
      <c r="B686" s="30"/>
      <c r="C686" s="30"/>
      <c r="D686" s="138"/>
      <c r="E686" s="138"/>
      <c r="F686" s="30"/>
      <c r="G686" s="30"/>
      <c r="H686" s="30"/>
      <c r="I686" s="139"/>
      <c r="J686" s="72"/>
      <c r="K686" s="327"/>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x14ac:dyDescent="0.2">
      <c r="A687" s="142"/>
      <c r="B687" s="30"/>
      <c r="C687" s="30"/>
      <c r="D687" s="138"/>
      <c r="E687" s="138"/>
      <c r="F687" s="30"/>
      <c r="G687" s="30"/>
      <c r="H687" s="30"/>
      <c r="I687" s="139"/>
      <c r="J687" s="72"/>
      <c r="K687" s="327"/>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x14ac:dyDescent="0.2">
      <c r="A688" s="142"/>
      <c r="B688" s="30"/>
      <c r="C688" s="30"/>
      <c r="D688" s="138"/>
      <c r="E688" s="138"/>
      <c r="F688" s="30"/>
      <c r="G688" s="30"/>
      <c r="H688" s="30"/>
      <c r="I688" s="139"/>
      <c r="J688" s="72"/>
      <c r="K688" s="327"/>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x14ac:dyDescent="0.2">
      <c r="A689" s="142"/>
      <c r="B689" s="30"/>
      <c r="C689" s="30"/>
      <c r="D689" s="138"/>
      <c r="E689" s="138"/>
      <c r="F689" s="30"/>
      <c r="G689" s="30"/>
      <c r="H689" s="30"/>
      <c r="I689" s="139"/>
      <c r="J689" s="72"/>
      <c r="K689" s="327"/>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x14ac:dyDescent="0.2">
      <c r="A690" s="142"/>
      <c r="B690" s="30"/>
      <c r="C690" s="30"/>
      <c r="D690" s="138"/>
      <c r="E690" s="138"/>
      <c r="F690" s="30"/>
      <c r="G690" s="30"/>
      <c r="H690" s="30"/>
      <c r="I690" s="139"/>
      <c r="J690" s="72"/>
      <c r="K690" s="327"/>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x14ac:dyDescent="0.2">
      <c r="A691" s="142"/>
      <c r="B691" s="30"/>
      <c r="C691" s="30"/>
      <c r="D691" s="138"/>
      <c r="E691" s="138"/>
      <c r="F691" s="30"/>
      <c r="G691" s="30"/>
      <c r="H691" s="30"/>
      <c r="I691" s="139"/>
      <c r="J691" s="72"/>
      <c r="K691" s="327"/>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x14ac:dyDescent="0.2">
      <c r="A692" s="142"/>
      <c r="B692" s="30"/>
      <c r="C692" s="30"/>
      <c r="D692" s="138"/>
      <c r="E692" s="138"/>
      <c r="F692" s="30"/>
      <c r="G692" s="30"/>
      <c r="H692" s="30"/>
      <c r="I692" s="139"/>
      <c r="J692" s="72"/>
      <c r="K692" s="327"/>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x14ac:dyDescent="0.2">
      <c r="A693" s="142"/>
      <c r="B693" s="30"/>
      <c r="C693" s="30"/>
      <c r="D693" s="138"/>
      <c r="E693" s="138"/>
      <c r="F693" s="30"/>
      <c r="G693" s="30"/>
      <c r="H693" s="30"/>
      <c r="I693" s="139"/>
      <c r="J693" s="72"/>
      <c r="K693" s="327"/>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x14ac:dyDescent="0.2">
      <c r="A694" s="142"/>
      <c r="B694" s="30"/>
      <c r="C694" s="30"/>
      <c r="D694" s="138"/>
      <c r="E694" s="138"/>
      <c r="F694" s="30"/>
      <c r="G694" s="30"/>
      <c r="H694" s="30"/>
      <c r="I694" s="139"/>
      <c r="J694" s="72"/>
      <c r="K694" s="327"/>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x14ac:dyDescent="0.2">
      <c r="A695" s="142"/>
      <c r="B695" s="30"/>
      <c r="C695" s="30"/>
      <c r="D695" s="138"/>
      <c r="E695" s="138"/>
      <c r="F695" s="30"/>
      <c r="G695" s="30"/>
      <c r="H695" s="30"/>
      <c r="I695" s="139"/>
      <c r="J695" s="72"/>
      <c r="K695" s="327"/>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x14ac:dyDescent="0.2">
      <c r="A696" s="142"/>
      <c r="B696" s="30"/>
      <c r="C696" s="30"/>
      <c r="D696" s="138"/>
      <c r="E696" s="138"/>
      <c r="F696" s="30"/>
      <c r="G696" s="30"/>
      <c r="H696" s="30"/>
      <c r="I696" s="139"/>
      <c r="J696" s="72"/>
      <c r="K696" s="327"/>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x14ac:dyDescent="0.2">
      <c r="A697" s="142"/>
      <c r="B697" s="30"/>
      <c r="C697" s="30"/>
      <c r="D697" s="138"/>
      <c r="E697" s="138"/>
      <c r="F697" s="30"/>
      <c r="G697" s="30"/>
      <c r="H697" s="30"/>
      <c r="I697" s="139"/>
      <c r="J697" s="72"/>
      <c r="K697" s="327"/>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x14ac:dyDescent="0.2">
      <c r="A698" s="142"/>
      <c r="B698" s="30"/>
      <c r="C698" s="30"/>
      <c r="D698" s="138"/>
      <c r="E698" s="138"/>
      <c r="F698" s="30"/>
      <c r="G698" s="30"/>
      <c r="H698" s="30"/>
      <c r="I698" s="139"/>
      <c r="J698" s="72"/>
      <c r="K698" s="327"/>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x14ac:dyDescent="0.2">
      <c r="A699" s="142"/>
      <c r="B699" s="30"/>
      <c r="C699" s="30"/>
      <c r="D699" s="138"/>
      <c r="E699" s="138"/>
      <c r="F699" s="30"/>
      <c r="G699" s="30"/>
      <c r="H699" s="30"/>
      <c r="I699" s="139"/>
      <c r="J699" s="72"/>
      <c r="K699" s="327"/>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x14ac:dyDescent="0.2">
      <c r="A700" s="142"/>
      <c r="B700" s="30"/>
      <c r="C700" s="30"/>
      <c r="D700" s="138"/>
      <c r="E700" s="138"/>
      <c r="F700" s="30"/>
      <c r="G700" s="30"/>
      <c r="H700" s="30"/>
      <c r="I700" s="139"/>
      <c r="J700" s="72"/>
      <c r="K700" s="327"/>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x14ac:dyDescent="0.2">
      <c r="A701" s="142"/>
      <c r="B701" s="30"/>
      <c r="C701" s="30"/>
      <c r="D701" s="138"/>
      <c r="E701" s="138"/>
      <c r="F701" s="30"/>
      <c r="G701" s="30"/>
      <c r="H701" s="30"/>
      <c r="I701" s="139"/>
      <c r="J701" s="72"/>
      <c r="K701" s="327"/>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x14ac:dyDescent="0.2">
      <c r="A702" s="142"/>
      <c r="B702" s="30"/>
      <c r="C702" s="30"/>
      <c r="D702" s="138"/>
      <c r="E702" s="138"/>
      <c r="F702" s="30"/>
      <c r="G702" s="30"/>
      <c r="H702" s="30"/>
      <c r="I702" s="139"/>
      <c r="J702" s="72"/>
      <c r="K702" s="327"/>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x14ac:dyDescent="0.2">
      <c r="A703" s="142"/>
      <c r="B703" s="30"/>
      <c r="C703" s="30"/>
      <c r="D703" s="138"/>
      <c r="E703" s="138"/>
      <c r="F703" s="30"/>
      <c r="G703" s="30"/>
      <c r="H703" s="30"/>
      <c r="I703" s="139"/>
      <c r="J703" s="72"/>
      <c r="K703" s="327"/>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x14ac:dyDescent="0.2">
      <c r="A704" s="142"/>
      <c r="B704" s="30"/>
      <c r="C704" s="30"/>
      <c r="D704" s="138"/>
      <c r="E704" s="138"/>
      <c r="F704" s="30"/>
      <c r="G704" s="30"/>
      <c r="H704" s="30"/>
      <c r="I704" s="139"/>
      <c r="J704" s="72"/>
      <c r="K704" s="327"/>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x14ac:dyDescent="0.2">
      <c r="A705" s="142"/>
      <c r="B705" s="30"/>
      <c r="C705" s="30"/>
      <c r="D705" s="138"/>
      <c r="E705" s="138"/>
      <c r="F705" s="30"/>
      <c r="G705" s="30"/>
      <c r="H705" s="30"/>
      <c r="I705" s="139"/>
      <c r="J705" s="72"/>
      <c r="K705" s="327"/>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x14ac:dyDescent="0.2">
      <c r="A706" s="142"/>
      <c r="B706" s="30"/>
      <c r="C706" s="30"/>
      <c r="D706" s="138"/>
      <c r="E706" s="138"/>
      <c r="F706" s="30"/>
      <c r="G706" s="30"/>
      <c r="H706" s="30"/>
      <c r="I706" s="139"/>
      <c r="J706" s="72"/>
      <c r="K706" s="327"/>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x14ac:dyDescent="0.2">
      <c r="A707" s="142"/>
      <c r="B707" s="30"/>
      <c r="C707" s="30"/>
      <c r="D707" s="138"/>
      <c r="E707" s="138"/>
      <c r="F707" s="30"/>
      <c r="G707" s="30"/>
      <c r="H707" s="30"/>
      <c r="I707" s="139"/>
      <c r="J707" s="72"/>
      <c r="K707" s="327"/>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x14ac:dyDescent="0.2">
      <c r="A708" s="142"/>
      <c r="B708" s="30"/>
      <c r="C708" s="30"/>
      <c r="D708" s="138"/>
      <c r="E708" s="138"/>
      <c r="F708" s="30"/>
      <c r="G708" s="30"/>
      <c r="H708" s="30"/>
      <c r="I708" s="139"/>
      <c r="J708" s="72"/>
      <c r="K708" s="327"/>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x14ac:dyDescent="0.2">
      <c r="A709" s="142"/>
      <c r="B709" s="30"/>
      <c r="C709" s="30"/>
      <c r="D709" s="138"/>
      <c r="E709" s="138"/>
      <c r="F709" s="30"/>
      <c r="G709" s="30"/>
      <c r="H709" s="30"/>
      <c r="I709" s="139"/>
      <c r="J709" s="72"/>
      <c r="K709" s="327"/>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x14ac:dyDescent="0.2">
      <c r="A710" s="142"/>
      <c r="B710" s="30"/>
      <c r="C710" s="30"/>
      <c r="D710" s="138"/>
      <c r="E710" s="138"/>
      <c r="F710" s="30"/>
      <c r="G710" s="30"/>
      <c r="H710" s="30"/>
      <c r="I710" s="139"/>
      <c r="J710" s="72"/>
      <c r="K710" s="327"/>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x14ac:dyDescent="0.2">
      <c r="A711" s="142"/>
      <c r="B711" s="30"/>
      <c r="C711" s="30"/>
      <c r="D711" s="138"/>
      <c r="E711" s="138"/>
      <c r="F711" s="30"/>
      <c r="G711" s="30"/>
      <c r="H711" s="30"/>
      <c r="I711" s="139"/>
      <c r="J711" s="72"/>
      <c r="K711" s="327"/>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x14ac:dyDescent="0.2">
      <c r="A712" s="142"/>
      <c r="B712" s="30"/>
      <c r="C712" s="30"/>
      <c r="D712" s="138"/>
      <c r="E712" s="138"/>
      <c r="F712" s="30"/>
      <c r="G712" s="30"/>
      <c r="H712" s="30"/>
      <c r="I712" s="139"/>
      <c r="J712" s="72"/>
      <c r="K712" s="327"/>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x14ac:dyDescent="0.2">
      <c r="A713" s="142"/>
      <c r="B713" s="30"/>
      <c r="C713" s="30"/>
      <c r="D713" s="138"/>
      <c r="E713" s="138"/>
      <c r="F713" s="30"/>
      <c r="G713" s="30"/>
      <c r="H713" s="30"/>
      <c r="I713" s="139"/>
      <c r="J713" s="72"/>
      <c r="K713" s="327"/>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x14ac:dyDescent="0.2">
      <c r="A714" s="142"/>
      <c r="B714" s="30"/>
      <c r="C714" s="30"/>
      <c r="D714" s="138"/>
      <c r="E714" s="138"/>
      <c r="F714" s="30"/>
      <c r="G714" s="30"/>
      <c r="H714" s="30"/>
      <c r="I714" s="139"/>
      <c r="J714" s="72"/>
      <c r="K714" s="327"/>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x14ac:dyDescent="0.2">
      <c r="A715" s="142"/>
      <c r="B715" s="30"/>
      <c r="C715" s="30"/>
      <c r="D715" s="138"/>
      <c r="E715" s="138"/>
      <c r="F715" s="30"/>
      <c r="G715" s="30"/>
      <c r="H715" s="30"/>
      <c r="I715" s="139"/>
      <c r="J715" s="72"/>
      <c r="K715" s="327"/>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x14ac:dyDescent="0.2">
      <c r="A716" s="142"/>
      <c r="B716" s="30"/>
      <c r="C716" s="30"/>
      <c r="D716" s="138"/>
      <c r="E716" s="138"/>
      <c r="F716" s="30"/>
      <c r="G716" s="30"/>
      <c r="H716" s="30"/>
      <c r="I716" s="139"/>
      <c r="J716" s="72"/>
      <c r="K716" s="327"/>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x14ac:dyDescent="0.2">
      <c r="A717" s="142"/>
      <c r="B717" s="30"/>
      <c r="C717" s="30"/>
      <c r="D717" s="138"/>
      <c r="E717" s="138"/>
      <c r="F717" s="30"/>
      <c r="G717" s="30"/>
      <c r="H717" s="30"/>
      <c r="I717" s="139"/>
      <c r="J717" s="72"/>
      <c r="K717" s="327"/>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x14ac:dyDescent="0.2">
      <c r="A718" s="142"/>
      <c r="B718" s="30"/>
      <c r="C718" s="30"/>
      <c r="D718" s="138"/>
      <c r="E718" s="138"/>
      <c r="F718" s="30"/>
      <c r="G718" s="30"/>
      <c r="H718" s="30"/>
      <c r="I718" s="139"/>
      <c r="J718" s="72"/>
      <c r="K718" s="327"/>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x14ac:dyDescent="0.2">
      <c r="A719" s="142"/>
      <c r="B719" s="30"/>
      <c r="C719" s="30"/>
      <c r="D719" s="138"/>
      <c r="E719" s="138"/>
      <c r="F719" s="30"/>
      <c r="G719" s="30"/>
      <c r="H719" s="30"/>
      <c r="I719" s="139"/>
      <c r="J719" s="72"/>
      <c r="K719" s="327"/>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x14ac:dyDescent="0.2">
      <c r="A720" s="142"/>
      <c r="B720" s="30"/>
      <c r="C720" s="30"/>
      <c r="D720" s="138"/>
      <c r="E720" s="138"/>
      <c r="F720" s="30"/>
      <c r="G720" s="30"/>
      <c r="H720" s="30"/>
      <c r="I720" s="139"/>
      <c r="J720" s="72"/>
      <c r="K720" s="327"/>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x14ac:dyDescent="0.2">
      <c r="A721" s="142"/>
      <c r="B721" s="30"/>
      <c r="C721" s="30"/>
      <c r="D721" s="138"/>
      <c r="E721" s="138"/>
      <c r="F721" s="30"/>
      <c r="G721" s="30"/>
      <c r="H721" s="30"/>
      <c r="I721" s="139"/>
      <c r="J721" s="72"/>
      <c r="K721" s="327"/>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x14ac:dyDescent="0.2">
      <c r="A722" s="142"/>
      <c r="B722" s="30"/>
      <c r="C722" s="30"/>
      <c r="D722" s="138"/>
      <c r="E722" s="138"/>
      <c r="F722" s="30"/>
      <c r="G722" s="30"/>
      <c r="H722" s="30"/>
      <c r="I722" s="139"/>
      <c r="J722" s="72"/>
      <c r="K722" s="327"/>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x14ac:dyDescent="0.2">
      <c r="A723" s="142"/>
      <c r="B723" s="30"/>
      <c r="C723" s="30"/>
      <c r="D723" s="138"/>
      <c r="E723" s="138"/>
      <c r="F723" s="30"/>
      <c r="G723" s="30"/>
      <c r="H723" s="30"/>
      <c r="I723" s="139"/>
      <c r="J723" s="72"/>
      <c r="K723" s="327"/>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x14ac:dyDescent="0.2">
      <c r="A724" s="142"/>
      <c r="B724" s="30"/>
      <c r="C724" s="30"/>
      <c r="D724" s="138"/>
      <c r="E724" s="138"/>
      <c r="F724" s="30"/>
      <c r="G724" s="30"/>
      <c r="H724" s="30"/>
      <c r="I724" s="139"/>
      <c r="J724" s="72"/>
      <c r="K724" s="327"/>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x14ac:dyDescent="0.2">
      <c r="A725" s="142"/>
      <c r="B725" s="30"/>
      <c r="C725" s="30"/>
      <c r="D725" s="138"/>
      <c r="E725" s="138"/>
      <c r="F725" s="30"/>
      <c r="G725" s="30"/>
      <c r="H725" s="30"/>
      <c r="I725" s="139"/>
      <c r="J725" s="72"/>
      <c r="K725" s="327"/>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x14ac:dyDescent="0.2">
      <c r="A726" s="142"/>
      <c r="B726" s="30"/>
      <c r="C726" s="30"/>
      <c r="D726" s="138"/>
      <c r="E726" s="138"/>
      <c r="F726" s="30"/>
      <c r="G726" s="30"/>
      <c r="H726" s="30"/>
      <c r="I726" s="139"/>
      <c r="J726" s="72"/>
      <c r="K726" s="327"/>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x14ac:dyDescent="0.2">
      <c r="A727" s="142"/>
      <c r="B727" s="30"/>
      <c r="C727" s="30"/>
      <c r="D727" s="138"/>
      <c r="E727" s="138"/>
      <c r="F727" s="30"/>
      <c r="G727" s="30"/>
      <c r="H727" s="30"/>
      <c r="I727" s="139"/>
      <c r="J727" s="72"/>
      <c r="K727" s="327"/>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x14ac:dyDescent="0.2">
      <c r="A728" s="142"/>
      <c r="B728" s="30"/>
      <c r="C728" s="30"/>
      <c r="D728" s="138"/>
      <c r="E728" s="138"/>
      <c r="F728" s="30"/>
      <c r="G728" s="30"/>
      <c r="H728" s="30"/>
      <c r="I728" s="139"/>
      <c r="J728" s="72"/>
      <c r="K728" s="327"/>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x14ac:dyDescent="0.2">
      <c r="A729" s="142"/>
      <c r="B729" s="30"/>
      <c r="C729" s="30"/>
      <c r="D729" s="138"/>
      <c r="E729" s="138"/>
      <c r="F729" s="30"/>
      <c r="G729" s="30"/>
      <c r="H729" s="30"/>
      <c r="I729" s="139"/>
      <c r="J729" s="72"/>
      <c r="K729" s="327"/>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x14ac:dyDescent="0.2">
      <c r="A730" s="142"/>
      <c r="B730" s="30"/>
      <c r="C730" s="30"/>
      <c r="D730" s="138"/>
      <c r="E730" s="138"/>
      <c r="F730" s="30"/>
      <c r="G730" s="30"/>
      <c r="H730" s="30"/>
      <c r="I730" s="139"/>
      <c r="J730" s="72"/>
      <c r="K730" s="327"/>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x14ac:dyDescent="0.2">
      <c r="A731" s="142"/>
      <c r="B731" s="30"/>
      <c r="C731" s="30"/>
      <c r="D731" s="138"/>
      <c r="E731" s="138"/>
      <c r="F731" s="30"/>
      <c r="G731" s="30"/>
      <c r="H731" s="30"/>
      <c r="I731" s="139"/>
      <c r="J731" s="72"/>
      <c r="K731" s="327"/>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x14ac:dyDescent="0.2">
      <c r="A732" s="142"/>
      <c r="B732" s="30"/>
      <c r="C732" s="30"/>
      <c r="D732" s="138"/>
      <c r="E732" s="138"/>
      <c r="F732" s="30"/>
      <c r="G732" s="30"/>
      <c r="H732" s="30"/>
      <c r="I732" s="139"/>
      <c r="J732" s="72"/>
      <c r="K732" s="327"/>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x14ac:dyDescent="0.2">
      <c r="A733" s="142"/>
      <c r="B733" s="30"/>
      <c r="C733" s="30"/>
      <c r="D733" s="138"/>
      <c r="E733" s="138"/>
      <c r="F733" s="30"/>
      <c r="G733" s="30"/>
      <c r="H733" s="30"/>
      <c r="I733" s="139"/>
      <c r="J733" s="72"/>
      <c r="K733" s="327"/>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x14ac:dyDescent="0.2">
      <c r="A734" s="142"/>
      <c r="B734" s="30"/>
      <c r="C734" s="30"/>
      <c r="D734" s="138"/>
      <c r="E734" s="138"/>
      <c r="F734" s="30"/>
      <c r="G734" s="30"/>
      <c r="H734" s="30"/>
      <c r="I734" s="139"/>
      <c r="J734" s="72"/>
      <c r="K734" s="327"/>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x14ac:dyDescent="0.2">
      <c r="A735" s="142"/>
      <c r="B735" s="30"/>
      <c r="C735" s="30"/>
      <c r="D735" s="138"/>
      <c r="E735" s="138"/>
      <c r="F735" s="30"/>
      <c r="G735" s="30"/>
      <c r="H735" s="30"/>
      <c r="I735" s="139"/>
      <c r="J735" s="72"/>
      <c r="K735" s="327"/>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x14ac:dyDescent="0.2">
      <c r="A736" s="142"/>
      <c r="B736" s="30"/>
      <c r="C736" s="30"/>
      <c r="D736" s="138"/>
      <c r="E736" s="138"/>
      <c r="F736" s="30"/>
      <c r="G736" s="30"/>
      <c r="H736" s="30"/>
      <c r="I736" s="139"/>
      <c r="J736" s="72"/>
      <c r="K736" s="327"/>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x14ac:dyDescent="0.2">
      <c r="A737" s="142"/>
      <c r="B737" s="30"/>
      <c r="C737" s="30"/>
      <c r="D737" s="138"/>
      <c r="E737" s="138"/>
      <c r="F737" s="30"/>
      <c r="G737" s="30"/>
      <c r="H737" s="30"/>
      <c r="I737" s="139"/>
      <c r="J737" s="72"/>
      <c r="K737" s="327"/>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x14ac:dyDescent="0.2">
      <c r="A738" s="142"/>
      <c r="B738" s="30"/>
      <c r="C738" s="30"/>
      <c r="D738" s="138"/>
      <c r="E738" s="138"/>
      <c r="F738" s="30"/>
      <c r="G738" s="30"/>
      <c r="H738" s="30"/>
      <c r="I738" s="139"/>
      <c r="J738" s="72"/>
      <c r="K738" s="327"/>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x14ac:dyDescent="0.2">
      <c r="A739" s="142"/>
      <c r="B739" s="30"/>
      <c r="C739" s="30"/>
      <c r="D739" s="138"/>
      <c r="E739" s="138"/>
      <c r="F739" s="30"/>
      <c r="G739" s="30"/>
      <c r="H739" s="30"/>
      <c r="I739" s="139"/>
      <c r="J739" s="72"/>
      <c r="K739" s="327"/>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x14ac:dyDescent="0.2">
      <c r="A740" s="142"/>
      <c r="B740" s="30"/>
      <c r="C740" s="30"/>
      <c r="D740" s="138"/>
      <c r="E740" s="138"/>
      <c r="F740" s="30"/>
      <c r="G740" s="30"/>
      <c r="H740" s="30"/>
      <c r="I740" s="139"/>
      <c r="J740" s="72"/>
      <c r="K740" s="327"/>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x14ac:dyDescent="0.2">
      <c r="A741" s="142"/>
      <c r="B741" s="30"/>
      <c r="C741" s="30"/>
      <c r="D741" s="138"/>
      <c r="E741" s="138"/>
      <c r="F741" s="30"/>
      <c r="G741" s="30"/>
      <c r="H741" s="30"/>
      <c r="I741" s="139"/>
      <c r="J741" s="72"/>
      <c r="K741" s="327"/>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x14ac:dyDescent="0.2">
      <c r="A742" s="142"/>
      <c r="B742" s="30"/>
      <c r="C742" s="30"/>
      <c r="D742" s="138"/>
      <c r="E742" s="138"/>
      <c r="F742" s="30"/>
      <c r="G742" s="30"/>
      <c r="H742" s="30"/>
      <c r="I742" s="139"/>
      <c r="J742" s="72"/>
      <c r="K742" s="327"/>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x14ac:dyDescent="0.2">
      <c r="A743" s="142"/>
      <c r="B743" s="30"/>
      <c r="C743" s="30"/>
      <c r="D743" s="138"/>
      <c r="E743" s="138"/>
      <c r="F743" s="30"/>
      <c r="G743" s="30"/>
      <c r="H743" s="30"/>
      <c r="I743" s="139"/>
      <c r="J743" s="72"/>
      <c r="K743" s="327"/>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x14ac:dyDescent="0.2">
      <c r="A744" s="142"/>
      <c r="B744" s="30"/>
      <c r="C744" s="30"/>
      <c r="D744" s="138"/>
      <c r="E744" s="138"/>
      <c r="F744" s="30"/>
      <c r="G744" s="30"/>
      <c r="H744" s="30"/>
      <c r="I744" s="139"/>
      <c r="J744" s="72"/>
      <c r="K744" s="327"/>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x14ac:dyDescent="0.2">
      <c r="A745" s="142"/>
      <c r="B745" s="30"/>
      <c r="C745" s="30"/>
      <c r="D745" s="138"/>
      <c r="E745" s="138"/>
      <c r="F745" s="30"/>
      <c r="G745" s="30"/>
      <c r="H745" s="30"/>
      <c r="I745" s="139"/>
      <c r="J745" s="72"/>
      <c r="K745" s="327"/>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x14ac:dyDescent="0.2">
      <c r="A746" s="142"/>
      <c r="B746" s="30"/>
      <c r="C746" s="30"/>
      <c r="D746" s="138"/>
      <c r="E746" s="138"/>
      <c r="F746" s="30"/>
      <c r="G746" s="30"/>
      <c r="H746" s="30"/>
      <c r="I746" s="139"/>
      <c r="J746" s="72"/>
      <c r="K746" s="327"/>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x14ac:dyDescent="0.2">
      <c r="A747" s="142"/>
      <c r="B747" s="30"/>
      <c r="C747" s="30"/>
      <c r="D747" s="138"/>
      <c r="E747" s="138"/>
      <c r="F747" s="30"/>
      <c r="G747" s="30"/>
      <c r="H747" s="30"/>
      <c r="I747" s="139"/>
      <c r="J747" s="72"/>
      <c r="K747" s="327"/>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x14ac:dyDescent="0.2">
      <c r="A748" s="142"/>
      <c r="B748" s="30"/>
      <c r="C748" s="30"/>
      <c r="D748" s="138"/>
      <c r="E748" s="138"/>
      <c r="F748" s="30"/>
      <c r="G748" s="30"/>
      <c r="H748" s="30"/>
      <c r="I748" s="139"/>
      <c r="J748" s="72"/>
      <c r="K748" s="327"/>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x14ac:dyDescent="0.2">
      <c r="A749" s="142"/>
      <c r="B749" s="30"/>
      <c r="C749" s="30"/>
      <c r="D749" s="138"/>
      <c r="E749" s="138"/>
      <c r="F749" s="30"/>
      <c r="G749" s="30"/>
      <c r="H749" s="30"/>
      <c r="I749" s="139"/>
      <c r="J749" s="72"/>
      <c r="K749" s="327"/>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x14ac:dyDescent="0.2">
      <c r="A750" s="142"/>
      <c r="B750" s="30"/>
      <c r="C750" s="30"/>
      <c r="D750" s="138"/>
      <c r="E750" s="138"/>
      <c r="F750" s="30"/>
      <c r="G750" s="30"/>
      <c r="H750" s="30"/>
      <c r="I750" s="139"/>
      <c r="J750" s="72"/>
      <c r="K750" s="327"/>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x14ac:dyDescent="0.2">
      <c r="A751" s="142"/>
      <c r="B751" s="30"/>
      <c r="C751" s="30"/>
      <c r="D751" s="138"/>
      <c r="E751" s="138"/>
      <c r="F751" s="30"/>
      <c r="G751" s="30"/>
      <c r="H751" s="30"/>
      <c r="I751" s="139"/>
      <c r="J751" s="72"/>
      <c r="K751" s="327"/>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x14ac:dyDescent="0.2">
      <c r="A752" s="142"/>
      <c r="B752" s="30"/>
      <c r="C752" s="30"/>
      <c r="D752" s="138"/>
      <c r="E752" s="138"/>
      <c r="F752" s="30"/>
      <c r="G752" s="30"/>
      <c r="H752" s="30"/>
      <c r="I752" s="139"/>
      <c r="J752" s="72"/>
      <c r="K752" s="327"/>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x14ac:dyDescent="0.2">
      <c r="A753" s="142"/>
      <c r="B753" s="30"/>
      <c r="C753" s="30"/>
      <c r="D753" s="138"/>
      <c r="E753" s="138"/>
      <c r="F753" s="30"/>
      <c r="G753" s="30"/>
      <c r="H753" s="30"/>
      <c r="I753" s="139"/>
      <c r="J753" s="72"/>
      <c r="K753" s="327"/>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x14ac:dyDescent="0.2">
      <c r="A754" s="142"/>
      <c r="B754" s="30"/>
      <c r="C754" s="30"/>
      <c r="D754" s="138"/>
      <c r="E754" s="138"/>
      <c r="F754" s="30"/>
      <c r="G754" s="30"/>
      <c r="H754" s="30"/>
      <c r="I754" s="139"/>
      <c r="J754" s="72"/>
      <c r="K754" s="327"/>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x14ac:dyDescent="0.2">
      <c r="A755" s="142"/>
      <c r="B755" s="30"/>
      <c r="C755" s="30"/>
      <c r="D755" s="138"/>
      <c r="E755" s="138"/>
      <c r="F755" s="30"/>
      <c r="G755" s="30"/>
      <c r="H755" s="30"/>
      <c r="I755" s="139"/>
      <c r="J755" s="72"/>
      <c r="K755" s="327"/>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x14ac:dyDescent="0.2">
      <c r="A756" s="142"/>
      <c r="B756" s="30"/>
      <c r="C756" s="30"/>
      <c r="D756" s="138"/>
      <c r="E756" s="138"/>
      <c r="F756" s="30"/>
      <c r="G756" s="30"/>
      <c r="H756" s="30"/>
      <c r="I756" s="139"/>
      <c r="J756" s="72"/>
      <c r="K756" s="327"/>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x14ac:dyDescent="0.2">
      <c r="A757" s="142"/>
      <c r="B757" s="30"/>
      <c r="C757" s="30"/>
      <c r="D757" s="138"/>
      <c r="E757" s="138"/>
      <c r="F757" s="30"/>
      <c r="G757" s="30"/>
      <c r="H757" s="30"/>
      <c r="I757" s="139"/>
      <c r="J757" s="72"/>
      <c r="K757" s="327"/>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x14ac:dyDescent="0.2">
      <c r="A758" s="142"/>
      <c r="B758" s="30"/>
      <c r="C758" s="30"/>
      <c r="D758" s="138"/>
      <c r="E758" s="138"/>
      <c r="F758" s="30"/>
      <c r="G758" s="30"/>
      <c r="H758" s="30"/>
      <c r="I758" s="139"/>
      <c r="J758" s="72"/>
      <c r="K758" s="327"/>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x14ac:dyDescent="0.2">
      <c r="A759" s="142"/>
      <c r="B759" s="30"/>
      <c r="C759" s="30"/>
      <c r="D759" s="138"/>
      <c r="E759" s="138"/>
      <c r="F759" s="30"/>
      <c r="G759" s="30"/>
      <c r="H759" s="30"/>
      <c r="I759" s="139"/>
      <c r="J759" s="72"/>
      <c r="K759" s="327"/>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x14ac:dyDescent="0.2">
      <c r="A760" s="142"/>
      <c r="B760" s="30"/>
      <c r="C760" s="30"/>
      <c r="D760" s="138"/>
      <c r="E760" s="138"/>
      <c r="F760" s="30"/>
      <c r="G760" s="30"/>
      <c r="H760" s="30"/>
      <c r="I760" s="139"/>
      <c r="J760" s="72"/>
      <c r="K760" s="327"/>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x14ac:dyDescent="0.2">
      <c r="A761" s="142"/>
      <c r="B761" s="30"/>
      <c r="C761" s="30"/>
      <c r="D761" s="138"/>
      <c r="E761" s="138"/>
      <c r="F761" s="30"/>
      <c r="G761" s="30"/>
      <c r="H761" s="30"/>
      <c r="I761" s="139"/>
      <c r="J761" s="72"/>
      <c r="K761" s="327"/>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x14ac:dyDescent="0.2">
      <c r="A762" s="142"/>
      <c r="B762" s="30"/>
      <c r="C762" s="30"/>
      <c r="D762" s="138"/>
      <c r="E762" s="138"/>
      <c r="F762" s="30"/>
      <c r="G762" s="30"/>
      <c r="H762" s="30"/>
      <c r="I762" s="139"/>
      <c r="J762" s="72"/>
      <c r="K762" s="327"/>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x14ac:dyDescent="0.2">
      <c r="A763" s="142"/>
      <c r="B763" s="30"/>
      <c r="C763" s="30"/>
      <c r="D763" s="138"/>
      <c r="E763" s="138"/>
      <c r="F763" s="30"/>
      <c r="G763" s="30"/>
      <c r="H763" s="30"/>
      <c r="I763" s="139"/>
      <c r="J763" s="72"/>
      <c r="K763" s="327"/>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x14ac:dyDescent="0.2">
      <c r="A764" s="142"/>
      <c r="B764" s="30"/>
      <c r="C764" s="30"/>
      <c r="D764" s="138"/>
      <c r="E764" s="138"/>
      <c r="F764" s="30"/>
      <c r="G764" s="30"/>
      <c r="H764" s="30"/>
      <c r="I764" s="139"/>
      <c r="J764" s="72"/>
      <c r="K764" s="327"/>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x14ac:dyDescent="0.2">
      <c r="A765" s="142"/>
      <c r="B765" s="30"/>
      <c r="C765" s="30"/>
      <c r="D765" s="138"/>
      <c r="E765" s="138"/>
      <c r="F765" s="30"/>
      <c r="G765" s="30"/>
      <c r="H765" s="30"/>
      <c r="I765" s="139"/>
      <c r="J765" s="72"/>
      <c r="K765" s="327"/>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x14ac:dyDescent="0.2">
      <c r="A766" s="142"/>
      <c r="B766" s="30"/>
      <c r="C766" s="30"/>
      <c r="D766" s="138"/>
      <c r="E766" s="138"/>
      <c r="F766" s="30"/>
      <c r="G766" s="30"/>
      <c r="H766" s="30"/>
      <c r="I766" s="139"/>
      <c r="J766" s="72"/>
      <c r="K766" s="327"/>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x14ac:dyDescent="0.2">
      <c r="A767" s="142"/>
      <c r="B767" s="30"/>
      <c r="C767" s="30"/>
      <c r="D767" s="138"/>
      <c r="E767" s="138"/>
      <c r="F767" s="30"/>
      <c r="G767" s="30"/>
      <c r="H767" s="30"/>
      <c r="I767" s="139"/>
      <c r="J767" s="72"/>
      <c r="K767" s="327"/>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x14ac:dyDescent="0.2">
      <c r="A768" s="142"/>
      <c r="B768" s="30"/>
      <c r="C768" s="30"/>
      <c r="D768" s="138"/>
      <c r="E768" s="138"/>
      <c r="F768" s="30"/>
      <c r="G768" s="30"/>
      <c r="H768" s="30"/>
      <c r="I768" s="139"/>
      <c r="J768" s="72"/>
      <c r="K768" s="327"/>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x14ac:dyDescent="0.2">
      <c r="A769" s="142"/>
      <c r="B769" s="30"/>
      <c r="C769" s="30"/>
      <c r="D769" s="138"/>
      <c r="E769" s="138"/>
      <c r="F769" s="30"/>
      <c r="G769" s="30"/>
      <c r="H769" s="30"/>
      <c r="I769" s="139"/>
      <c r="J769" s="72"/>
      <c r="K769" s="327"/>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x14ac:dyDescent="0.2">
      <c r="A770" s="142"/>
      <c r="B770" s="30"/>
      <c r="C770" s="30"/>
      <c r="D770" s="138"/>
      <c r="E770" s="138"/>
      <c r="F770" s="30"/>
      <c r="G770" s="30"/>
      <c r="H770" s="30"/>
      <c r="I770" s="139"/>
      <c r="J770" s="72"/>
      <c r="K770" s="327"/>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x14ac:dyDescent="0.2">
      <c r="A771" s="142"/>
      <c r="B771" s="30"/>
      <c r="C771" s="30"/>
      <c r="D771" s="138"/>
      <c r="E771" s="138"/>
      <c r="F771" s="30"/>
      <c r="G771" s="30"/>
      <c r="H771" s="30"/>
      <c r="I771" s="139"/>
      <c r="J771" s="72"/>
      <c r="K771" s="327"/>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x14ac:dyDescent="0.2">
      <c r="A772" s="142"/>
      <c r="B772" s="30"/>
      <c r="C772" s="30"/>
      <c r="D772" s="138"/>
      <c r="E772" s="138"/>
      <c r="F772" s="30"/>
      <c r="G772" s="30"/>
      <c r="H772" s="30"/>
      <c r="I772" s="139"/>
      <c r="J772" s="72"/>
      <c r="K772" s="327"/>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x14ac:dyDescent="0.2">
      <c r="A773" s="142"/>
      <c r="B773" s="30"/>
      <c r="C773" s="30"/>
      <c r="D773" s="138"/>
      <c r="E773" s="138"/>
      <c r="F773" s="30"/>
      <c r="G773" s="30"/>
      <c r="H773" s="30"/>
      <c r="I773" s="139"/>
      <c r="J773" s="72"/>
      <c r="K773" s="327"/>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x14ac:dyDescent="0.2">
      <c r="A774" s="142"/>
      <c r="B774" s="30"/>
      <c r="C774" s="30"/>
      <c r="D774" s="138"/>
      <c r="E774" s="138"/>
      <c r="F774" s="30"/>
      <c r="G774" s="30"/>
      <c r="H774" s="30"/>
      <c r="I774" s="139"/>
      <c r="J774" s="72"/>
      <c r="K774" s="327"/>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x14ac:dyDescent="0.2">
      <c r="A775" s="142"/>
      <c r="B775" s="30"/>
      <c r="C775" s="30"/>
      <c r="D775" s="138"/>
      <c r="E775" s="138"/>
      <c r="F775" s="30"/>
      <c r="G775" s="30"/>
      <c r="H775" s="30"/>
      <c r="I775" s="139"/>
      <c r="J775" s="72"/>
      <c r="K775" s="327"/>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x14ac:dyDescent="0.2">
      <c r="A776" s="142"/>
      <c r="B776" s="30"/>
      <c r="C776" s="30"/>
      <c r="D776" s="138"/>
      <c r="E776" s="138"/>
      <c r="F776" s="30"/>
      <c r="G776" s="30"/>
      <c r="H776" s="30"/>
      <c r="I776" s="139"/>
      <c r="J776" s="72"/>
      <c r="K776" s="327"/>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x14ac:dyDescent="0.2">
      <c r="A777" s="142"/>
      <c r="B777" s="30"/>
      <c r="C777" s="30"/>
      <c r="D777" s="138"/>
      <c r="E777" s="138"/>
      <c r="F777" s="30"/>
      <c r="G777" s="30"/>
      <c r="H777" s="30"/>
      <c r="I777" s="139"/>
      <c r="J777" s="72"/>
      <c r="K777" s="327"/>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x14ac:dyDescent="0.2">
      <c r="A778" s="142"/>
      <c r="B778" s="30"/>
      <c r="C778" s="30"/>
      <c r="D778" s="138"/>
      <c r="E778" s="138"/>
      <c r="F778" s="30"/>
      <c r="G778" s="30"/>
      <c r="H778" s="30"/>
      <c r="I778" s="139"/>
      <c r="J778" s="72"/>
      <c r="K778" s="327"/>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x14ac:dyDescent="0.2">
      <c r="A779" s="142"/>
      <c r="B779" s="30"/>
      <c r="C779" s="30"/>
      <c r="D779" s="138"/>
      <c r="E779" s="138"/>
      <c r="F779" s="30"/>
      <c r="G779" s="30"/>
      <c r="H779" s="30"/>
      <c r="I779" s="139"/>
      <c r="J779" s="72"/>
      <c r="K779" s="327"/>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x14ac:dyDescent="0.2">
      <c r="A780" s="142"/>
      <c r="B780" s="30"/>
      <c r="C780" s="30"/>
      <c r="D780" s="138"/>
      <c r="E780" s="138"/>
      <c r="F780" s="30"/>
      <c r="G780" s="30"/>
      <c r="H780" s="30"/>
      <c r="I780" s="139"/>
      <c r="J780" s="72"/>
      <c r="K780" s="327"/>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x14ac:dyDescent="0.2">
      <c r="A781" s="142"/>
      <c r="B781" s="30"/>
      <c r="C781" s="30"/>
      <c r="D781" s="138"/>
      <c r="E781" s="138"/>
      <c r="F781" s="30"/>
      <c r="G781" s="30"/>
      <c r="H781" s="30"/>
      <c r="I781" s="139"/>
      <c r="J781" s="72"/>
      <c r="K781" s="327"/>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x14ac:dyDescent="0.2">
      <c r="A782" s="142"/>
      <c r="B782" s="30"/>
      <c r="C782" s="30"/>
      <c r="D782" s="138"/>
      <c r="E782" s="138"/>
      <c r="F782" s="30"/>
      <c r="G782" s="30"/>
      <c r="H782" s="30"/>
      <c r="I782" s="139"/>
      <c r="J782" s="72"/>
      <c r="K782" s="327"/>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x14ac:dyDescent="0.2">
      <c r="A783" s="142"/>
      <c r="B783" s="30"/>
      <c r="C783" s="30"/>
      <c r="D783" s="138"/>
      <c r="E783" s="138"/>
      <c r="F783" s="30"/>
      <c r="G783" s="30"/>
      <c r="H783" s="30"/>
      <c r="I783" s="139"/>
      <c r="J783" s="72"/>
      <c r="K783" s="327"/>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x14ac:dyDescent="0.2">
      <c r="A784" s="142"/>
      <c r="B784" s="30"/>
      <c r="C784" s="30"/>
      <c r="D784" s="138"/>
      <c r="E784" s="138"/>
      <c r="F784" s="30"/>
      <c r="G784" s="30"/>
      <c r="H784" s="30"/>
      <c r="I784" s="139"/>
      <c r="J784" s="72"/>
      <c r="K784" s="327"/>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x14ac:dyDescent="0.2">
      <c r="A785" s="142"/>
      <c r="B785" s="30"/>
      <c r="C785" s="30"/>
      <c r="D785" s="138"/>
      <c r="E785" s="138"/>
      <c r="F785" s="30"/>
      <c r="G785" s="30"/>
      <c r="H785" s="30"/>
      <c r="I785" s="139"/>
      <c r="J785" s="72"/>
      <c r="K785" s="327"/>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x14ac:dyDescent="0.2">
      <c r="A786" s="142"/>
      <c r="B786" s="30"/>
      <c r="C786" s="30"/>
      <c r="D786" s="138"/>
      <c r="E786" s="138"/>
      <c r="F786" s="30"/>
      <c r="G786" s="30"/>
      <c r="H786" s="30"/>
      <c r="I786" s="139"/>
      <c r="J786" s="72"/>
      <c r="K786" s="327"/>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x14ac:dyDescent="0.2">
      <c r="A787" s="142"/>
      <c r="B787" s="30"/>
      <c r="C787" s="30"/>
      <c r="D787" s="138"/>
      <c r="E787" s="138"/>
      <c r="F787" s="30"/>
      <c r="G787" s="30"/>
      <c r="H787" s="30"/>
      <c r="I787" s="139"/>
      <c r="J787" s="72"/>
      <c r="K787" s="327"/>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x14ac:dyDescent="0.2">
      <c r="A788" s="142"/>
      <c r="B788" s="30"/>
      <c r="C788" s="30"/>
      <c r="D788" s="138"/>
      <c r="E788" s="138"/>
      <c r="F788" s="30"/>
      <c r="G788" s="30"/>
      <c r="H788" s="30"/>
      <c r="I788" s="139"/>
      <c r="J788" s="72"/>
      <c r="K788" s="327"/>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x14ac:dyDescent="0.2">
      <c r="A789" s="142"/>
      <c r="B789" s="30"/>
      <c r="C789" s="30"/>
      <c r="D789" s="138"/>
      <c r="E789" s="138"/>
      <c r="F789" s="30"/>
      <c r="G789" s="30"/>
      <c r="H789" s="30"/>
      <c r="I789" s="139"/>
      <c r="J789" s="72"/>
      <c r="K789" s="327"/>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x14ac:dyDescent="0.2">
      <c r="A790" s="142"/>
      <c r="B790" s="30"/>
      <c r="C790" s="30"/>
      <c r="D790" s="138"/>
      <c r="E790" s="138"/>
      <c r="F790" s="30"/>
      <c r="G790" s="30"/>
      <c r="H790" s="30"/>
      <c r="I790" s="139"/>
      <c r="J790" s="72"/>
      <c r="K790" s="327"/>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x14ac:dyDescent="0.2">
      <c r="A791" s="142"/>
      <c r="B791" s="30"/>
      <c r="C791" s="30"/>
      <c r="D791" s="138"/>
      <c r="E791" s="138"/>
      <c r="F791" s="30"/>
      <c r="G791" s="30"/>
      <c r="H791" s="30"/>
      <c r="I791" s="139"/>
      <c r="J791" s="72"/>
      <c r="K791" s="327"/>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x14ac:dyDescent="0.2">
      <c r="A792" s="142"/>
      <c r="B792" s="30"/>
      <c r="C792" s="30"/>
      <c r="D792" s="138"/>
      <c r="E792" s="138"/>
      <c r="F792" s="30"/>
      <c r="G792" s="30"/>
      <c r="H792" s="30"/>
      <c r="I792" s="139"/>
      <c r="J792" s="72"/>
      <c r="K792" s="327"/>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x14ac:dyDescent="0.2">
      <c r="A793" s="142"/>
      <c r="B793" s="30"/>
      <c r="C793" s="30"/>
      <c r="D793" s="138"/>
      <c r="E793" s="138"/>
      <c r="F793" s="30"/>
      <c r="G793" s="30"/>
      <c r="H793" s="30"/>
      <c r="I793" s="139"/>
      <c r="J793" s="72"/>
      <c r="K793" s="327"/>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x14ac:dyDescent="0.2">
      <c r="A794" s="142"/>
      <c r="B794" s="30"/>
      <c r="C794" s="30"/>
      <c r="D794" s="138"/>
      <c r="E794" s="138"/>
      <c r="F794" s="30"/>
      <c r="G794" s="30"/>
      <c r="H794" s="30"/>
      <c r="I794" s="139"/>
      <c r="J794" s="72"/>
      <c r="K794" s="327"/>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x14ac:dyDescent="0.2">
      <c r="A795" s="142"/>
      <c r="B795" s="30"/>
      <c r="C795" s="30"/>
      <c r="D795" s="138"/>
      <c r="E795" s="138"/>
      <c r="F795" s="30"/>
      <c r="G795" s="30"/>
      <c r="H795" s="30"/>
      <c r="I795" s="139"/>
      <c r="J795" s="72"/>
      <c r="K795" s="327"/>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x14ac:dyDescent="0.2">
      <c r="A796" s="142"/>
      <c r="B796" s="30"/>
      <c r="C796" s="30"/>
      <c r="D796" s="138"/>
      <c r="E796" s="138"/>
      <c r="F796" s="30"/>
      <c r="G796" s="30"/>
      <c r="H796" s="30"/>
      <c r="I796" s="139"/>
      <c r="J796" s="72"/>
      <c r="K796" s="327"/>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x14ac:dyDescent="0.2">
      <c r="A797" s="142"/>
      <c r="B797" s="30"/>
      <c r="C797" s="30"/>
      <c r="D797" s="138"/>
      <c r="E797" s="138"/>
      <c r="F797" s="30"/>
      <c r="G797" s="30"/>
      <c r="H797" s="30"/>
      <c r="I797" s="139"/>
      <c r="J797" s="72"/>
      <c r="K797" s="327"/>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x14ac:dyDescent="0.2">
      <c r="A798" s="142"/>
      <c r="B798" s="30"/>
      <c r="C798" s="30"/>
      <c r="D798" s="138"/>
      <c r="E798" s="138"/>
      <c r="F798" s="30"/>
      <c r="G798" s="30"/>
      <c r="H798" s="30"/>
      <c r="I798" s="139"/>
      <c r="J798" s="72"/>
      <c r="K798" s="327"/>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x14ac:dyDescent="0.2">
      <c r="A799" s="142"/>
      <c r="B799" s="30"/>
      <c r="C799" s="30"/>
      <c r="D799" s="138"/>
      <c r="E799" s="138"/>
      <c r="F799" s="30"/>
      <c r="G799" s="30"/>
      <c r="H799" s="30"/>
      <c r="I799" s="139"/>
      <c r="J799" s="72"/>
      <c r="K799" s="327"/>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x14ac:dyDescent="0.2">
      <c r="A800" s="142"/>
      <c r="B800" s="30"/>
      <c r="C800" s="30"/>
      <c r="D800" s="138"/>
      <c r="E800" s="138"/>
      <c r="F800" s="30"/>
      <c r="G800" s="30"/>
      <c r="H800" s="30"/>
      <c r="I800" s="139"/>
      <c r="J800" s="72"/>
      <c r="K800" s="327"/>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x14ac:dyDescent="0.2">
      <c r="A801" s="142"/>
      <c r="B801" s="30"/>
      <c r="C801" s="30"/>
      <c r="D801" s="138"/>
      <c r="E801" s="138"/>
      <c r="F801" s="30"/>
      <c r="G801" s="30"/>
      <c r="H801" s="30"/>
      <c r="I801" s="139"/>
      <c r="J801" s="72"/>
      <c r="K801" s="327"/>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x14ac:dyDescent="0.2">
      <c r="A802" s="142"/>
      <c r="B802" s="30"/>
      <c r="C802" s="30"/>
      <c r="D802" s="138"/>
      <c r="E802" s="138"/>
      <c r="F802" s="30"/>
      <c r="G802" s="30"/>
      <c r="H802" s="30"/>
      <c r="I802" s="139"/>
      <c r="J802" s="72"/>
      <c r="K802" s="327"/>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x14ac:dyDescent="0.2">
      <c r="A803" s="142"/>
      <c r="B803" s="30"/>
      <c r="C803" s="30"/>
      <c r="D803" s="138"/>
      <c r="E803" s="138"/>
      <c r="F803" s="30"/>
      <c r="G803" s="30"/>
      <c r="H803" s="30"/>
      <c r="I803" s="139"/>
      <c r="J803" s="72"/>
      <c r="K803" s="327"/>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x14ac:dyDescent="0.2">
      <c r="A804" s="142"/>
      <c r="B804" s="30"/>
      <c r="C804" s="30"/>
      <c r="D804" s="138"/>
      <c r="E804" s="138"/>
      <c r="F804" s="30"/>
      <c r="G804" s="30"/>
      <c r="H804" s="30"/>
      <c r="I804" s="139"/>
      <c r="J804" s="72"/>
      <c r="K804" s="327"/>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x14ac:dyDescent="0.2">
      <c r="A805" s="142"/>
      <c r="B805" s="30"/>
      <c r="C805" s="30"/>
      <c r="D805" s="138"/>
      <c r="E805" s="138"/>
      <c r="F805" s="30"/>
      <c r="G805" s="30"/>
      <c r="H805" s="30"/>
      <c r="I805" s="139"/>
      <c r="J805" s="72"/>
      <c r="K805" s="327"/>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x14ac:dyDescent="0.2">
      <c r="A806" s="142"/>
      <c r="B806" s="30"/>
      <c r="C806" s="30"/>
      <c r="D806" s="138"/>
      <c r="E806" s="138"/>
      <c r="F806" s="30"/>
      <c r="G806" s="30"/>
      <c r="H806" s="30"/>
      <c r="I806" s="139"/>
      <c r="J806" s="72"/>
      <c r="K806" s="327"/>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x14ac:dyDescent="0.2">
      <c r="A807" s="142"/>
      <c r="B807" s="30"/>
      <c r="C807" s="30"/>
      <c r="D807" s="138"/>
      <c r="E807" s="138"/>
      <c r="F807" s="30"/>
      <c r="G807" s="30"/>
      <c r="H807" s="30"/>
      <c r="I807" s="139"/>
      <c r="J807" s="72"/>
      <c r="K807" s="327"/>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x14ac:dyDescent="0.2">
      <c r="A808" s="142"/>
      <c r="B808" s="30"/>
      <c r="C808" s="30"/>
      <c r="D808" s="138"/>
      <c r="E808" s="138"/>
      <c r="F808" s="30"/>
      <c r="G808" s="30"/>
      <c r="H808" s="30"/>
      <c r="I808" s="139"/>
      <c r="J808" s="72"/>
      <c r="K808" s="327"/>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x14ac:dyDescent="0.2">
      <c r="A809" s="142"/>
      <c r="B809" s="30"/>
      <c r="C809" s="30"/>
      <c r="D809" s="138"/>
      <c r="E809" s="138"/>
      <c r="F809" s="30"/>
      <c r="G809" s="30"/>
      <c r="H809" s="30"/>
      <c r="I809" s="139"/>
      <c r="J809" s="72"/>
      <c r="K809" s="327"/>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x14ac:dyDescent="0.2">
      <c r="A810" s="142"/>
      <c r="B810" s="30"/>
      <c r="C810" s="30"/>
      <c r="D810" s="138"/>
      <c r="E810" s="138"/>
      <c r="F810" s="30"/>
      <c r="G810" s="30"/>
      <c r="H810" s="30"/>
      <c r="I810" s="139"/>
      <c r="J810" s="72"/>
      <c r="K810" s="327"/>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x14ac:dyDescent="0.2">
      <c r="A811" s="142"/>
      <c r="B811" s="30"/>
      <c r="C811" s="30"/>
      <c r="D811" s="138"/>
      <c r="E811" s="138"/>
      <c r="F811" s="30"/>
      <c r="G811" s="30"/>
      <c r="H811" s="30"/>
      <c r="I811" s="139"/>
      <c r="J811" s="72"/>
      <c r="K811" s="327"/>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x14ac:dyDescent="0.2">
      <c r="A812" s="142"/>
      <c r="B812" s="30"/>
      <c r="C812" s="30"/>
      <c r="D812" s="138"/>
      <c r="E812" s="138"/>
      <c r="F812" s="30"/>
      <c r="G812" s="30"/>
      <c r="H812" s="30"/>
      <c r="I812" s="139"/>
      <c r="J812" s="72"/>
      <c r="K812" s="327"/>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x14ac:dyDescent="0.2">
      <c r="A813" s="142"/>
      <c r="B813" s="30"/>
      <c r="C813" s="30"/>
      <c r="D813" s="138"/>
      <c r="E813" s="138"/>
      <c r="F813" s="30"/>
      <c r="G813" s="30"/>
      <c r="H813" s="30"/>
      <c r="I813" s="139"/>
      <c r="J813" s="72"/>
      <c r="K813" s="327"/>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x14ac:dyDescent="0.2">
      <c r="A814" s="142"/>
      <c r="B814" s="30"/>
      <c r="C814" s="30"/>
      <c r="D814" s="138"/>
      <c r="E814" s="138"/>
      <c r="F814" s="30"/>
      <c r="G814" s="30"/>
      <c r="H814" s="30"/>
      <c r="I814" s="139"/>
      <c r="J814" s="72"/>
      <c r="K814" s="327"/>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x14ac:dyDescent="0.2">
      <c r="A815" s="142"/>
      <c r="B815" s="30"/>
      <c r="C815" s="30"/>
      <c r="D815" s="138"/>
      <c r="E815" s="138"/>
      <c r="F815" s="30"/>
      <c r="G815" s="30"/>
      <c r="H815" s="30"/>
      <c r="I815" s="139"/>
      <c r="J815" s="72"/>
      <c r="K815" s="327"/>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x14ac:dyDescent="0.2">
      <c r="A816" s="142"/>
      <c r="B816" s="30"/>
      <c r="C816" s="30"/>
      <c r="D816" s="138"/>
      <c r="E816" s="138"/>
      <c r="F816" s="30"/>
      <c r="G816" s="30"/>
      <c r="H816" s="30"/>
      <c r="I816" s="139"/>
      <c r="J816" s="72"/>
      <c r="K816" s="327"/>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x14ac:dyDescent="0.2">
      <c r="A817" s="142"/>
      <c r="B817" s="30"/>
      <c r="C817" s="30"/>
      <c r="D817" s="138"/>
      <c r="E817" s="138"/>
      <c r="F817" s="30"/>
      <c r="G817" s="30"/>
      <c r="H817" s="30"/>
      <c r="I817" s="139"/>
      <c r="J817" s="72"/>
      <c r="K817" s="327"/>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x14ac:dyDescent="0.2">
      <c r="A818" s="142"/>
      <c r="B818" s="30"/>
      <c r="C818" s="30"/>
      <c r="D818" s="138"/>
      <c r="E818" s="138"/>
      <c r="F818" s="30"/>
      <c r="G818" s="30"/>
      <c r="H818" s="30"/>
      <c r="I818" s="139"/>
      <c r="J818" s="72"/>
      <c r="K818" s="327"/>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x14ac:dyDescent="0.2">
      <c r="A819" s="142"/>
      <c r="B819" s="30"/>
      <c r="C819" s="30"/>
      <c r="D819" s="138"/>
      <c r="E819" s="138"/>
      <c r="F819" s="30"/>
      <c r="G819" s="30"/>
      <c r="H819" s="30"/>
      <c r="I819" s="139"/>
      <c r="J819" s="72"/>
      <c r="K819" s="327"/>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x14ac:dyDescent="0.2">
      <c r="A820" s="142"/>
      <c r="B820" s="30"/>
      <c r="C820" s="30"/>
      <c r="D820" s="138"/>
      <c r="E820" s="138"/>
      <c r="F820" s="30"/>
      <c r="G820" s="30"/>
      <c r="H820" s="30"/>
      <c r="I820" s="139"/>
      <c r="J820" s="72"/>
      <c r="K820" s="327"/>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x14ac:dyDescent="0.2">
      <c r="A821" s="142"/>
      <c r="B821" s="30"/>
      <c r="C821" s="30"/>
      <c r="D821" s="138"/>
      <c r="E821" s="138"/>
      <c r="F821" s="30"/>
      <c r="G821" s="30"/>
      <c r="H821" s="30"/>
      <c r="I821" s="139"/>
      <c r="J821" s="72"/>
      <c r="K821" s="327"/>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x14ac:dyDescent="0.2">
      <c r="A822" s="142"/>
      <c r="B822" s="30"/>
      <c r="C822" s="30"/>
      <c r="D822" s="138"/>
      <c r="E822" s="138"/>
      <c r="F822" s="30"/>
      <c r="G822" s="30"/>
      <c r="H822" s="30"/>
      <c r="I822" s="139"/>
      <c r="J822" s="72"/>
      <c r="K822" s="327"/>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x14ac:dyDescent="0.2">
      <c r="A823" s="142"/>
      <c r="B823" s="30"/>
      <c r="C823" s="30"/>
      <c r="D823" s="138"/>
      <c r="E823" s="138"/>
      <c r="F823" s="30"/>
      <c r="G823" s="30"/>
      <c r="H823" s="30"/>
      <c r="I823" s="139"/>
      <c r="J823" s="72"/>
      <c r="K823" s="327"/>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x14ac:dyDescent="0.2">
      <c r="A824" s="142"/>
      <c r="B824" s="30"/>
      <c r="C824" s="30"/>
      <c r="D824" s="138"/>
      <c r="E824" s="138"/>
      <c r="F824" s="30"/>
      <c r="G824" s="30"/>
      <c r="H824" s="30"/>
      <c r="I824" s="139"/>
      <c r="J824" s="72"/>
      <c r="K824" s="327"/>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x14ac:dyDescent="0.2">
      <c r="A825" s="142"/>
      <c r="B825" s="30"/>
      <c r="C825" s="30"/>
      <c r="D825" s="138"/>
      <c r="E825" s="138"/>
      <c r="F825" s="30"/>
      <c r="G825" s="30"/>
      <c r="H825" s="30"/>
      <c r="I825" s="139"/>
      <c r="J825" s="72"/>
      <c r="K825" s="327"/>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x14ac:dyDescent="0.2">
      <c r="A826" s="142"/>
      <c r="B826" s="30"/>
      <c r="C826" s="30"/>
      <c r="D826" s="138"/>
      <c r="E826" s="138"/>
      <c r="F826" s="30"/>
      <c r="G826" s="30"/>
      <c r="H826" s="30"/>
      <c r="I826" s="139"/>
      <c r="J826" s="72"/>
      <c r="K826" s="327"/>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x14ac:dyDescent="0.2">
      <c r="A827" s="142"/>
      <c r="B827" s="30"/>
      <c r="C827" s="30"/>
      <c r="D827" s="138"/>
      <c r="E827" s="138"/>
      <c r="F827" s="30"/>
      <c r="G827" s="30"/>
      <c r="H827" s="30"/>
      <c r="I827" s="139"/>
      <c r="J827" s="72"/>
      <c r="K827" s="327"/>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x14ac:dyDescent="0.2">
      <c r="A828" s="142"/>
      <c r="B828" s="30"/>
      <c r="C828" s="30"/>
      <c r="D828" s="138"/>
      <c r="E828" s="138"/>
      <c r="F828" s="30"/>
      <c r="G828" s="30"/>
      <c r="H828" s="30"/>
      <c r="I828" s="139"/>
      <c r="J828" s="72"/>
      <c r="K828" s="327"/>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x14ac:dyDescent="0.2">
      <c r="A829" s="142"/>
      <c r="B829" s="30"/>
      <c r="C829" s="30"/>
      <c r="D829" s="138"/>
      <c r="E829" s="138"/>
      <c r="F829" s="30"/>
      <c r="G829" s="30"/>
      <c r="H829" s="30"/>
      <c r="I829" s="139"/>
      <c r="J829" s="72"/>
      <c r="K829" s="327"/>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x14ac:dyDescent="0.2">
      <c r="A830" s="142"/>
      <c r="B830" s="30"/>
      <c r="C830" s="30"/>
      <c r="D830" s="138"/>
      <c r="E830" s="138"/>
      <c r="F830" s="30"/>
      <c r="G830" s="30"/>
      <c r="H830" s="30"/>
      <c r="I830" s="139"/>
      <c r="J830" s="72"/>
      <c r="K830" s="327"/>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x14ac:dyDescent="0.2">
      <c r="A831" s="142"/>
      <c r="B831" s="30"/>
      <c r="C831" s="30"/>
      <c r="D831" s="138"/>
      <c r="E831" s="138"/>
      <c r="F831" s="30"/>
      <c r="G831" s="30"/>
      <c r="H831" s="30"/>
      <c r="I831" s="139"/>
      <c r="J831" s="72"/>
      <c r="K831" s="327"/>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x14ac:dyDescent="0.2">
      <c r="A832" s="142"/>
      <c r="B832" s="30"/>
      <c r="C832" s="30"/>
      <c r="D832" s="138"/>
      <c r="E832" s="138"/>
      <c r="F832" s="30"/>
      <c r="G832" s="30"/>
      <c r="H832" s="30"/>
      <c r="I832" s="139"/>
      <c r="J832" s="72"/>
      <c r="K832" s="327"/>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x14ac:dyDescent="0.2">
      <c r="A833" s="142"/>
      <c r="B833" s="30"/>
      <c r="C833" s="30"/>
      <c r="D833" s="138"/>
      <c r="E833" s="138"/>
      <c r="F833" s="30"/>
      <c r="G833" s="30"/>
      <c r="H833" s="30"/>
      <c r="I833" s="139"/>
      <c r="J833" s="72"/>
      <c r="K833" s="327"/>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x14ac:dyDescent="0.2">
      <c r="A834" s="142"/>
      <c r="B834" s="30"/>
      <c r="C834" s="30"/>
      <c r="D834" s="138"/>
      <c r="E834" s="138"/>
      <c r="F834" s="30"/>
      <c r="G834" s="30"/>
      <c r="H834" s="30"/>
      <c r="I834" s="139"/>
      <c r="J834" s="72"/>
      <c r="K834" s="327"/>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x14ac:dyDescent="0.2">
      <c r="A835" s="142"/>
      <c r="B835" s="30"/>
      <c r="C835" s="30"/>
      <c r="D835" s="138"/>
      <c r="E835" s="138"/>
      <c r="F835" s="30"/>
      <c r="G835" s="30"/>
      <c r="H835" s="30"/>
      <c r="I835" s="139"/>
      <c r="J835" s="72"/>
      <c r="K835" s="327"/>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x14ac:dyDescent="0.2">
      <c r="A836" s="142"/>
      <c r="B836" s="30"/>
      <c r="C836" s="30"/>
      <c r="D836" s="138"/>
      <c r="E836" s="138"/>
      <c r="F836" s="30"/>
      <c r="G836" s="30"/>
      <c r="H836" s="30"/>
      <c r="I836" s="139"/>
      <c r="J836" s="72"/>
      <c r="K836" s="327"/>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x14ac:dyDescent="0.2">
      <c r="A837" s="142"/>
      <c r="B837" s="30"/>
      <c r="C837" s="30"/>
      <c r="D837" s="138"/>
      <c r="E837" s="138"/>
      <c r="F837" s="30"/>
      <c r="G837" s="30"/>
      <c r="H837" s="30"/>
      <c r="I837" s="139"/>
      <c r="J837" s="72"/>
      <c r="K837" s="327"/>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x14ac:dyDescent="0.2">
      <c r="A838" s="142"/>
      <c r="B838" s="30"/>
      <c r="C838" s="30"/>
      <c r="D838" s="138"/>
      <c r="E838" s="138"/>
      <c r="F838" s="30"/>
      <c r="G838" s="30"/>
      <c r="H838" s="30"/>
      <c r="I838" s="139"/>
      <c r="J838" s="72"/>
      <c r="K838" s="327"/>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x14ac:dyDescent="0.2">
      <c r="A839" s="142"/>
      <c r="B839" s="30"/>
      <c r="C839" s="30"/>
      <c r="D839" s="138"/>
      <c r="E839" s="138"/>
      <c r="F839" s="30"/>
      <c r="G839" s="30"/>
      <c r="H839" s="30"/>
      <c r="I839" s="139"/>
      <c r="J839" s="72"/>
      <c r="K839" s="327"/>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x14ac:dyDescent="0.2">
      <c r="A840" s="142"/>
      <c r="B840" s="30"/>
      <c r="C840" s="30"/>
      <c r="D840" s="138"/>
      <c r="E840" s="138"/>
      <c r="F840" s="30"/>
      <c r="G840" s="30"/>
      <c r="H840" s="30"/>
      <c r="I840" s="139"/>
      <c r="J840" s="72"/>
      <c r="K840" s="327"/>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x14ac:dyDescent="0.2">
      <c r="A841" s="142"/>
      <c r="B841" s="30"/>
      <c r="C841" s="30"/>
      <c r="D841" s="138"/>
      <c r="E841" s="138"/>
      <c r="F841" s="30"/>
      <c r="G841" s="30"/>
      <c r="H841" s="30"/>
      <c r="I841" s="139"/>
      <c r="J841" s="72"/>
      <c r="K841" s="327"/>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x14ac:dyDescent="0.2">
      <c r="A842" s="142"/>
      <c r="B842" s="30"/>
      <c r="C842" s="30"/>
      <c r="D842" s="138"/>
      <c r="E842" s="138"/>
      <c r="F842" s="30"/>
      <c r="G842" s="30"/>
      <c r="H842" s="30"/>
      <c r="I842" s="139"/>
      <c r="J842" s="72"/>
      <c r="K842" s="327"/>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x14ac:dyDescent="0.2">
      <c r="A843" s="142"/>
      <c r="B843" s="30"/>
      <c r="C843" s="30"/>
      <c r="D843" s="138"/>
      <c r="E843" s="138"/>
      <c r="F843" s="30"/>
      <c r="G843" s="30"/>
      <c r="H843" s="30"/>
      <c r="I843" s="139"/>
      <c r="J843" s="72"/>
      <c r="K843" s="327"/>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x14ac:dyDescent="0.2">
      <c r="A844" s="142"/>
      <c r="B844" s="30"/>
      <c r="C844" s="30"/>
      <c r="D844" s="138"/>
      <c r="E844" s="138"/>
      <c r="F844" s="30"/>
      <c r="G844" s="30"/>
      <c r="H844" s="30"/>
      <c r="I844" s="139"/>
      <c r="J844" s="72"/>
      <c r="K844" s="327"/>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x14ac:dyDescent="0.2">
      <c r="A845" s="142"/>
      <c r="B845" s="30"/>
      <c r="C845" s="30"/>
      <c r="D845" s="138"/>
      <c r="E845" s="138"/>
      <c r="F845" s="30"/>
      <c r="G845" s="30"/>
      <c r="H845" s="30"/>
      <c r="I845" s="139"/>
      <c r="J845" s="72"/>
      <c r="K845" s="327"/>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x14ac:dyDescent="0.2">
      <c r="A846" s="142"/>
      <c r="B846" s="30"/>
      <c r="C846" s="30"/>
      <c r="D846" s="138"/>
      <c r="E846" s="138"/>
      <c r="F846" s="30"/>
      <c r="G846" s="30"/>
      <c r="H846" s="30"/>
      <c r="I846" s="139"/>
      <c r="J846" s="72"/>
      <c r="K846" s="327"/>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x14ac:dyDescent="0.2">
      <c r="A847" s="142"/>
      <c r="B847" s="30"/>
      <c r="C847" s="30"/>
      <c r="D847" s="138"/>
      <c r="E847" s="138"/>
      <c r="F847" s="30"/>
      <c r="G847" s="30"/>
      <c r="H847" s="30"/>
      <c r="I847" s="139"/>
      <c r="J847" s="72"/>
      <c r="K847" s="327"/>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x14ac:dyDescent="0.2">
      <c r="A848" s="142"/>
      <c r="B848" s="30"/>
      <c r="C848" s="30"/>
      <c r="D848" s="138"/>
      <c r="E848" s="138"/>
      <c r="F848" s="30"/>
      <c r="G848" s="30"/>
      <c r="H848" s="30"/>
      <c r="I848" s="139"/>
      <c r="J848" s="72"/>
      <c r="K848" s="327"/>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x14ac:dyDescent="0.2">
      <c r="A849" s="142"/>
      <c r="B849" s="30"/>
      <c r="C849" s="30"/>
      <c r="D849" s="138"/>
      <c r="E849" s="138"/>
      <c r="F849" s="30"/>
      <c r="G849" s="30"/>
      <c r="H849" s="30"/>
      <c r="I849" s="139"/>
      <c r="J849" s="72"/>
      <c r="K849" s="327"/>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x14ac:dyDescent="0.2">
      <c r="A850" s="142"/>
      <c r="B850" s="30"/>
      <c r="C850" s="30"/>
      <c r="D850" s="138"/>
      <c r="E850" s="138"/>
      <c r="F850" s="30"/>
      <c r="G850" s="30"/>
      <c r="H850" s="30"/>
      <c r="I850" s="139"/>
      <c r="J850" s="72"/>
      <c r="K850" s="327"/>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x14ac:dyDescent="0.2">
      <c r="A851" s="142"/>
      <c r="B851" s="30"/>
      <c r="C851" s="30"/>
      <c r="D851" s="138"/>
      <c r="E851" s="138"/>
      <c r="F851" s="30"/>
      <c r="G851" s="30"/>
      <c r="H851" s="30"/>
      <c r="I851" s="139"/>
      <c r="J851" s="72"/>
      <c r="K851" s="327"/>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x14ac:dyDescent="0.2">
      <c r="A852" s="142"/>
      <c r="B852" s="30"/>
      <c r="C852" s="30"/>
      <c r="D852" s="138"/>
      <c r="E852" s="138"/>
      <c r="F852" s="30"/>
      <c r="G852" s="30"/>
      <c r="H852" s="30"/>
      <c r="I852" s="139"/>
      <c r="J852" s="72"/>
      <c r="K852" s="327"/>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x14ac:dyDescent="0.2">
      <c r="A853" s="142"/>
      <c r="B853" s="30"/>
      <c r="C853" s="30"/>
      <c r="D853" s="138"/>
      <c r="E853" s="138"/>
      <c r="F853" s="30"/>
      <c r="G853" s="30"/>
      <c r="H853" s="30"/>
      <c r="I853" s="139"/>
      <c r="J853" s="72"/>
      <c r="K853" s="327"/>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x14ac:dyDescent="0.2">
      <c r="A854" s="142"/>
      <c r="B854" s="30"/>
      <c r="C854" s="30"/>
      <c r="D854" s="138"/>
      <c r="E854" s="138"/>
      <c r="F854" s="30"/>
      <c r="G854" s="30"/>
      <c r="H854" s="30"/>
      <c r="I854" s="139"/>
      <c r="J854" s="72"/>
      <c r="K854" s="327"/>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x14ac:dyDescent="0.2">
      <c r="A855" s="142"/>
      <c r="B855" s="30"/>
      <c r="C855" s="30"/>
      <c r="D855" s="138"/>
      <c r="E855" s="138"/>
      <c r="F855" s="30"/>
      <c r="G855" s="30"/>
      <c r="H855" s="30"/>
      <c r="I855" s="139"/>
      <c r="J855" s="72"/>
      <c r="K855" s="327"/>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x14ac:dyDescent="0.2">
      <c r="A856" s="142"/>
      <c r="B856" s="30"/>
      <c r="C856" s="30"/>
      <c r="D856" s="138"/>
      <c r="E856" s="138"/>
      <c r="F856" s="30"/>
      <c r="G856" s="30"/>
      <c r="H856" s="30"/>
      <c r="I856" s="139"/>
      <c r="J856" s="72"/>
      <c r="K856" s="327"/>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x14ac:dyDescent="0.2">
      <c r="A857" s="142"/>
      <c r="B857" s="30"/>
      <c r="C857" s="30"/>
      <c r="D857" s="138"/>
      <c r="E857" s="138"/>
      <c r="F857" s="30"/>
      <c r="G857" s="30"/>
      <c r="H857" s="30"/>
      <c r="I857" s="139"/>
      <c r="J857" s="72"/>
      <c r="K857" s="327"/>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x14ac:dyDescent="0.2">
      <c r="A858" s="142"/>
      <c r="B858" s="30"/>
      <c r="C858" s="30"/>
      <c r="D858" s="138"/>
      <c r="E858" s="138"/>
      <c r="F858" s="30"/>
      <c r="G858" s="30"/>
      <c r="H858" s="30"/>
      <c r="I858" s="139"/>
      <c r="J858" s="72"/>
      <c r="K858" s="327"/>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x14ac:dyDescent="0.2">
      <c r="A859" s="142"/>
      <c r="B859" s="30"/>
      <c r="C859" s="30"/>
      <c r="D859" s="138"/>
      <c r="E859" s="138"/>
      <c r="F859" s="30"/>
      <c r="G859" s="30"/>
      <c r="H859" s="30"/>
      <c r="I859" s="139"/>
      <c r="J859" s="72"/>
      <c r="K859" s="327"/>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x14ac:dyDescent="0.2">
      <c r="A860" s="142"/>
      <c r="B860" s="30"/>
      <c r="C860" s="30"/>
      <c r="D860" s="138"/>
      <c r="E860" s="138"/>
      <c r="F860" s="30"/>
      <c r="G860" s="30"/>
      <c r="H860" s="30"/>
      <c r="I860" s="139"/>
      <c r="J860" s="72"/>
      <c r="K860" s="327"/>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x14ac:dyDescent="0.2">
      <c r="A861" s="142"/>
      <c r="B861" s="30"/>
      <c r="C861" s="30"/>
      <c r="D861" s="138"/>
      <c r="E861" s="138"/>
      <c r="F861" s="30"/>
      <c r="G861" s="30"/>
      <c r="H861" s="30"/>
      <c r="I861" s="139"/>
      <c r="J861" s="72"/>
      <c r="K861" s="327"/>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x14ac:dyDescent="0.2">
      <c r="A862" s="142"/>
      <c r="B862" s="30"/>
      <c r="C862" s="30"/>
      <c r="D862" s="138"/>
      <c r="E862" s="138"/>
      <c r="F862" s="30"/>
      <c r="G862" s="30"/>
      <c r="H862" s="30"/>
      <c r="I862" s="139"/>
      <c r="J862" s="72"/>
      <c r="K862" s="327"/>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x14ac:dyDescent="0.2">
      <c r="A863" s="142"/>
      <c r="B863" s="30"/>
      <c r="C863" s="30"/>
      <c r="D863" s="138"/>
      <c r="E863" s="138"/>
      <c r="F863" s="30"/>
      <c r="G863" s="30"/>
      <c r="H863" s="30"/>
      <c r="I863" s="139"/>
      <c r="J863" s="72"/>
      <c r="K863" s="327"/>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x14ac:dyDescent="0.2">
      <c r="A864" s="142"/>
      <c r="B864" s="30"/>
      <c r="C864" s="30"/>
      <c r="D864" s="138"/>
      <c r="E864" s="138"/>
      <c r="F864" s="30"/>
      <c r="G864" s="30"/>
      <c r="H864" s="30"/>
      <c r="I864" s="139"/>
      <c r="J864" s="72"/>
      <c r="K864" s="327"/>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x14ac:dyDescent="0.2">
      <c r="A865" s="142"/>
      <c r="B865" s="30"/>
      <c r="C865" s="30"/>
      <c r="D865" s="138"/>
      <c r="E865" s="138"/>
      <c r="F865" s="30"/>
      <c r="G865" s="30"/>
      <c r="H865" s="30"/>
      <c r="I865" s="139"/>
      <c r="J865" s="72"/>
      <c r="K865" s="327"/>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x14ac:dyDescent="0.2">
      <c r="A866" s="142"/>
      <c r="B866" s="30"/>
      <c r="C866" s="30"/>
      <c r="D866" s="138"/>
      <c r="E866" s="138"/>
      <c r="F866" s="30"/>
      <c r="G866" s="30"/>
      <c r="H866" s="30"/>
      <c r="I866" s="139"/>
      <c r="J866" s="72"/>
      <c r="K866" s="327"/>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x14ac:dyDescent="0.2">
      <c r="A867" s="142"/>
      <c r="B867" s="30"/>
      <c r="C867" s="30"/>
      <c r="D867" s="138"/>
      <c r="E867" s="138"/>
      <c r="F867" s="30"/>
      <c r="G867" s="30"/>
      <c r="H867" s="30"/>
      <c r="I867" s="139"/>
      <c r="J867" s="72"/>
      <c r="K867" s="327"/>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x14ac:dyDescent="0.2">
      <c r="A868" s="142"/>
      <c r="B868" s="30"/>
      <c r="C868" s="30"/>
      <c r="D868" s="138"/>
      <c r="E868" s="138"/>
      <c r="F868" s="30"/>
      <c r="G868" s="30"/>
      <c r="H868" s="30"/>
      <c r="I868" s="139"/>
      <c r="J868" s="72"/>
      <c r="K868" s="327"/>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x14ac:dyDescent="0.2">
      <c r="A869" s="142"/>
      <c r="B869" s="30"/>
      <c r="C869" s="30"/>
      <c r="D869" s="138"/>
      <c r="E869" s="138"/>
      <c r="F869" s="30"/>
      <c r="G869" s="30"/>
      <c r="H869" s="30"/>
      <c r="I869" s="139"/>
      <c r="J869" s="72"/>
      <c r="K869" s="327"/>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x14ac:dyDescent="0.2">
      <c r="A870" s="142"/>
      <c r="B870" s="30"/>
      <c r="C870" s="30"/>
      <c r="D870" s="138"/>
      <c r="E870" s="138"/>
      <c r="F870" s="30"/>
      <c r="G870" s="30"/>
      <c r="H870" s="30"/>
      <c r="I870" s="139"/>
      <c r="J870" s="72"/>
      <c r="K870" s="327"/>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x14ac:dyDescent="0.2">
      <c r="A871" s="142"/>
      <c r="B871" s="30"/>
      <c r="C871" s="30"/>
      <c r="D871" s="138"/>
      <c r="E871" s="138"/>
      <c r="F871" s="30"/>
      <c r="G871" s="30"/>
      <c r="H871" s="30"/>
      <c r="I871" s="139"/>
      <c r="J871" s="72"/>
      <c r="K871" s="327"/>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x14ac:dyDescent="0.2">
      <c r="A872" s="142"/>
      <c r="B872" s="30"/>
      <c r="C872" s="30"/>
      <c r="D872" s="138"/>
      <c r="E872" s="138"/>
      <c r="F872" s="30"/>
      <c r="G872" s="30"/>
      <c r="H872" s="30"/>
      <c r="I872" s="139"/>
      <c r="J872" s="72"/>
      <c r="K872" s="327"/>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x14ac:dyDescent="0.2">
      <c r="A873" s="142"/>
      <c r="B873" s="30"/>
      <c r="C873" s="30"/>
      <c r="D873" s="138"/>
      <c r="E873" s="138"/>
      <c r="F873" s="30"/>
      <c r="G873" s="30"/>
      <c r="H873" s="30"/>
      <c r="I873" s="139"/>
      <c r="J873" s="72"/>
      <c r="K873" s="327"/>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x14ac:dyDescent="0.2">
      <c r="A874" s="142"/>
      <c r="B874" s="30"/>
      <c r="C874" s="30"/>
      <c r="D874" s="138"/>
      <c r="E874" s="138"/>
      <c r="F874" s="30"/>
      <c r="G874" s="30"/>
      <c r="H874" s="30"/>
      <c r="I874" s="139"/>
      <c r="J874" s="72"/>
      <c r="K874" s="327"/>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x14ac:dyDescent="0.2">
      <c r="A875" s="142"/>
      <c r="B875" s="30"/>
      <c r="C875" s="30"/>
      <c r="D875" s="138"/>
      <c r="E875" s="138"/>
      <c r="F875" s="30"/>
      <c r="G875" s="30"/>
      <c r="H875" s="30"/>
      <c r="I875" s="139"/>
      <c r="J875" s="72"/>
      <c r="K875" s="327"/>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x14ac:dyDescent="0.2">
      <c r="A876" s="142"/>
      <c r="B876" s="30"/>
      <c r="C876" s="30"/>
      <c r="D876" s="138"/>
      <c r="E876" s="138"/>
      <c r="F876" s="30"/>
      <c r="G876" s="30"/>
      <c r="H876" s="30"/>
      <c r="I876" s="139"/>
      <c r="J876" s="72"/>
      <c r="K876" s="327"/>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x14ac:dyDescent="0.2">
      <c r="A877" s="142"/>
      <c r="B877" s="30"/>
      <c r="C877" s="30"/>
      <c r="D877" s="138"/>
      <c r="E877" s="138"/>
      <c r="F877" s="30"/>
      <c r="G877" s="30"/>
      <c r="H877" s="30"/>
      <c r="I877" s="139"/>
      <c r="J877" s="72"/>
      <c r="K877" s="327"/>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x14ac:dyDescent="0.2">
      <c r="A878" s="142"/>
      <c r="B878" s="30"/>
      <c r="C878" s="30"/>
      <c r="D878" s="138"/>
      <c r="E878" s="138"/>
      <c r="F878" s="30"/>
      <c r="G878" s="30"/>
      <c r="H878" s="30"/>
      <c r="I878" s="139"/>
      <c r="J878" s="72"/>
      <c r="K878" s="327"/>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x14ac:dyDescent="0.2">
      <c r="A879" s="142"/>
      <c r="B879" s="30"/>
      <c r="C879" s="30"/>
      <c r="D879" s="138"/>
      <c r="E879" s="138"/>
      <c r="F879" s="30"/>
      <c r="G879" s="30"/>
      <c r="H879" s="30"/>
      <c r="I879" s="139"/>
      <c r="J879" s="72"/>
      <c r="K879" s="327"/>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x14ac:dyDescent="0.2">
      <c r="A880" s="142"/>
      <c r="B880" s="30"/>
      <c r="C880" s="30"/>
      <c r="D880" s="138"/>
      <c r="E880" s="138"/>
      <c r="F880" s="30"/>
      <c r="G880" s="30"/>
      <c r="H880" s="30"/>
      <c r="I880" s="139"/>
      <c r="J880" s="72"/>
      <c r="K880" s="327"/>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x14ac:dyDescent="0.2">
      <c r="A881" s="142"/>
      <c r="B881" s="30"/>
      <c r="C881" s="30"/>
      <c r="D881" s="138"/>
      <c r="E881" s="138"/>
      <c r="F881" s="30"/>
      <c r="G881" s="30"/>
      <c r="H881" s="30"/>
      <c r="I881" s="139"/>
      <c r="J881" s="72"/>
      <c r="K881" s="327"/>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x14ac:dyDescent="0.2">
      <c r="A882" s="142"/>
      <c r="B882" s="30"/>
      <c r="C882" s="30"/>
      <c r="D882" s="138"/>
      <c r="E882" s="138"/>
      <c r="F882" s="30"/>
      <c r="G882" s="30"/>
      <c r="H882" s="30"/>
      <c r="I882" s="139"/>
      <c r="J882" s="72"/>
      <c r="K882" s="327"/>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x14ac:dyDescent="0.2">
      <c r="A883" s="142"/>
      <c r="B883" s="30"/>
      <c r="C883" s="30"/>
      <c r="D883" s="138"/>
      <c r="E883" s="138"/>
      <c r="F883" s="30"/>
      <c r="G883" s="30"/>
      <c r="H883" s="30"/>
      <c r="I883" s="139"/>
      <c r="J883" s="72"/>
      <c r="K883" s="327"/>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x14ac:dyDescent="0.2">
      <c r="A884" s="142"/>
      <c r="B884" s="30"/>
      <c r="C884" s="30"/>
      <c r="D884" s="138"/>
      <c r="E884" s="138"/>
      <c r="F884" s="30"/>
      <c r="G884" s="30"/>
      <c r="H884" s="30"/>
      <c r="I884" s="139"/>
      <c r="J884" s="72"/>
      <c r="K884" s="327"/>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x14ac:dyDescent="0.2">
      <c r="A885" s="142"/>
      <c r="B885" s="30"/>
      <c r="C885" s="30"/>
      <c r="D885" s="138"/>
      <c r="E885" s="138"/>
      <c r="F885" s="30"/>
      <c r="G885" s="30"/>
      <c r="H885" s="30"/>
      <c r="I885" s="139"/>
      <c r="J885" s="72"/>
      <c r="K885" s="327"/>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x14ac:dyDescent="0.2">
      <c r="A886" s="142"/>
      <c r="B886" s="30"/>
      <c r="C886" s="30"/>
      <c r="D886" s="138"/>
      <c r="E886" s="138"/>
      <c r="F886" s="30"/>
      <c r="G886" s="30"/>
      <c r="H886" s="30"/>
      <c r="I886" s="139"/>
      <c r="J886" s="72"/>
      <c r="K886" s="327"/>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x14ac:dyDescent="0.2">
      <c r="A887" s="142"/>
      <c r="B887" s="30"/>
      <c r="C887" s="30"/>
      <c r="D887" s="138"/>
      <c r="E887" s="138"/>
      <c r="F887" s="30"/>
      <c r="G887" s="30"/>
      <c r="H887" s="30"/>
      <c r="I887" s="139"/>
      <c r="J887" s="72"/>
      <c r="K887" s="327"/>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x14ac:dyDescent="0.2">
      <c r="A888" s="142"/>
      <c r="B888" s="30"/>
      <c r="C888" s="30"/>
      <c r="D888" s="138"/>
      <c r="E888" s="138"/>
      <c r="F888" s="30"/>
      <c r="G888" s="30"/>
      <c r="H888" s="30"/>
      <c r="I888" s="139"/>
      <c r="J888" s="72"/>
      <c r="K888" s="327"/>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x14ac:dyDescent="0.2">
      <c r="A889" s="142"/>
      <c r="B889" s="30"/>
      <c r="C889" s="30"/>
      <c r="D889" s="138"/>
      <c r="E889" s="138"/>
      <c r="F889" s="30"/>
      <c r="G889" s="30"/>
      <c r="H889" s="30"/>
      <c r="I889" s="139"/>
      <c r="J889" s="72"/>
      <c r="K889" s="327"/>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x14ac:dyDescent="0.2">
      <c r="A890" s="142"/>
      <c r="B890" s="30"/>
      <c r="C890" s="30"/>
      <c r="D890" s="138"/>
      <c r="E890" s="138"/>
      <c r="F890" s="30"/>
      <c r="G890" s="30"/>
      <c r="H890" s="30"/>
      <c r="I890" s="139"/>
      <c r="J890" s="72"/>
      <c r="K890" s="327"/>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x14ac:dyDescent="0.2">
      <c r="A891" s="142"/>
      <c r="B891" s="30"/>
      <c r="C891" s="30"/>
      <c r="D891" s="138"/>
      <c r="E891" s="138"/>
      <c r="F891" s="30"/>
      <c r="G891" s="30"/>
      <c r="H891" s="30"/>
      <c r="I891" s="139"/>
      <c r="J891" s="72"/>
      <c r="K891" s="327"/>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x14ac:dyDescent="0.2">
      <c r="A892" s="142"/>
      <c r="B892" s="30"/>
      <c r="C892" s="30"/>
      <c r="D892" s="138"/>
      <c r="E892" s="138"/>
      <c r="F892" s="30"/>
      <c r="G892" s="30"/>
      <c r="H892" s="30"/>
      <c r="I892" s="139"/>
      <c r="J892" s="72"/>
      <c r="K892" s="327"/>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x14ac:dyDescent="0.2">
      <c r="A893" s="142"/>
      <c r="B893" s="30"/>
      <c r="C893" s="30"/>
      <c r="D893" s="138"/>
      <c r="E893" s="138"/>
      <c r="F893" s="30"/>
      <c r="G893" s="30"/>
      <c r="H893" s="30"/>
      <c r="I893" s="139"/>
      <c r="J893" s="72"/>
      <c r="K893" s="327"/>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x14ac:dyDescent="0.2">
      <c r="A894" s="142"/>
      <c r="B894" s="30"/>
      <c r="C894" s="30"/>
      <c r="D894" s="138"/>
      <c r="E894" s="138"/>
      <c r="F894" s="30"/>
      <c r="G894" s="30"/>
      <c r="H894" s="30"/>
      <c r="I894" s="139"/>
      <c r="J894" s="72"/>
      <c r="K894" s="327"/>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x14ac:dyDescent="0.2">
      <c r="A895" s="142"/>
      <c r="B895" s="30"/>
      <c r="C895" s="30"/>
      <c r="D895" s="138"/>
      <c r="E895" s="138"/>
      <c r="F895" s="30"/>
      <c r="G895" s="30"/>
      <c r="H895" s="30"/>
      <c r="I895" s="139"/>
      <c r="J895" s="72"/>
      <c r="K895" s="327"/>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x14ac:dyDescent="0.2">
      <c r="A896" s="142"/>
      <c r="B896" s="30"/>
      <c r="C896" s="30"/>
      <c r="D896" s="138"/>
      <c r="E896" s="138"/>
      <c r="F896" s="30"/>
      <c r="G896" s="30"/>
      <c r="H896" s="30"/>
      <c r="I896" s="139"/>
      <c r="J896" s="72"/>
      <c r="K896" s="327"/>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x14ac:dyDescent="0.2">
      <c r="A897" s="142"/>
      <c r="B897" s="30"/>
      <c r="C897" s="30"/>
      <c r="D897" s="138"/>
      <c r="E897" s="138"/>
      <c r="F897" s="30"/>
      <c r="G897" s="30"/>
      <c r="H897" s="30"/>
      <c r="I897" s="139"/>
      <c r="J897" s="72"/>
      <c r="K897" s="327"/>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x14ac:dyDescent="0.2">
      <c r="A898" s="142"/>
      <c r="B898" s="30"/>
      <c r="C898" s="30"/>
      <c r="D898" s="138"/>
      <c r="E898" s="138"/>
      <c r="F898" s="30"/>
      <c r="G898" s="30"/>
      <c r="H898" s="30"/>
      <c r="I898" s="139"/>
      <c r="J898" s="72"/>
      <c r="K898" s="327"/>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x14ac:dyDescent="0.2">
      <c r="A899" s="142"/>
      <c r="B899" s="30"/>
      <c r="C899" s="30"/>
      <c r="D899" s="138"/>
      <c r="E899" s="138"/>
      <c r="F899" s="30"/>
      <c r="G899" s="30"/>
      <c r="H899" s="30"/>
      <c r="I899" s="139"/>
      <c r="J899" s="72"/>
      <c r="K899" s="327"/>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x14ac:dyDescent="0.2">
      <c r="A900" s="142"/>
      <c r="B900" s="30"/>
      <c r="C900" s="30"/>
      <c r="D900" s="138"/>
      <c r="E900" s="138"/>
      <c r="F900" s="30"/>
      <c r="G900" s="30"/>
      <c r="H900" s="30"/>
      <c r="I900" s="139"/>
      <c r="J900" s="72"/>
      <c r="K900" s="327"/>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x14ac:dyDescent="0.2">
      <c r="A901" s="142"/>
      <c r="B901" s="30"/>
      <c r="C901" s="30"/>
      <c r="D901" s="138"/>
      <c r="E901" s="138"/>
      <c r="F901" s="30"/>
      <c r="G901" s="30"/>
      <c r="H901" s="30"/>
      <c r="I901" s="139"/>
      <c r="J901" s="72"/>
      <c r="K901" s="327"/>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x14ac:dyDescent="0.2">
      <c r="A902" s="142"/>
      <c r="B902" s="30"/>
      <c r="C902" s="30"/>
      <c r="D902" s="138"/>
      <c r="E902" s="138"/>
      <c r="F902" s="30"/>
      <c r="G902" s="30"/>
      <c r="H902" s="30"/>
      <c r="I902" s="139"/>
      <c r="J902" s="72"/>
      <c r="K902" s="327"/>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x14ac:dyDescent="0.2">
      <c r="A903" s="142"/>
      <c r="B903" s="30"/>
      <c r="C903" s="30"/>
      <c r="D903" s="138"/>
      <c r="E903" s="138"/>
      <c r="F903" s="30"/>
      <c r="G903" s="30"/>
      <c r="H903" s="30"/>
      <c r="I903" s="139"/>
      <c r="J903" s="72"/>
      <c r="K903" s="327"/>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x14ac:dyDescent="0.2">
      <c r="A904" s="142"/>
      <c r="B904" s="30"/>
      <c r="C904" s="30"/>
      <c r="D904" s="138"/>
      <c r="E904" s="138"/>
      <c r="F904" s="30"/>
      <c r="G904" s="30"/>
      <c r="H904" s="30"/>
      <c r="I904" s="139"/>
      <c r="J904" s="72"/>
      <c r="K904" s="327"/>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x14ac:dyDescent="0.2">
      <c r="A905" s="142"/>
      <c r="B905" s="30"/>
      <c r="C905" s="30"/>
      <c r="D905" s="138"/>
      <c r="E905" s="138"/>
      <c r="F905" s="30"/>
      <c r="G905" s="30"/>
      <c r="H905" s="30"/>
      <c r="I905" s="139"/>
      <c r="J905" s="72"/>
      <c r="K905" s="327"/>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x14ac:dyDescent="0.2">
      <c r="A906" s="142"/>
      <c r="B906" s="30"/>
      <c r="C906" s="30"/>
      <c r="D906" s="138"/>
      <c r="E906" s="138"/>
      <c r="F906" s="30"/>
      <c r="G906" s="30"/>
      <c r="H906" s="30"/>
      <c r="I906" s="139"/>
      <c r="J906" s="72"/>
      <c r="K906" s="327"/>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x14ac:dyDescent="0.2">
      <c r="A907" s="142"/>
      <c r="B907" s="30"/>
      <c r="C907" s="30"/>
      <c r="D907" s="138"/>
      <c r="E907" s="138"/>
      <c r="F907" s="30"/>
      <c r="G907" s="30"/>
      <c r="H907" s="30"/>
      <c r="I907" s="139"/>
      <c r="J907" s="72"/>
      <c r="K907" s="327"/>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x14ac:dyDescent="0.2">
      <c r="A908" s="142"/>
      <c r="B908" s="30"/>
      <c r="C908" s="30"/>
      <c r="D908" s="138"/>
      <c r="E908" s="138"/>
      <c r="F908" s="30"/>
      <c r="G908" s="30"/>
      <c r="H908" s="30"/>
      <c r="I908" s="139"/>
      <c r="J908" s="72"/>
      <c r="K908" s="327"/>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x14ac:dyDescent="0.2">
      <c r="A909" s="142"/>
      <c r="B909" s="30"/>
      <c r="C909" s="30"/>
      <c r="D909" s="138"/>
      <c r="E909" s="138"/>
      <c r="F909" s="30"/>
      <c r="G909" s="30"/>
      <c r="H909" s="30"/>
      <c r="I909" s="139"/>
      <c r="J909" s="72"/>
      <c r="K909" s="327"/>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x14ac:dyDescent="0.2">
      <c r="A910" s="142"/>
      <c r="B910" s="30"/>
      <c r="C910" s="30"/>
      <c r="D910" s="138"/>
      <c r="E910" s="138"/>
      <c r="F910" s="30"/>
      <c r="G910" s="30"/>
      <c r="H910" s="30"/>
      <c r="I910" s="139"/>
      <c r="J910" s="72"/>
      <c r="K910" s="327"/>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x14ac:dyDescent="0.2">
      <c r="A911" s="142"/>
      <c r="B911" s="30"/>
      <c r="C911" s="30"/>
      <c r="D911" s="138"/>
      <c r="E911" s="138"/>
      <c r="F911" s="30"/>
      <c r="G911" s="30"/>
      <c r="H911" s="30"/>
      <c r="I911" s="139"/>
      <c r="J911" s="72"/>
      <c r="K911" s="327"/>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x14ac:dyDescent="0.2">
      <c r="A912" s="142"/>
      <c r="B912" s="30"/>
      <c r="C912" s="30"/>
      <c r="D912" s="138"/>
      <c r="E912" s="138"/>
      <c r="F912" s="30"/>
      <c r="G912" s="30"/>
      <c r="H912" s="30"/>
      <c r="I912" s="139"/>
      <c r="J912" s="72"/>
      <c r="K912" s="327"/>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x14ac:dyDescent="0.2">
      <c r="A913" s="142"/>
      <c r="B913" s="30"/>
      <c r="C913" s="30"/>
      <c r="D913" s="138"/>
      <c r="E913" s="138"/>
      <c r="F913" s="30"/>
      <c r="G913" s="30"/>
      <c r="H913" s="30"/>
      <c r="I913" s="139"/>
      <c r="J913" s="72"/>
      <c r="K913" s="327"/>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x14ac:dyDescent="0.2">
      <c r="A914" s="142"/>
      <c r="B914" s="30"/>
      <c r="C914" s="30"/>
      <c r="D914" s="138"/>
      <c r="E914" s="138"/>
      <c r="F914" s="30"/>
      <c r="G914" s="30"/>
      <c r="H914" s="30"/>
      <c r="I914" s="139"/>
      <c r="J914" s="72"/>
      <c r="K914" s="327"/>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x14ac:dyDescent="0.2">
      <c r="A915" s="142"/>
      <c r="B915" s="30"/>
      <c r="C915" s="30"/>
      <c r="D915" s="138"/>
      <c r="E915" s="138"/>
      <c r="F915" s="30"/>
      <c r="G915" s="30"/>
      <c r="H915" s="30"/>
      <c r="I915" s="139"/>
      <c r="J915" s="72"/>
      <c r="K915" s="327"/>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x14ac:dyDescent="0.2">
      <c r="A916" s="142"/>
      <c r="B916" s="30"/>
      <c r="C916" s="30"/>
      <c r="D916" s="138"/>
      <c r="E916" s="138"/>
      <c r="F916" s="30"/>
      <c r="G916" s="30"/>
      <c r="H916" s="30"/>
      <c r="I916" s="139"/>
      <c r="J916" s="72"/>
      <c r="K916" s="327"/>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x14ac:dyDescent="0.2">
      <c r="A917" s="142"/>
      <c r="B917" s="30"/>
      <c r="C917" s="30"/>
      <c r="D917" s="138"/>
      <c r="E917" s="138"/>
      <c r="F917" s="30"/>
      <c r="G917" s="30"/>
      <c r="H917" s="30"/>
      <c r="I917" s="139"/>
      <c r="J917" s="72"/>
      <c r="K917" s="327"/>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x14ac:dyDescent="0.2">
      <c r="A918" s="142"/>
      <c r="B918" s="30"/>
      <c r="C918" s="30"/>
      <c r="D918" s="138"/>
      <c r="E918" s="138"/>
      <c r="F918" s="30"/>
      <c r="G918" s="30"/>
      <c r="H918" s="30"/>
      <c r="I918" s="139"/>
      <c r="J918" s="72"/>
      <c r="K918" s="327"/>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x14ac:dyDescent="0.2">
      <c r="A919" s="142"/>
      <c r="B919" s="30"/>
      <c r="C919" s="30"/>
      <c r="D919" s="138"/>
      <c r="E919" s="138"/>
      <c r="F919" s="30"/>
      <c r="G919" s="30"/>
      <c r="H919" s="30"/>
      <c r="I919" s="139"/>
      <c r="J919" s="72"/>
      <c r="K919" s="327"/>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x14ac:dyDescent="0.2">
      <c r="A920" s="142"/>
      <c r="B920" s="30"/>
      <c r="C920" s="30"/>
      <c r="D920" s="138"/>
      <c r="E920" s="138"/>
      <c r="F920" s="30"/>
      <c r="G920" s="30"/>
      <c r="H920" s="30"/>
      <c r="I920" s="139"/>
      <c r="J920" s="72"/>
      <c r="K920" s="327"/>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x14ac:dyDescent="0.2">
      <c r="A921" s="142"/>
      <c r="B921" s="30"/>
      <c r="C921" s="30"/>
      <c r="D921" s="138"/>
      <c r="E921" s="138"/>
      <c r="F921" s="30"/>
      <c r="G921" s="30"/>
      <c r="H921" s="30"/>
      <c r="I921" s="139"/>
      <c r="J921" s="72"/>
      <c r="K921" s="327"/>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x14ac:dyDescent="0.2">
      <c r="A922" s="142"/>
      <c r="B922" s="30"/>
      <c r="C922" s="30"/>
      <c r="D922" s="138"/>
      <c r="E922" s="138"/>
      <c r="F922" s="30"/>
      <c r="G922" s="30"/>
      <c r="H922" s="30"/>
      <c r="I922" s="139"/>
      <c r="J922" s="72"/>
      <c r="K922" s="327"/>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x14ac:dyDescent="0.2">
      <c r="A923" s="142"/>
      <c r="B923" s="30"/>
      <c r="C923" s="30"/>
      <c r="D923" s="138"/>
      <c r="E923" s="138"/>
      <c r="F923" s="30"/>
      <c r="G923" s="30"/>
      <c r="H923" s="30"/>
      <c r="I923" s="139"/>
      <c r="J923" s="72"/>
      <c r="K923" s="327"/>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x14ac:dyDescent="0.2">
      <c r="A924" s="142"/>
      <c r="B924" s="30"/>
      <c r="C924" s="30"/>
      <c r="D924" s="138"/>
      <c r="E924" s="138"/>
      <c r="F924" s="30"/>
      <c r="G924" s="30"/>
      <c r="H924" s="30"/>
      <c r="I924" s="139"/>
      <c r="J924" s="72"/>
      <c r="K924" s="327"/>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x14ac:dyDescent="0.2">
      <c r="A925" s="142"/>
      <c r="B925" s="30"/>
      <c r="C925" s="30"/>
      <c r="D925" s="138"/>
      <c r="E925" s="138"/>
      <c r="F925" s="30"/>
      <c r="G925" s="30"/>
      <c r="H925" s="30"/>
      <c r="I925" s="139"/>
      <c r="J925" s="72"/>
      <c r="K925" s="327"/>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x14ac:dyDescent="0.2">
      <c r="A926" s="142"/>
      <c r="B926" s="30"/>
      <c r="C926" s="30"/>
      <c r="D926" s="138"/>
      <c r="E926" s="138"/>
      <c r="F926" s="30"/>
      <c r="G926" s="30"/>
      <c r="H926" s="30"/>
      <c r="I926" s="139"/>
      <c r="J926" s="72"/>
      <c r="K926" s="327"/>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x14ac:dyDescent="0.2">
      <c r="A927" s="142"/>
      <c r="B927" s="30"/>
      <c r="C927" s="30"/>
      <c r="D927" s="138"/>
      <c r="E927" s="138"/>
      <c r="F927" s="30"/>
      <c r="G927" s="30"/>
      <c r="H927" s="30"/>
      <c r="I927" s="139"/>
      <c r="J927" s="72"/>
      <c r="K927" s="327"/>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x14ac:dyDescent="0.2">
      <c r="A928" s="142"/>
      <c r="B928" s="30"/>
      <c r="C928" s="30"/>
      <c r="D928" s="138"/>
      <c r="E928" s="138"/>
      <c r="F928" s="30"/>
      <c r="G928" s="30"/>
      <c r="H928" s="30"/>
      <c r="I928" s="139"/>
      <c r="J928" s="72"/>
      <c r="K928" s="327"/>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x14ac:dyDescent="0.2">
      <c r="A929" s="142"/>
      <c r="B929" s="30"/>
      <c r="C929" s="30"/>
      <c r="D929" s="138"/>
      <c r="E929" s="138"/>
      <c r="F929" s="30"/>
      <c r="G929" s="30"/>
      <c r="H929" s="30"/>
      <c r="I929" s="139"/>
      <c r="J929" s="72"/>
      <c r="K929" s="327"/>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x14ac:dyDescent="0.2">
      <c r="A930" s="142"/>
      <c r="B930" s="30"/>
      <c r="C930" s="30"/>
      <c r="D930" s="138"/>
      <c r="E930" s="138"/>
      <c r="F930" s="30"/>
      <c r="G930" s="30"/>
      <c r="H930" s="30"/>
      <c r="I930" s="139"/>
      <c r="J930" s="72"/>
      <c r="K930" s="327"/>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x14ac:dyDescent="0.2">
      <c r="A931" s="142"/>
      <c r="B931" s="30"/>
      <c r="C931" s="30"/>
      <c r="D931" s="138"/>
      <c r="E931" s="138"/>
      <c r="F931" s="30"/>
      <c r="G931" s="30"/>
      <c r="H931" s="30"/>
      <c r="I931" s="139"/>
      <c r="J931" s="72"/>
      <c r="K931" s="327"/>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x14ac:dyDescent="0.2">
      <c r="A932" s="142"/>
      <c r="B932" s="30"/>
      <c r="C932" s="30"/>
      <c r="D932" s="138"/>
      <c r="E932" s="138"/>
      <c r="F932" s="30"/>
      <c r="G932" s="30"/>
      <c r="H932" s="30"/>
      <c r="I932" s="139"/>
      <c r="J932" s="72"/>
      <c r="K932" s="327"/>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x14ac:dyDescent="0.2">
      <c r="A933" s="142"/>
      <c r="B933" s="30"/>
      <c r="C933" s="30"/>
      <c r="D933" s="138"/>
      <c r="E933" s="138"/>
      <c r="F933" s="30"/>
      <c r="G933" s="30"/>
      <c r="H933" s="30"/>
      <c r="I933" s="139"/>
      <c r="J933" s="72"/>
      <c r="K933" s="327"/>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x14ac:dyDescent="0.2">
      <c r="A934" s="142"/>
      <c r="B934" s="30"/>
      <c r="C934" s="30"/>
      <c r="D934" s="138"/>
      <c r="E934" s="138"/>
      <c r="F934" s="30"/>
      <c r="G934" s="30"/>
      <c r="H934" s="30"/>
      <c r="I934" s="139"/>
      <c r="J934" s="72"/>
      <c r="K934" s="327"/>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x14ac:dyDescent="0.2">
      <c r="A935" s="142"/>
      <c r="B935" s="30"/>
      <c r="C935" s="30"/>
      <c r="D935" s="138"/>
      <c r="E935" s="138"/>
      <c r="F935" s="30"/>
      <c r="G935" s="30"/>
      <c r="H935" s="30"/>
      <c r="I935" s="139"/>
      <c r="J935" s="72"/>
      <c r="K935" s="327"/>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x14ac:dyDescent="0.2">
      <c r="A936" s="142"/>
      <c r="B936" s="30"/>
      <c r="C936" s="30"/>
      <c r="D936" s="138"/>
      <c r="E936" s="138"/>
      <c r="F936" s="30"/>
      <c r="G936" s="30"/>
      <c r="H936" s="30"/>
      <c r="I936" s="139"/>
      <c r="J936" s="72"/>
      <c r="K936" s="327"/>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x14ac:dyDescent="0.2">
      <c r="A937" s="142"/>
      <c r="B937" s="30"/>
      <c r="C937" s="30"/>
      <c r="D937" s="138"/>
      <c r="E937" s="138"/>
      <c r="F937" s="30"/>
      <c r="G937" s="30"/>
      <c r="H937" s="30"/>
      <c r="I937" s="139"/>
      <c r="J937" s="72"/>
      <c r="K937" s="327"/>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x14ac:dyDescent="0.2">
      <c r="A938" s="142"/>
      <c r="B938" s="30"/>
      <c r="C938" s="30"/>
      <c r="D938" s="138"/>
      <c r="E938" s="138"/>
      <c r="F938" s="30"/>
      <c r="G938" s="30"/>
      <c r="H938" s="30"/>
      <c r="I938" s="139"/>
      <c r="J938" s="72"/>
      <c r="K938" s="327"/>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x14ac:dyDescent="0.2">
      <c r="A939" s="142"/>
      <c r="B939" s="30"/>
      <c r="C939" s="30"/>
      <c r="D939" s="138"/>
      <c r="E939" s="138"/>
      <c r="F939" s="30"/>
      <c r="G939" s="30"/>
      <c r="H939" s="30"/>
      <c r="I939" s="139"/>
      <c r="J939" s="72"/>
      <c r="K939" s="327"/>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x14ac:dyDescent="0.2">
      <c r="A940" s="142"/>
      <c r="B940" s="30"/>
      <c r="C940" s="30"/>
      <c r="D940" s="138"/>
      <c r="E940" s="138"/>
      <c r="F940" s="30"/>
      <c r="G940" s="30"/>
      <c r="H940" s="30"/>
      <c r="I940" s="139"/>
      <c r="J940" s="72"/>
      <c r="K940" s="327"/>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x14ac:dyDescent="0.2">
      <c r="A941" s="142"/>
      <c r="B941" s="30"/>
      <c r="C941" s="30"/>
      <c r="D941" s="138"/>
      <c r="E941" s="138"/>
      <c r="F941" s="30"/>
      <c r="G941" s="30"/>
      <c r="H941" s="30"/>
      <c r="I941" s="139"/>
      <c r="J941" s="72"/>
      <c r="K941" s="327"/>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x14ac:dyDescent="0.2">
      <c r="A942" s="142"/>
      <c r="B942" s="30"/>
      <c r="C942" s="30"/>
      <c r="D942" s="138"/>
      <c r="E942" s="138"/>
      <c r="F942" s="30"/>
      <c r="G942" s="30"/>
      <c r="H942" s="30"/>
      <c r="I942" s="139"/>
      <c r="J942" s="72"/>
      <c r="K942" s="327"/>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x14ac:dyDescent="0.2">
      <c r="A943" s="142"/>
      <c r="B943" s="30"/>
      <c r="C943" s="30"/>
      <c r="D943" s="138"/>
      <c r="E943" s="138"/>
      <c r="F943" s="30"/>
      <c r="G943" s="30"/>
      <c r="H943" s="30"/>
      <c r="I943" s="139"/>
      <c r="J943" s="72"/>
      <c r="K943" s="327"/>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x14ac:dyDescent="0.2">
      <c r="A944" s="142"/>
      <c r="B944" s="30"/>
      <c r="C944" s="30"/>
      <c r="D944" s="138"/>
      <c r="E944" s="138"/>
      <c r="F944" s="30"/>
      <c r="G944" s="30"/>
      <c r="H944" s="30"/>
      <c r="I944" s="139"/>
      <c r="J944" s="72"/>
      <c r="K944" s="327"/>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x14ac:dyDescent="0.2">
      <c r="A945" s="142"/>
      <c r="B945" s="30"/>
      <c r="C945" s="30"/>
      <c r="D945" s="138"/>
      <c r="E945" s="138"/>
      <c r="F945" s="30"/>
      <c r="G945" s="30"/>
      <c r="H945" s="30"/>
      <c r="I945" s="139"/>
      <c r="J945" s="72"/>
      <c r="K945" s="327"/>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x14ac:dyDescent="0.2">
      <c r="A946" s="142"/>
      <c r="B946" s="30"/>
      <c r="C946" s="30"/>
      <c r="D946" s="138"/>
      <c r="E946" s="138"/>
      <c r="F946" s="30"/>
      <c r="G946" s="30"/>
      <c r="H946" s="30"/>
      <c r="I946" s="139"/>
      <c r="J946" s="72"/>
      <c r="K946" s="327"/>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x14ac:dyDescent="0.2">
      <c r="A947" s="142"/>
      <c r="B947" s="30"/>
      <c r="C947" s="30"/>
      <c r="D947" s="138"/>
      <c r="E947" s="138"/>
      <c r="F947" s="30"/>
      <c r="G947" s="30"/>
      <c r="H947" s="30"/>
      <c r="I947" s="139"/>
      <c r="J947" s="72"/>
      <c r="K947" s="327"/>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x14ac:dyDescent="0.2">
      <c r="A948" s="142"/>
      <c r="B948" s="30"/>
      <c r="C948" s="30"/>
      <c r="D948" s="138"/>
      <c r="E948" s="138"/>
      <c r="F948" s="30"/>
      <c r="G948" s="30"/>
      <c r="H948" s="30"/>
      <c r="I948" s="139"/>
      <c r="J948" s="72"/>
      <c r="K948" s="327"/>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x14ac:dyDescent="0.2">
      <c r="A949" s="142"/>
      <c r="B949" s="30"/>
      <c r="C949" s="30"/>
      <c r="D949" s="138"/>
      <c r="E949" s="138"/>
      <c r="F949" s="30"/>
      <c r="G949" s="30"/>
      <c r="H949" s="30"/>
      <c r="I949" s="139"/>
      <c r="J949" s="72"/>
      <c r="K949" s="327"/>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x14ac:dyDescent="0.2">
      <c r="A950" s="142"/>
      <c r="B950" s="30"/>
      <c r="C950" s="30"/>
      <c r="D950" s="138"/>
      <c r="E950" s="138"/>
      <c r="F950" s="30"/>
      <c r="G950" s="30"/>
      <c r="H950" s="30"/>
      <c r="I950" s="139"/>
      <c r="J950" s="72"/>
      <c r="K950" s="327"/>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x14ac:dyDescent="0.2">
      <c r="A951" s="142"/>
      <c r="B951" s="30"/>
      <c r="C951" s="30"/>
      <c r="D951" s="138"/>
      <c r="E951" s="138"/>
      <c r="F951" s="30"/>
      <c r="G951" s="30"/>
      <c r="H951" s="30"/>
      <c r="I951" s="139"/>
      <c r="J951" s="72"/>
      <c r="K951" s="327"/>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x14ac:dyDescent="0.2">
      <c r="A952" s="142"/>
      <c r="B952" s="30"/>
      <c r="C952" s="30"/>
      <c r="D952" s="138"/>
      <c r="E952" s="138"/>
      <c r="F952" s="30"/>
      <c r="G952" s="30"/>
      <c r="H952" s="30"/>
      <c r="I952" s="139"/>
      <c r="J952" s="72"/>
      <c r="K952" s="327"/>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x14ac:dyDescent="0.2">
      <c r="A953" s="142"/>
      <c r="B953" s="30"/>
      <c r="C953" s="30"/>
      <c r="D953" s="138"/>
      <c r="E953" s="138"/>
      <c r="F953" s="30"/>
      <c r="G953" s="30"/>
      <c r="H953" s="30"/>
      <c r="I953" s="139"/>
      <c r="J953" s="72"/>
      <c r="K953" s="327"/>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x14ac:dyDescent="0.2">
      <c r="A954" s="142"/>
      <c r="B954" s="30"/>
      <c r="C954" s="30"/>
      <c r="D954" s="138"/>
      <c r="E954" s="138"/>
      <c r="F954" s="30"/>
      <c r="G954" s="30"/>
      <c r="H954" s="30"/>
      <c r="I954" s="139"/>
      <c r="J954" s="72"/>
      <c r="K954" s="327"/>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x14ac:dyDescent="0.2">
      <c r="A955" s="142"/>
      <c r="B955" s="30"/>
      <c r="C955" s="30"/>
      <c r="D955" s="138"/>
      <c r="E955" s="138"/>
      <c r="F955" s="30"/>
      <c r="G955" s="30"/>
      <c r="H955" s="30"/>
      <c r="I955" s="139"/>
      <c r="J955" s="72"/>
      <c r="K955" s="327"/>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x14ac:dyDescent="0.2">
      <c r="A956" s="142"/>
      <c r="B956" s="30"/>
      <c r="C956" s="30"/>
      <c r="D956" s="138"/>
      <c r="E956" s="138"/>
      <c r="F956" s="30"/>
      <c r="G956" s="30"/>
      <c r="H956" s="30"/>
      <c r="I956" s="139"/>
      <c r="J956" s="72"/>
      <c r="K956" s="327"/>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x14ac:dyDescent="0.2">
      <c r="A957" s="142"/>
      <c r="B957" s="30"/>
      <c r="C957" s="30"/>
      <c r="D957" s="138"/>
      <c r="E957" s="138"/>
      <c r="F957" s="30"/>
      <c r="G957" s="30"/>
      <c r="H957" s="30"/>
      <c r="I957" s="139"/>
      <c r="J957" s="72"/>
      <c r="K957" s="327"/>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x14ac:dyDescent="0.2">
      <c r="A958" s="142"/>
      <c r="B958" s="30"/>
      <c r="C958" s="30"/>
      <c r="D958" s="138"/>
      <c r="E958" s="138"/>
      <c r="F958" s="30"/>
      <c r="G958" s="30"/>
      <c r="H958" s="30"/>
      <c r="I958" s="139"/>
      <c r="J958" s="72"/>
      <c r="K958" s="327"/>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x14ac:dyDescent="0.2">
      <c r="A959" s="142"/>
      <c r="B959" s="30"/>
      <c r="C959" s="30"/>
      <c r="D959" s="138"/>
      <c r="E959" s="138"/>
      <c r="F959" s="30"/>
      <c r="G959" s="30"/>
      <c r="H959" s="30"/>
      <c r="I959" s="139"/>
      <c r="J959" s="72"/>
      <c r="K959" s="327"/>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x14ac:dyDescent="0.2">
      <c r="A960" s="142"/>
      <c r="B960" s="30"/>
      <c r="C960" s="30"/>
      <c r="D960" s="138"/>
      <c r="E960" s="138"/>
      <c r="F960" s="30"/>
      <c r="G960" s="30"/>
      <c r="H960" s="30"/>
      <c r="I960" s="139"/>
      <c r="J960" s="72"/>
      <c r="K960" s="327"/>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x14ac:dyDescent="0.2">
      <c r="A961" s="142"/>
      <c r="B961" s="30"/>
      <c r="C961" s="30"/>
      <c r="D961" s="138"/>
      <c r="E961" s="138"/>
      <c r="F961" s="30"/>
      <c r="G961" s="30"/>
      <c r="H961" s="30"/>
      <c r="I961" s="139"/>
      <c r="J961" s="72"/>
      <c r="K961" s="327"/>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x14ac:dyDescent="0.2">
      <c r="A962" s="142"/>
      <c r="B962" s="30"/>
      <c r="C962" s="30"/>
      <c r="D962" s="138"/>
      <c r="E962" s="138"/>
      <c r="F962" s="30"/>
      <c r="G962" s="30"/>
      <c r="H962" s="30"/>
      <c r="I962" s="139"/>
      <c r="J962" s="72"/>
      <c r="K962" s="327"/>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x14ac:dyDescent="0.2">
      <c r="A963" s="142"/>
      <c r="B963" s="30"/>
      <c r="C963" s="30"/>
      <c r="D963" s="138"/>
      <c r="E963" s="138"/>
      <c r="F963" s="30"/>
      <c r="G963" s="30"/>
      <c r="H963" s="30"/>
      <c r="I963" s="139"/>
      <c r="J963" s="72"/>
      <c r="K963" s="327"/>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x14ac:dyDescent="0.2">
      <c r="A964" s="142"/>
      <c r="B964" s="30"/>
      <c r="C964" s="30"/>
      <c r="D964" s="138"/>
      <c r="E964" s="138"/>
      <c r="F964" s="30"/>
      <c r="G964" s="30"/>
      <c r="H964" s="30"/>
      <c r="I964" s="139"/>
      <c r="J964" s="72"/>
      <c r="K964" s="327"/>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x14ac:dyDescent="0.2">
      <c r="A965" s="142"/>
      <c r="B965" s="30"/>
      <c r="C965" s="30"/>
      <c r="D965" s="138"/>
      <c r="E965" s="138"/>
      <c r="F965" s="30"/>
      <c r="G965" s="30"/>
      <c r="H965" s="30"/>
      <c r="I965" s="139"/>
      <c r="J965" s="72"/>
      <c r="K965" s="327"/>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x14ac:dyDescent="0.2">
      <c r="A966" s="142"/>
      <c r="B966" s="30"/>
      <c r="C966" s="30"/>
      <c r="D966" s="138"/>
      <c r="E966" s="138"/>
      <c r="F966" s="30"/>
      <c r="G966" s="30"/>
      <c r="H966" s="30"/>
      <c r="I966" s="139"/>
      <c r="J966" s="72"/>
      <c r="K966" s="327"/>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x14ac:dyDescent="0.2">
      <c r="A967" s="142"/>
      <c r="B967" s="30"/>
      <c r="C967" s="30"/>
      <c r="D967" s="138"/>
      <c r="E967" s="138"/>
      <c r="F967" s="30"/>
      <c r="G967" s="30"/>
      <c r="H967" s="30"/>
      <c r="I967" s="139"/>
      <c r="J967" s="72"/>
      <c r="K967" s="327"/>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x14ac:dyDescent="0.2">
      <c r="A968" s="142"/>
      <c r="B968" s="30"/>
      <c r="C968" s="30"/>
      <c r="D968" s="138"/>
      <c r="E968" s="138"/>
      <c r="F968" s="30"/>
      <c r="G968" s="30"/>
      <c r="H968" s="30"/>
      <c r="I968" s="139"/>
      <c r="J968" s="72"/>
      <c r="K968" s="327"/>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x14ac:dyDescent="0.2">
      <c r="A969" s="142"/>
      <c r="B969" s="30"/>
      <c r="C969" s="30"/>
      <c r="D969" s="138"/>
      <c r="E969" s="138"/>
      <c r="F969" s="30"/>
      <c r="G969" s="30"/>
      <c r="H969" s="30"/>
      <c r="I969" s="139"/>
      <c r="J969" s="72"/>
      <c r="K969" s="327"/>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x14ac:dyDescent="0.2">
      <c r="A970" s="142"/>
      <c r="B970" s="30"/>
      <c r="C970" s="30"/>
      <c r="D970" s="138"/>
      <c r="E970" s="138"/>
      <c r="F970" s="30"/>
      <c r="G970" s="30"/>
      <c r="H970" s="30"/>
      <c r="I970" s="139"/>
      <c r="J970" s="72"/>
      <c r="K970" s="327"/>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x14ac:dyDescent="0.2">
      <c r="A971" s="142"/>
      <c r="B971" s="30"/>
      <c r="C971" s="30"/>
      <c r="D971" s="138"/>
      <c r="E971" s="138"/>
      <c r="F971" s="30"/>
      <c r="G971" s="30"/>
      <c r="H971" s="30"/>
      <c r="I971" s="139"/>
      <c r="J971" s="72"/>
      <c r="K971" s="327"/>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x14ac:dyDescent="0.2">
      <c r="A972" s="142"/>
      <c r="B972" s="30"/>
      <c r="C972" s="30"/>
      <c r="D972" s="138"/>
      <c r="E972" s="138"/>
      <c r="F972" s="30"/>
      <c r="G972" s="30"/>
      <c r="H972" s="30"/>
      <c r="I972" s="139"/>
      <c r="J972" s="72"/>
      <c r="K972" s="327"/>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x14ac:dyDescent="0.2">
      <c r="A973" s="142"/>
      <c r="B973" s="30"/>
      <c r="C973" s="30"/>
      <c r="D973" s="138"/>
      <c r="E973" s="138"/>
      <c r="F973" s="30"/>
      <c r="G973" s="30"/>
      <c r="H973" s="30"/>
      <c r="I973" s="139"/>
      <c r="J973" s="72"/>
      <c r="K973" s="327"/>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x14ac:dyDescent="0.2">
      <c r="A974" s="142"/>
      <c r="B974" s="30"/>
      <c r="C974" s="30"/>
      <c r="D974" s="138"/>
      <c r="E974" s="138"/>
      <c r="F974" s="30"/>
      <c r="G974" s="30"/>
      <c r="H974" s="30"/>
      <c r="I974" s="139"/>
      <c r="J974" s="72"/>
      <c r="K974" s="327"/>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x14ac:dyDescent="0.2">
      <c r="A975" s="142"/>
      <c r="B975" s="30"/>
      <c r="C975" s="30"/>
      <c r="D975" s="138"/>
      <c r="E975" s="138"/>
      <c r="F975" s="30"/>
      <c r="G975" s="30"/>
      <c r="H975" s="30"/>
      <c r="I975" s="139"/>
      <c r="J975" s="72"/>
      <c r="K975" s="327"/>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x14ac:dyDescent="0.2">
      <c r="A976" s="142"/>
      <c r="B976" s="30"/>
      <c r="C976" s="30"/>
      <c r="D976" s="138"/>
      <c r="E976" s="138"/>
      <c r="F976" s="30"/>
      <c r="G976" s="30"/>
      <c r="H976" s="30"/>
      <c r="I976" s="139"/>
      <c r="J976" s="72"/>
      <c r="K976" s="327"/>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x14ac:dyDescent="0.2">
      <c r="A977" s="142"/>
      <c r="B977" s="30"/>
      <c r="C977" s="30"/>
      <c r="D977" s="138"/>
      <c r="E977" s="138"/>
      <c r="F977" s="30"/>
      <c r="G977" s="30"/>
      <c r="H977" s="30"/>
      <c r="I977" s="139"/>
      <c r="J977" s="72"/>
      <c r="K977" s="327"/>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x14ac:dyDescent="0.2">
      <c r="A978" s="142"/>
      <c r="B978" s="30"/>
      <c r="C978" s="30"/>
      <c r="D978" s="138"/>
      <c r="E978" s="138"/>
      <c r="F978" s="30"/>
      <c r="G978" s="30"/>
      <c r="H978" s="30"/>
      <c r="I978" s="139"/>
      <c r="J978" s="72"/>
      <c r="K978" s="327"/>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x14ac:dyDescent="0.2">
      <c r="A979" s="142"/>
      <c r="B979" s="30"/>
      <c r="C979" s="30"/>
      <c r="D979" s="138"/>
      <c r="E979" s="138"/>
      <c r="F979" s="30"/>
      <c r="G979" s="30"/>
      <c r="H979" s="30"/>
      <c r="I979" s="139"/>
      <c r="J979" s="72"/>
      <c r="K979" s="327"/>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x14ac:dyDescent="0.2">
      <c r="A980" s="142"/>
      <c r="B980" s="30"/>
      <c r="C980" s="30"/>
      <c r="D980" s="138"/>
      <c r="E980" s="138"/>
      <c r="F980" s="30"/>
      <c r="G980" s="30"/>
      <c r="H980" s="30"/>
      <c r="I980" s="139"/>
      <c r="J980" s="72"/>
      <c r="K980" s="327"/>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x14ac:dyDescent="0.2">
      <c r="A981" s="142"/>
      <c r="B981" s="30"/>
      <c r="C981" s="30"/>
      <c r="D981" s="138"/>
      <c r="E981" s="138"/>
      <c r="F981" s="30"/>
      <c r="G981" s="30"/>
      <c r="H981" s="30"/>
      <c r="I981" s="139"/>
      <c r="J981" s="72"/>
      <c r="K981" s="327"/>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x14ac:dyDescent="0.2">
      <c r="A982" s="142"/>
      <c r="B982" s="30"/>
      <c r="C982" s="30"/>
      <c r="D982" s="138"/>
      <c r="E982" s="138"/>
      <c r="F982" s="30"/>
      <c r="G982" s="30"/>
      <c r="H982" s="30"/>
      <c r="I982" s="139"/>
      <c r="J982" s="72"/>
      <c r="K982" s="327"/>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x14ac:dyDescent="0.2">
      <c r="A983" s="142"/>
      <c r="B983" s="30"/>
      <c r="C983" s="30"/>
      <c r="D983" s="138"/>
      <c r="E983" s="138"/>
      <c r="F983" s="30"/>
      <c r="G983" s="30"/>
      <c r="H983" s="30"/>
      <c r="I983" s="139"/>
      <c r="J983" s="72"/>
      <c r="K983" s="327"/>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x14ac:dyDescent="0.2">
      <c r="A984" s="142"/>
      <c r="B984" s="30"/>
      <c r="C984" s="30"/>
      <c r="D984" s="138"/>
      <c r="E984" s="138"/>
      <c r="F984" s="30"/>
      <c r="G984" s="30"/>
      <c r="H984" s="30"/>
      <c r="I984" s="139"/>
      <c r="J984" s="72"/>
      <c r="K984" s="327"/>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x14ac:dyDescent="0.2">
      <c r="A985" s="142"/>
      <c r="B985" s="30"/>
      <c r="C985" s="30"/>
      <c r="D985" s="138"/>
      <c r="E985" s="138"/>
      <c r="F985" s="30"/>
      <c r="G985" s="30"/>
      <c r="H985" s="30"/>
      <c r="I985" s="139"/>
      <c r="J985" s="72"/>
      <c r="K985" s="327"/>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x14ac:dyDescent="0.2">
      <c r="A986" s="142"/>
      <c r="B986" s="30"/>
      <c r="C986" s="30"/>
      <c r="D986" s="138"/>
      <c r="E986" s="138"/>
      <c r="F986" s="30"/>
      <c r="G986" s="30"/>
      <c r="H986" s="30"/>
      <c r="I986" s="139"/>
      <c r="J986" s="72"/>
      <c r="K986" s="327"/>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x14ac:dyDescent="0.2">
      <c r="A987" s="142"/>
      <c r="B987" s="30"/>
      <c r="C987" s="30"/>
      <c r="D987" s="138"/>
      <c r="E987" s="138"/>
      <c r="F987" s="30"/>
      <c r="G987" s="30"/>
      <c r="H987" s="30"/>
      <c r="I987" s="139"/>
      <c r="J987" s="72"/>
      <c r="K987" s="327"/>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x14ac:dyDescent="0.2">
      <c r="A988" s="142"/>
      <c r="B988" s="30"/>
      <c r="C988" s="30"/>
      <c r="D988" s="138"/>
      <c r="E988" s="138"/>
      <c r="F988" s="30"/>
      <c r="G988" s="30"/>
      <c r="H988" s="30"/>
      <c r="I988" s="139"/>
      <c r="J988" s="72"/>
      <c r="K988" s="327"/>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x14ac:dyDescent="0.2">
      <c r="A989" s="142"/>
      <c r="B989" s="30"/>
      <c r="C989" s="30"/>
      <c r="D989" s="138"/>
      <c r="E989" s="138"/>
      <c r="F989" s="30"/>
      <c r="G989" s="30"/>
      <c r="H989" s="30"/>
      <c r="I989" s="139"/>
      <c r="J989" s="72"/>
      <c r="K989" s="327"/>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x14ac:dyDescent="0.2">
      <c r="A990" s="142"/>
      <c r="B990" s="30"/>
      <c r="C990" s="30"/>
      <c r="D990" s="138"/>
      <c r="E990" s="138"/>
      <c r="F990" s="30"/>
      <c r="G990" s="30"/>
      <c r="H990" s="30"/>
      <c r="I990" s="139"/>
      <c r="J990" s="72"/>
      <c r="K990" s="327"/>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x14ac:dyDescent="0.2">
      <c r="A991" s="142"/>
      <c r="B991" s="30"/>
      <c r="C991" s="30"/>
      <c r="D991" s="138"/>
      <c r="E991" s="138"/>
      <c r="F991" s="30"/>
      <c r="G991" s="30"/>
      <c r="H991" s="30"/>
      <c r="I991" s="139"/>
      <c r="J991" s="72"/>
      <c r="K991" s="327"/>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x14ac:dyDescent="0.2">
      <c r="A992" s="142"/>
      <c r="B992" s="30"/>
      <c r="C992" s="30"/>
      <c r="D992" s="138"/>
      <c r="E992" s="138"/>
      <c r="F992" s="30"/>
      <c r="G992" s="30"/>
      <c r="H992" s="30"/>
      <c r="I992" s="139"/>
      <c r="J992" s="72"/>
      <c r="K992" s="327"/>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x14ac:dyDescent="0.2">
      <c r="A993" s="142"/>
      <c r="B993" s="30"/>
      <c r="C993" s="30"/>
      <c r="D993" s="138"/>
      <c r="E993" s="138"/>
      <c r="F993" s="30"/>
      <c r="G993" s="30"/>
      <c r="H993" s="30"/>
      <c r="I993" s="139"/>
      <c r="J993" s="72"/>
      <c r="K993" s="327"/>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x14ac:dyDescent="0.2">
      <c r="A994" s="142"/>
      <c r="B994" s="30"/>
      <c r="C994" s="30"/>
      <c r="D994" s="138"/>
      <c r="E994" s="138"/>
      <c r="F994" s="30"/>
      <c r="G994" s="30"/>
      <c r="H994" s="30"/>
      <c r="I994" s="139"/>
      <c r="J994" s="72"/>
      <c r="K994" s="327"/>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x14ac:dyDescent="0.2">
      <c r="A995" s="142"/>
      <c r="B995" s="30"/>
      <c r="C995" s="30"/>
      <c r="D995" s="138"/>
      <c r="E995" s="138"/>
      <c r="F995" s="30"/>
      <c r="G995" s="30"/>
      <c r="H995" s="30"/>
      <c r="I995" s="139"/>
      <c r="J995" s="72"/>
      <c r="K995" s="327"/>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x14ac:dyDescent="0.2">
      <c r="A996" s="142"/>
      <c r="B996" s="30"/>
      <c r="C996" s="30"/>
      <c r="D996" s="138"/>
      <c r="E996" s="138"/>
      <c r="F996" s="30"/>
      <c r="G996" s="30"/>
      <c r="H996" s="30"/>
      <c r="I996" s="139"/>
      <c r="J996" s="72"/>
      <c r="K996" s="327"/>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x14ac:dyDescent="0.2">
      <c r="A997" s="142"/>
      <c r="B997" s="30"/>
      <c r="C997" s="30"/>
      <c r="D997" s="138"/>
      <c r="E997" s="138"/>
      <c r="F997" s="30"/>
      <c r="G997" s="30"/>
      <c r="H997" s="30"/>
      <c r="I997" s="139"/>
      <c r="J997" s="72"/>
      <c r="K997" s="327"/>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x14ac:dyDescent="0.2">
      <c r="A998" s="142"/>
      <c r="B998" s="30"/>
      <c r="C998" s="30"/>
      <c r="D998" s="138"/>
      <c r="E998" s="138"/>
      <c r="F998" s="30"/>
      <c r="G998" s="30"/>
      <c r="H998" s="30"/>
      <c r="I998" s="139"/>
      <c r="J998" s="72"/>
      <c r="K998" s="327"/>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x14ac:dyDescent="0.2">
      <c r="A999" s="142"/>
      <c r="B999" s="30"/>
      <c r="C999" s="30"/>
      <c r="D999" s="138"/>
      <c r="E999" s="138"/>
      <c r="F999" s="30"/>
      <c r="G999" s="30"/>
      <c r="H999" s="30"/>
      <c r="I999" s="139"/>
      <c r="J999" s="72"/>
      <c r="K999" s="327"/>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x14ac:dyDescent="0.2">
      <c r="A1000" s="142"/>
      <c r="B1000" s="30"/>
      <c r="C1000" s="30"/>
      <c r="D1000" s="138"/>
      <c r="E1000" s="138"/>
      <c r="F1000" s="30"/>
      <c r="G1000" s="30"/>
      <c r="H1000" s="30"/>
      <c r="I1000" s="139"/>
      <c r="J1000" s="72"/>
      <c r="K1000" s="327"/>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algorithmName="SHA-512" hashValue="oUPPuzeKTsVEptGAcaUreRvk55mweaD9BYPw76t4oFvrHeKAeZtX8PeQ5HyRAnK+VqN32nqIl6lopZ3f1YlZzw==" saltValue="N1fA/pX5O0uDeppmXvSACA==" spinCount="100000" sheet="1" objects="1" scenarios="1"/>
  <mergeCells count="310">
    <mergeCell ref="AB45:AC45"/>
    <mergeCell ref="AB46:AC46"/>
    <mergeCell ref="AB29:AC29"/>
    <mergeCell ref="AB30:AC30"/>
    <mergeCell ref="AB31:AC31"/>
    <mergeCell ref="AB32:AC32"/>
    <mergeCell ref="AB33:AC33"/>
    <mergeCell ref="AB34:AC34"/>
    <mergeCell ref="AB35:AC35"/>
    <mergeCell ref="AB36:AC36"/>
    <mergeCell ref="AB37:AC37"/>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AB17:AC17"/>
    <mergeCell ref="AB18:AC18"/>
    <mergeCell ref="AB19:AC19"/>
    <mergeCell ref="AB13:AC13"/>
    <mergeCell ref="AB14:A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08:C208"/>
    <mergeCell ref="B193:C193"/>
    <mergeCell ref="B194:C194"/>
    <mergeCell ref="B195:C195"/>
    <mergeCell ref="B196:C196"/>
    <mergeCell ref="B197:C197"/>
    <mergeCell ref="B198:C198"/>
    <mergeCell ref="B199:C199"/>
    <mergeCell ref="B200:C200"/>
    <mergeCell ref="B201:C201"/>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r:uid="{00000000-0002-0000-0200-000000000000}">
          <x14:formula1>
            <xm:f>Roster!$AS$61:$AS$171</xm:f>
          </x14:formula1>
          <xm:sqref>AC3</xm:sqref>
        </x14:dataValidation>
        <x14:dataValidation type="list" allowBlank="1" xr:uid="{84B3B1C6-8B05-4FFF-8B70-8994FF0E94DD}">
          <x14:formula1>
            <xm:f>Roster!$AZ$62:$AZ$68</xm:f>
          </x14:formula1>
          <xm:sqref>AC2</xm:sqref>
        </x14:dataValidation>
        <x14:dataValidation type="list" allowBlank="1" showErrorMessage="1" xr:uid="{63D559B7-C782-4F83-8A0D-681CDF33FDD6}">
          <x14:formula1>
            <xm:f>Roster!$AJ$71:$AJ$75</xm:f>
          </x14:formula1>
          <xm:sqref>X6:X55</xm:sqref>
        </x14:dataValidation>
        <x14:dataValidation type="list" allowBlank="1" showErrorMessage="1" xr:uid="{00000000-0002-0000-0200-000002000000}">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L1000"/>
  <sheetViews>
    <sheetView zoomScaleNormal="100" workbookViewId="0">
      <selection activeCell="B3" sqref="B3"/>
    </sheetView>
  </sheetViews>
  <sheetFormatPr defaultColWidth="0" defaultRowHeight="15" customHeight="1" zeroHeight="1" x14ac:dyDescent="0.2"/>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x14ac:dyDescent="0.2">
      <c r="A1" s="406" t="str">
        <f>IF(Roster!$K$25="Italiano","GIOCATORI MORTI &amp; TEMPORANEAMENTE RITIRATI",(IF(Roster!$K$25="Español","MUERTOS Y JUGADORES RETIRADOS",(IF(Roster!$K$25="Deutsch","TOTE &amp; PENSIONIERTE SPIELER",(IF(Roster!$K$25="Français","JOUEURS MORTS ET RETRAITÉS","DEAD &amp; RETIRED PLAYERS")))))))</f>
        <v>DEAD &amp; RETIRED PLAYERS</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2"/>
      <c r="AL1" s="73"/>
    </row>
    <row r="2" spans="1:38" ht="22.5" customHeight="1" x14ac:dyDescent="0.2">
      <c r="A2" s="24" t="s">
        <v>29</v>
      </c>
      <c r="B2" s="24" t="str">
        <f>IF(Roster!$K$25="Italiano","NOME GIOCATORE",(IF(Roster!$K$25="Español","NOMBRE JUGADOR",(IF(Roster!$K$25="Deutsch","NAME",(IF(Roster!$K$25="Français","NOM DU JOUEUR","PLAYER NAME")))))))</f>
        <v>PLAYER NAME</v>
      </c>
      <c r="C2" s="406" t="str">
        <f>IF(Roster!$K$25="Italiano","TIPO",(IF(Roster!$K$25="Español","TIPO",(IF(Roster!$K$25="Deutsch","POSITION",(IF(Roster!$K$25="Français","POSTE","TYPE")))))))</f>
        <v>TYPE</v>
      </c>
      <c r="D2" s="361"/>
      <c r="E2" s="361"/>
      <c r="F2" s="362"/>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06" t="str">
        <f>IF(Roster!$K$25="Italiano","ABILITÀ",(IF(Roster!$K$25="Español","HABILIDADES",(IF(Roster!$K$25="Deutsch","FERTIGKEITEN",(IF(Roster!$K$25="Français","COMPÉTENCES","SKILLS")))))))</f>
        <v>SKILLS</v>
      </c>
      <c r="M2" s="361"/>
      <c r="N2" s="361"/>
      <c r="O2" s="361"/>
      <c r="P2" s="361"/>
      <c r="Q2" s="361"/>
      <c r="R2" s="361"/>
      <c r="S2" s="361"/>
      <c r="T2" s="361"/>
      <c r="U2" s="361"/>
      <c r="V2" s="362"/>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392" t="str">
        <f>IF(Roster!$K$25="Italiano","SPP Totali",(IF(Roster!$K$25="Español","SPP Totales",(IF(Roster!$K$25="Deutsch","Gesamte SPP",(IF(Roster!$K$25="Français","Total PSP","Total SPP")))))))</f>
        <v>Total SPP</v>
      </c>
      <c r="AG2" s="362"/>
      <c r="AH2" s="392" t="str">
        <f>IF(Roster!$K$25="Italiano","SPP Non Spesi",(IF(Roster!$K$25="Español","SPP Sin gastar",(IF(Roster!$K$25="Deutsch","Verfügb. SPP",(IF(Roster!$K$25="Français","PSP restant","Unspent SPP")))))))</f>
        <v>Unspent SPP</v>
      </c>
      <c r="AI2" s="362"/>
      <c r="AJ2" s="406" t="str">
        <f>IF(Roster!$K$25="Italiano","COSTO",(IF(Roster!$K$25="Español","PRECIO",(IF(Roster!$K$25="Deutsch","WERT",(IF(Roster!$K$25="Français","VALEUR","COST")))))))</f>
        <v>COST</v>
      </c>
      <c r="AK2" s="362"/>
      <c r="AL2" s="498"/>
    </row>
    <row r="3" spans="1:38" ht="22.5" customHeight="1" x14ac:dyDescent="0.2">
      <c r="A3" s="24">
        <v>1</v>
      </c>
      <c r="B3" s="238"/>
      <c r="C3" s="497"/>
      <c r="D3" s="358"/>
      <c r="E3" s="358"/>
      <c r="F3" s="359"/>
      <c r="G3" s="163"/>
      <c r="H3" s="163"/>
      <c r="I3" s="163"/>
      <c r="J3" s="163"/>
      <c r="K3" s="163"/>
      <c r="L3" s="496"/>
      <c r="M3" s="358"/>
      <c r="N3" s="358"/>
      <c r="O3" s="358"/>
      <c r="P3" s="358"/>
      <c r="Q3" s="358"/>
      <c r="R3" s="358"/>
      <c r="S3" s="358"/>
      <c r="T3" s="358"/>
      <c r="U3" s="358"/>
      <c r="V3" s="359"/>
      <c r="W3" s="164"/>
      <c r="X3" s="165"/>
      <c r="Y3" s="165"/>
      <c r="Z3" s="165"/>
      <c r="AA3" s="166"/>
      <c r="AB3" s="166"/>
      <c r="AC3" s="166"/>
      <c r="AD3" s="166"/>
      <c r="AE3" s="166"/>
      <c r="AF3" s="495"/>
      <c r="AG3" s="359"/>
      <c r="AH3" s="495"/>
      <c r="AI3" s="359"/>
      <c r="AJ3" s="501"/>
      <c r="AK3" s="359"/>
      <c r="AL3" s="499"/>
    </row>
    <row r="4" spans="1:38" ht="22.5" customHeight="1" x14ac:dyDescent="0.2">
      <c r="A4" s="24">
        <v>2</v>
      </c>
      <c r="B4" s="81"/>
      <c r="C4" s="386"/>
      <c r="D4" s="358"/>
      <c r="E4" s="358"/>
      <c r="F4" s="359"/>
      <c r="G4" s="163"/>
      <c r="H4" s="163"/>
      <c r="I4" s="163"/>
      <c r="J4" s="163"/>
      <c r="K4" s="163"/>
      <c r="L4" s="496"/>
      <c r="M4" s="358"/>
      <c r="N4" s="358"/>
      <c r="O4" s="358"/>
      <c r="P4" s="358"/>
      <c r="Q4" s="358"/>
      <c r="R4" s="358"/>
      <c r="S4" s="358"/>
      <c r="T4" s="358"/>
      <c r="U4" s="358"/>
      <c r="V4" s="359"/>
      <c r="W4" s="164"/>
      <c r="X4" s="165"/>
      <c r="Y4" s="165"/>
      <c r="Z4" s="165"/>
      <c r="AA4" s="166"/>
      <c r="AB4" s="166"/>
      <c r="AC4" s="166"/>
      <c r="AD4" s="166"/>
      <c r="AE4" s="166"/>
      <c r="AF4" s="495"/>
      <c r="AG4" s="359"/>
      <c r="AH4" s="495"/>
      <c r="AI4" s="359"/>
      <c r="AJ4" s="495"/>
      <c r="AK4" s="359"/>
      <c r="AL4" s="499"/>
    </row>
    <row r="5" spans="1:38" ht="22.5" customHeight="1" x14ac:dyDescent="0.2">
      <c r="A5" s="24">
        <v>3</v>
      </c>
      <c r="B5" s="81"/>
      <c r="C5" s="386"/>
      <c r="D5" s="358"/>
      <c r="E5" s="358"/>
      <c r="F5" s="359"/>
      <c r="G5" s="163"/>
      <c r="H5" s="163"/>
      <c r="I5" s="163"/>
      <c r="J5" s="163"/>
      <c r="K5" s="163"/>
      <c r="L5" s="496"/>
      <c r="M5" s="358"/>
      <c r="N5" s="358"/>
      <c r="O5" s="358"/>
      <c r="P5" s="358"/>
      <c r="Q5" s="358"/>
      <c r="R5" s="358"/>
      <c r="S5" s="358"/>
      <c r="T5" s="358"/>
      <c r="U5" s="358"/>
      <c r="V5" s="359"/>
      <c r="W5" s="164"/>
      <c r="X5" s="165"/>
      <c r="Y5" s="165"/>
      <c r="Z5" s="165"/>
      <c r="AA5" s="166"/>
      <c r="AB5" s="166"/>
      <c r="AC5" s="166"/>
      <c r="AD5" s="166"/>
      <c r="AE5" s="166"/>
      <c r="AF5" s="495"/>
      <c r="AG5" s="359"/>
      <c r="AH5" s="495"/>
      <c r="AI5" s="359"/>
      <c r="AJ5" s="495"/>
      <c r="AK5" s="359"/>
      <c r="AL5" s="499"/>
    </row>
    <row r="6" spans="1:38" ht="22.5" customHeight="1" x14ac:dyDescent="0.2">
      <c r="A6" s="24">
        <v>4</v>
      </c>
      <c r="B6" s="81"/>
      <c r="C6" s="386"/>
      <c r="D6" s="358"/>
      <c r="E6" s="358"/>
      <c r="F6" s="359"/>
      <c r="G6" s="163"/>
      <c r="H6" s="163"/>
      <c r="I6" s="163"/>
      <c r="J6" s="163"/>
      <c r="K6" s="163"/>
      <c r="L6" s="496"/>
      <c r="M6" s="358"/>
      <c r="N6" s="358"/>
      <c r="O6" s="358"/>
      <c r="P6" s="358"/>
      <c r="Q6" s="358"/>
      <c r="R6" s="358"/>
      <c r="S6" s="358"/>
      <c r="T6" s="358"/>
      <c r="U6" s="358"/>
      <c r="V6" s="359"/>
      <c r="W6" s="164"/>
      <c r="X6" s="165"/>
      <c r="Y6" s="165"/>
      <c r="Z6" s="165"/>
      <c r="AA6" s="166"/>
      <c r="AB6" s="166"/>
      <c r="AC6" s="166"/>
      <c r="AD6" s="166"/>
      <c r="AE6" s="166"/>
      <c r="AF6" s="495"/>
      <c r="AG6" s="359"/>
      <c r="AH6" s="495"/>
      <c r="AI6" s="359"/>
      <c r="AJ6" s="495"/>
      <c r="AK6" s="359"/>
      <c r="AL6" s="499"/>
    </row>
    <row r="7" spans="1:38" ht="22.5" customHeight="1" x14ac:dyDescent="0.2">
      <c r="A7" s="24">
        <v>5</v>
      </c>
      <c r="B7" s="81"/>
      <c r="C7" s="386"/>
      <c r="D7" s="358"/>
      <c r="E7" s="358"/>
      <c r="F7" s="359"/>
      <c r="G7" s="163"/>
      <c r="H7" s="163"/>
      <c r="I7" s="163"/>
      <c r="J7" s="163"/>
      <c r="K7" s="163"/>
      <c r="L7" s="496"/>
      <c r="M7" s="358"/>
      <c r="N7" s="358"/>
      <c r="O7" s="358"/>
      <c r="P7" s="358"/>
      <c r="Q7" s="358"/>
      <c r="R7" s="358"/>
      <c r="S7" s="358"/>
      <c r="T7" s="358"/>
      <c r="U7" s="358"/>
      <c r="V7" s="359"/>
      <c r="W7" s="164"/>
      <c r="X7" s="165"/>
      <c r="Y7" s="165"/>
      <c r="Z7" s="165"/>
      <c r="AA7" s="166"/>
      <c r="AB7" s="166"/>
      <c r="AC7" s="166"/>
      <c r="AD7" s="166"/>
      <c r="AE7" s="166"/>
      <c r="AF7" s="495"/>
      <c r="AG7" s="359"/>
      <c r="AH7" s="495"/>
      <c r="AI7" s="359"/>
      <c r="AJ7" s="495"/>
      <c r="AK7" s="359"/>
      <c r="AL7" s="499"/>
    </row>
    <row r="8" spans="1:38" ht="22.5" customHeight="1" x14ac:dyDescent="0.2">
      <c r="A8" s="24">
        <v>6</v>
      </c>
      <c r="B8" s="81"/>
      <c r="C8" s="386"/>
      <c r="D8" s="358"/>
      <c r="E8" s="358"/>
      <c r="F8" s="359"/>
      <c r="G8" s="163"/>
      <c r="H8" s="163"/>
      <c r="I8" s="163"/>
      <c r="J8" s="163"/>
      <c r="K8" s="163"/>
      <c r="L8" s="496"/>
      <c r="M8" s="358"/>
      <c r="N8" s="358"/>
      <c r="O8" s="358"/>
      <c r="P8" s="358"/>
      <c r="Q8" s="358"/>
      <c r="R8" s="358"/>
      <c r="S8" s="358"/>
      <c r="T8" s="358"/>
      <c r="U8" s="358"/>
      <c r="V8" s="359"/>
      <c r="W8" s="164"/>
      <c r="X8" s="165"/>
      <c r="Y8" s="165"/>
      <c r="Z8" s="165"/>
      <c r="AA8" s="166"/>
      <c r="AB8" s="166"/>
      <c r="AC8" s="166"/>
      <c r="AD8" s="166"/>
      <c r="AE8" s="166"/>
      <c r="AF8" s="495"/>
      <c r="AG8" s="359"/>
      <c r="AH8" s="495"/>
      <c r="AI8" s="359"/>
      <c r="AJ8" s="495"/>
      <c r="AK8" s="359"/>
      <c r="AL8" s="499"/>
    </row>
    <row r="9" spans="1:38" ht="22.5" customHeight="1" x14ac:dyDescent="0.2">
      <c r="A9" s="24">
        <v>7</v>
      </c>
      <c r="B9" s="81"/>
      <c r="C9" s="386"/>
      <c r="D9" s="358"/>
      <c r="E9" s="358"/>
      <c r="F9" s="359"/>
      <c r="G9" s="163"/>
      <c r="H9" s="163"/>
      <c r="I9" s="163"/>
      <c r="J9" s="163"/>
      <c r="K9" s="163"/>
      <c r="L9" s="496"/>
      <c r="M9" s="358"/>
      <c r="N9" s="358"/>
      <c r="O9" s="358"/>
      <c r="P9" s="358"/>
      <c r="Q9" s="358"/>
      <c r="R9" s="358"/>
      <c r="S9" s="358"/>
      <c r="T9" s="358"/>
      <c r="U9" s="358"/>
      <c r="V9" s="359"/>
      <c r="W9" s="164"/>
      <c r="X9" s="165"/>
      <c r="Y9" s="165"/>
      <c r="Z9" s="165"/>
      <c r="AA9" s="166"/>
      <c r="AB9" s="166"/>
      <c r="AC9" s="166"/>
      <c r="AD9" s="166"/>
      <c r="AE9" s="166"/>
      <c r="AF9" s="495"/>
      <c r="AG9" s="359"/>
      <c r="AH9" s="495"/>
      <c r="AI9" s="359"/>
      <c r="AJ9" s="495"/>
      <c r="AK9" s="359"/>
      <c r="AL9" s="499"/>
    </row>
    <row r="10" spans="1:38" ht="22.5" customHeight="1" x14ac:dyDescent="0.2">
      <c r="A10" s="24">
        <v>8</v>
      </c>
      <c r="B10" s="81"/>
      <c r="C10" s="386"/>
      <c r="D10" s="358"/>
      <c r="E10" s="358"/>
      <c r="F10" s="359"/>
      <c r="G10" s="163"/>
      <c r="H10" s="163"/>
      <c r="I10" s="163"/>
      <c r="J10" s="163"/>
      <c r="K10" s="163"/>
      <c r="L10" s="496"/>
      <c r="M10" s="358"/>
      <c r="N10" s="358"/>
      <c r="O10" s="358"/>
      <c r="P10" s="358"/>
      <c r="Q10" s="358"/>
      <c r="R10" s="358"/>
      <c r="S10" s="358"/>
      <c r="T10" s="358"/>
      <c r="U10" s="358"/>
      <c r="V10" s="359"/>
      <c r="W10" s="164"/>
      <c r="X10" s="165"/>
      <c r="Y10" s="165"/>
      <c r="Z10" s="165"/>
      <c r="AA10" s="166"/>
      <c r="AB10" s="166"/>
      <c r="AC10" s="166"/>
      <c r="AD10" s="166"/>
      <c r="AE10" s="166"/>
      <c r="AF10" s="495"/>
      <c r="AG10" s="359"/>
      <c r="AH10" s="495"/>
      <c r="AI10" s="359"/>
      <c r="AJ10" s="495"/>
      <c r="AK10" s="359"/>
      <c r="AL10" s="499"/>
    </row>
    <row r="11" spans="1:38" ht="22.5" customHeight="1" x14ac:dyDescent="0.2">
      <c r="A11" s="24">
        <v>9</v>
      </c>
      <c r="B11" s="81"/>
      <c r="C11" s="386"/>
      <c r="D11" s="358"/>
      <c r="E11" s="358"/>
      <c r="F11" s="359"/>
      <c r="G11" s="163"/>
      <c r="H11" s="163"/>
      <c r="I11" s="163"/>
      <c r="J11" s="163"/>
      <c r="K11" s="163"/>
      <c r="L11" s="496"/>
      <c r="M11" s="358"/>
      <c r="N11" s="358"/>
      <c r="O11" s="358"/>
      <c r="P11" s="358"/>
      <c r="Q11" s="358"/>
      <c r="R11" s="358"/>
      <c r="S11" s="358"/>
      <c r="T11" s="358"/>
      <c r="U11" s="358"/>
      <c r="V11" s="359"/>
      <c r="W11" s="164"/>
      <c r="X11" s="165"/>
      <c r="Y11" s="165"/>
      <c r="Z11" s="165"/>
      <c r="AA11" s="166"/>
      <c r="AB11" s="166"/>
      <c r="AC11" s="166"/>
      <c r="AD11" s="166"/>
      <c r="AE11" s="166"/>
      <c r="AF11" s="495"/>
      <c r="AG11" s="359"/>
      <c r="AH11" s="495"/>
      <c r="AI11" s="359"/>
      <c r="AJ11" s="495"/>
      <c r="AK11" s="359"/>
      <c r="AL11" s="499"/>
    </row>
    <row r="12" spans="1:38" ht="22.5" customHeight="1" x14ac:dyDescent="0.2">
      <c r="A12" s="24">
        <v>10</v>
      </c>
      <c r="B12" s="81"/>
      <c r="C12" s="386"/>
      <c r="D12" s="358"/>
      <c r="E12" s="358"/>
      <c r="F12" s="359"/>
      <c r="G12" s="163"/>
      <c r="H12" s="163"/>
      <c r="I12" s="163"/>
      <c r="J12" s="163"/>
      <c r="K12" s="163"/>
      <c r="L12" s="496"/>
      <c r="M12" s="358"/>
      <c r="N12" s="358"/>
      <c r="O12" s="358"/>
      <c r="P12" s="358"/>
      <c r="Q12" s="358"/>
      <c r="R12" s="358"/>
      <c r="S12" s="358"/>
      <c r="T12" s="358"/>
      <c r="U12" s="358"/>
      <c r="V12" s="359"/>
      <c r="W12" s="164"/>
      <c r="X12" s="165"/>
      <c r="Y12" s="165"/>
      <c r="Z12" s="165"/>
      <c r="AA12" s="166"/>
      <c r="AB12" s="166"/>
      <c r="AC12" s="166"/>
      <c r="AD12" s="166"/>
      <c r="AE12" s="166"/>
      <c r="AF12" s="495"/>
      <c r="AG12" s="359"/>
      <c r="AH12" s="495"/>
      <c r="AI12" s="359"/>
      <c r="AJ12" s="495"/>
      <c r="AK12" s="359"/>
      <c r="AL12" s="499"/>
    </row>
    <row r="13" spans="1:38" ht="22.5" customHeight="1" x14ac:dyDescent="0.2">
      <c r="A13" s="24">
        <v>11</v>
      </c>
      <c r="B13" s="81"/>
      <c r="C13" s="386"/>
      <c r="D13" s="358"/>
      <c r="E13" s="358"/>
      <c r="F13" s="359"/>
      <c r="G13" s="163"/>
      <c r="H13" s="163"/>
      <c r="I13" s="163"/>
      <c r="J13" s="163"/>
      <c r="K13" s="163"/>
      <c r="L13" s="496"/>
      <c r="M13" s="358"/>
      <c r="N13" s="358"/>
      <c r="O13" s="358"/>
      <c r="P13" s="358"/>
      <c r="Q13" s="358"/>
      <c r="R13" s="358"/>
      <c r="S13" s="358"/>
      <c r="T13" s="358"/>
      <c r="U13" s="358"/>
      <c r="V13" s="359"/>
      <c r="W13" s="164"/>
      <c r="X13" s="165"/>
      <c r="Y13" s="165"/>
      <c r="Z13" s="165"/>
      <c r="AA13" s="166"/>
      <c r="AB13" s="166"/>
      <c r="AC13" s="166"/>
      <c r="AD13" s="166"/>
      <c r="AE13" s="166"/>
      <c r="AF13" s="495"/>
      <c r="AG13" s="359"/>
      <c r="AH13" s="495"/>
      <c r="AI13" s="359"/>
      <c r="AJ13" s="495"/>
      <c r="AK13" s="359"/>
      <c r="AL13" s="499"/>
    </row>
    <row r="14" spans="1:38" ht="22.5" customHeight="1" x14ac:dyDescent="0.2">
      <c r="A14" s="24">
        <v>12</v>
      </c>
      <c r="B14" s="81"/>
      <c r="C14" s="386"/>
      <c r="D14" s="358"/>
      <c r="E14" s="358"/>
      <c r="F14" s="359"/>
      <c r="G14" s="163"/>
      <c r="H14" s="163"/>
      <c r="I14" s="163"/>
      <c r="J14" s="163"/>
      <c r="K14" s="163"/>
      <c r="L14" s="496"/>
      <c r="M14" s="358"/>
      <c r="N14" s="358"/>
      <c r="O14" s="358"/>
      <c r="P14" s="358"/>
      <c r="Q14" s="358"/>
      <c r="R14" s="358"/>
      <c r="S14" s="358"/>
      <c r="T14" s="358"/>
      <c r="U14" s="358"/>
      <c r="V14" s="359"/>
      <c r="W14" s="164"/>
      <c r="X14" s="165"/>
      <c r="Y14" s="165"/>
      <c r="Z14" s="165"/>
      <c r="AA14" s="166"/>
      <c r="AB14" s="166"/>
      <c r="AC14" s="166"/>
      <c r="AD14" s="166"/>
      <c r="AE14" s="166"/>
      <c r="AF14" s="495"/>
      <c r="AG14" s="359"/>
      <c r="AH14" s="495"/>
      <c r="AI14" s="359"/>
      <c r="AJ14" s="495"/>
      <c r="AK14" s="359"/>
      <c r="AL14" s="499"/>
    </row>
    <row r="15" spans="1:38" ht="22.5" customHeight="1" x14ac:dyDescent="0.2">
      <c r="A15" s="24">
        <v>13</v>
      </c>
      <c r="B15" s="81"/>
      <c r="C15" s="386"/>
      <c r="D15" s="358"/>
      <c r="E15" s="358"/>
      <c r="F15" s="359"/>
      <c r="G15" s="163"/>
      <c r="H15" s="163"/>
      <c r="I15" s="163"/>
      <c r="J15" s="163"/>
      <c r="K15" s="163"/>
      <c r="L15" s="496"/>
      <c r="M15" s="358"/>
      <c r="N15" s="358"/>
      <c r="O15" s="358"/>
      <c r="P15" s="358"/>
      <c r="Q15" s="358"/>
      <c r="R15" s="358"/>
      <c r="S15" s="358"/>
      <c r="T15" s="358"/>
      <c r="U15" s="358"/>
      <c r="V15" s="359"/>
      <c r="W15" s="164"/>
      <c r="X15" s="165"/>
      <c r="Y15" s="165"/>
      <c r="Z15" s="165"/>
      <c r="AA15" s="166"/>
      <c r="AB15" s="166"/>
      <c r="AC15" s="166"/>
      <c r="AD15" s="166"/>
      <c r="AE15" s="166"/>
      <c r="AF15" s="495"/>
      <c r="AG15" s="359"/>
      <c r="AH15" s="495"/>
      <c r="AI15" s="359"/>
      <c r="AJ15" s="495"/>
      <c r="AK15" s="359"/>
      <c r="AL15" s="499"/>
    </row>
    <row r="16" spans="1:38" ht="22.5" customHeight="1" x14ac:dyDescent="0.2">
      <c r="A16" s="24">
        <v>14</v>
      </c>
      <c r="B16" s="81"/>
      <c r="C16" s="386"/>
      <c r="D16" s="358"/>
      <c r="E16" s="358"/>
      <c r="F16" s="359"/>
      <c r="G16" s="163"/>
      <c r="H16" s="163"/>
      <c r="I16" s="163"/>
      <c r="J16" s="163"/>
      <c r="K16" s="163"/>
      <c r="L16" s="496"/>
      <c r="M16" s="358"/>
      <c r="N16" s="358"/>
      <c r="O16" s="358"/>
      <c r="P16" s="358"/>
      <c r="Q16" s="358"/>
      <c r="R16" s="358"/>
      <c r="S16" s="358"/>
      <c r="T16" s="358"/>
      <c r="U16" s="358"/>
      <c r="V16" s="359"/>
      <c r="W16" s="164"/>
      <c r="X16" s="165"/>
      <c r="Y16" s="165"/>
      <c r="Z16" s="165"/>
      <c r="AA16" s="166"/>
      <c r="AB16" s="166"/>
      <c r="AC16" s="166"/>
      <c r="AD16" s="166"/>
      <c r="AE16" s="166"/>
      <c r="AF16" s="495"/>
      <c r="AG16" s="359"/>
      <c r="AH16" s="495"/>
      <c r="AI16" s="359"/>
      <c r="AJ16" s="495"/>
      <c r="AK16" s="359"/>
      <c r="AL16" s="499"/>
    </row>
    <row r="17" spans="1:38" ht="22.5" customHeight="1" x14ac:dyDescent="0.2">
      <c r="A17" s="24">
        <v>15</v>
      </c>
      <c r="B17" s="81"/>
      <c r="C17" s="386"/>
      <c r="D17" s="358"/>
      <c r="E17" s="358"/>
      <c r="F17" s="359"/>
      <c r="G17" s="163"/>
      <c r="H17" s="163"/>
      <c r="I17" s="163"/>
      <c r="J17" s="163"/>
      <c r="K17" s="163"/>
      <c r="L17" s="496"/>
      <c r="M17" s="358"/>
      <c r="N17" s="358"/>
      <c r="O17" s="358"/>
      <c r="P17" s="358"/>
      <c r="Q17" s="358"/>
      <c r="R17" s="358"/>
      <c r="S17" s="358"/>
      <c r="T17" s="358"/>
      <c r="U17" s="358"/>
      <c r="V17" s="359"/>
      <c r="W17" s="164"/>
      <c r="X17" s="165"/>
      <c r="Y17" s="165"/>
      <c r="Z17" s="165"/>
      <c r="AA17" s="166"/>
      <c r="AB17" s="166"/>
      <c r="AC17" s="166"/>
      <c r="AD17" s="166"/>
      <c r="AE17" s="166"/>
      <c r="AF17" s="495"/>
      <c r="AG17" s="359"/>
      <c r="AH17" s="495"/>
      <c r="AI17" s="359"/>
      <c r="AJ17" s="495"/>
      <c r="AK17" s="359"/>
      <c r="AL17" s="499"/>
    </row>
    <row r="18" spans="1:38" ht="22.5" customHeight="1" x14ac:dyDescent="0.2">
      <c r="A18" s="24">
        <v>16</v>
      </c>
      <c r="B18" s="81"/>
      <c r="C18" s="386"/>
      <c r="D18" s="358"/>
      <c r="E18" s="358"/>
      <c r="F18" s="359"/>
      <c r="G18" s="163">
        <f t="shared" ref="G18:H18" si="0">IFERROR(#REF!,0)</f>
        <v>0</v>
      </c>
      <c r="H18" s="163">
        <f t="shared" si="0"/>
        <v>0</v>
      </c>
      <c r="I18" s="163">
        <f t="shared" ref="I18:K18" si="1">IFERROR(#REF!&amp;"+",0)</f>
        <v>0</v>
      </c>
      <c r="J18" s="163">
        <f t="shared" si="1"/>
        <v>0</v>
      </c>
      <c r="K18" s="163">
        <f t="shared" si="1"/>
        <v>0</v>
      </c>
      <c r="L18" s="496" t="str">
        <f>IFERROR((IF(#REF!="YES",(VLOOKUP(#REF!&amp;C18,Teams!D:M,7,0)&amp;#REF!),#REF!)),"")</f>
        <v/>
      </c>
      <c r="M18" s="358"/>
      <c r="N18" s="358"/>
      <c r="O18" s="358"/>
      <c r="P18" s="358"/>
      <c r="Q18" s="358"/>
      <c r="R18" s="358"/>
      <c r="S18" s="358"/>
      <c r="T18" s="358"/>
      <c r="U18" s="358"/>
      <c r="V18" s="359"/>
      <c r="W18" s="164"/>
      <c r="X18" s="165"/>
      <c r="Y18" s="165"/>
      <c r="Z18" s="165"/>
      <c r="AA18" s="166"/>
      <c r="AB18" s="166"/>
      <c r="AC18" s="166"/>
      <c r="AD18" s="166"/>
      <c r="AE18" s="166"/>
      <c r="AF18" s="495"/>
      <c r="AG18" s="359"/>
      <c r="AH18" s="495"/>
      <c r="AI18" s="359"/>
      <c r="AJ18" s="495"/>
      <c r="AK18" s="359"/>
      <c r="AL18" s="499"/>
    </row>
    <row r="19" spans="1:38" ht="22.5" customHeight="1" x14ac:dyDescent="0.2">
      <c r="A19" s="24">
        <v>17</v>
      </c>
      <c r="B19" s="81"/>
      <c r="C19" s="386"/>
      <c r="D19" s="358"/>
      <c r="E19" s="358"/>
      <c r="F19" s="359"/>
      <c r="G19" s="163">
        <f t="shared" ref="G19:H19" si="2">IFERROR(#REF!,0)</f>
        <v>0</v>
      </c>
      <c r="H19" s="163">
        <f t="shared" si="2"/>
        <v>0</v>
      </c>
      <c r="I19" s="163">
        <f t="shared" ref="I19:K19" si="3">IFERROR(#REF!&amp;"+",0)</f>
        <v>0</v>
      </c>
      <c r="J19" s="163">
        <f t="shared" si="3"/>
        <v>0</v>
      </c>
      <c r="K19" s="163">
        <f t="shared" si="3"/>
        <v>0</v>
      </c>
      <c r="L19" s="496" t="str">
        <f>IFERROR((IF(#REF!="YES",(VLOOKUP(#REF!&amp;C19,Teams!D:M,7,0)&amp;#REF!),#REF!)),"")</f>
        <v/>
      </c>
      <c r="M19" s="358"/>
      <c r="N19" s="358"/>
      <c r="O19" s="358"/>
      <c r="P19" s="358"/>
      <c r="Q19" s="358"/>
      <c r="R19" s="358"/>
      <c r="S19" s="358"/>
      <c r="T19" s="358"/>
      <c r="U19" s="358"/>
      <c r="V19" s="359"/>
      <c r="W19" s="164"/>
      <c r="X19" s="165"/>
      <c r="Y19" s="165"/>
      <c r="Z19" s="165"/>
      <c r="AA19" s="166"/>
      <c r="AB19" s="166"/>
      <c r="AC19" s="166"/>
      <c r="AD19" s="166"/>
      <c r="AE19" s="166"/>
      <c r="AF19" s="495"/>
      <c r="AG19" s="359"/>
      <c r="AH19" s="495"/>
      <c r="AI19" s="359"/>
      <c r="AJ19" s="495"/>
      <c r="AK19" s="359"/>
      <c r="AL19" s="499"/>
    </row>
    <row r="20" spans="1:38" ht="22.5" customHeight="1" x14ac:dyDescent="0.2">
      <c r="A20" s="24">
        <v>18</v>
      </c>
      <c r="B20" s="81"/>
      <c r="C20" s="386"/>
      <c r="D20" s="358"/>
      <c r="E20" s="358"/>
      <c r="F20" s="359"/>
      <c r="G20" s="163">
        <f t="shared" ref="G20:H20" si="4">IFERROR(#REF!,0)</f>
        <v>0</v>
      </c>
      <c r="H20" s="163">
        <f t="shared" si="4"/>
        <v>0</v>
      </c>
      <c r="I20" s="163">
        <f t="shared" ref="I20:K20" si="5">IFERROR(#REF!&amp;"+",0)</f>
        <v>0</v>
      </c>
      <c r="J20" s="163">
        <f t="shared" si="5"/>
        <v>0</v>
      </c>
      <c r="K20" s="163">
        <f t="shared" si="5"/>
        <v>0</v>
      </c>
      <c r="L20" s="496" t="str">
        <f>IFERROR((IF(#REF!="YES",(VLOOKUP(#REF!&amp;C20,Teams!D:M,7,0)&amp;#REF!),#REF!)),"")</f>
        <v/>
      </c>
      <c r="M20" s="358"/>
      <c r="N20" s="358"/>
      <c r="O20" s="358"/>
      <c r="P20" s="358"/>
      <c r="Q20" s="358"/>
      <c r="R20" s="358"/>
      <c r="S20" s="358"/>
      <c r="T20" s="358"/>
      <c r="U20" s="358"/>
      <c r="V20" s="359"/>
      <c r="W20" s="164"/>
      <c r="X20" s="165"/>
      <c r="Y20" s="165"/>
      <c r="Z20" s="165"/>
      <c r="AA20" s="166"/>
      <c r="AB20" s="166"/>
      <c r="AC20" s="166"/>
      <c r="AD20" s="166"/>
      <c r="AE20" s="166"/>
      <c r="AF20" s="495"/>
      <c r="AG20" s="359"/>
      <c r="AH20" s="495"/>
      <c r="AI20" s="359"/>
      <c r="AJ20" s="495"/>
      <c r="AK20" s="359"/>
      <c r="AL20" s="499"/>
    </row>
    <row r="21" spans="1:38" ht="22.5" customHeight="1" x14ac:dyDescent="0.2">
      <c r="A21" s="24">
        <v>19</v>
      </c>
      <c r="B21" s="81"/>
      <c r="C21" s="386"/>
      <c r="D21" s="358"/>
      <c r="E21" s="358"/>
      <c r="F21" s="359"/>
      <c r="G21" s="163">
        <f t="shared" ref="G21:H21" si="6">IFERROR(#REF!,0)</f>
        <v>0</v>
      </c>
      <c r="H21" s="163">
        <f t="shared" si="6"/>
        <v>0</v>
      </c>
      <c r="I21" s="163">
        <f t="shared" ref="I21:K21" si="7">IFERROR(#REF!&amp;"+",0)</f>
        <v>0</v>
      </c>
      <c r="J21" s="163">
        <f t="shared" si="7"/>
        <v>0</v>
      </c>
      <c r="K21" s="163">
        <f t="shared" si="7"/>
        <v>0</v>
      </c>
      <c r="L21" s="496" t="str">
        <f>IFERROR((IF(#REF!="YES",(VLOOKUP(#REF!&amp;C21,Teams!D:M,7,0)&amp;#REF!),#REF!)),"")</f>
        <v/>
      </c>
      <c r="M21" s="358"/>
      <c r="N21" s="358"/>
      <c r="O21" s="358"/>
      <c r="P21" s="358"/>
      <c r="Q21" s="358"/>
      <c r="R21" s="358"/>
      <c r="S21" s="358"/>
      <c r="T21" s="358"/>
      <c r="U21" s="358"/>
      <c r="V21" s="359"/>
      <c r="W21" s="164"/>
      <c r="X21" s="165"/>
      <c r="Y21" s="165"/>
      <c r="Z21" s="165"/>
      <c r="AA21" s="166"/>
      <c r="AB21" s="166"/>
      <c r="AC21" s="166"/>
      <c r="AD21" s="166"/>
      <c r="AE21" s="166"/>
      <c r="AF21" s="495"/>
      <c r="AG21" s="359"/>
      <c r="AH21" s="495"/>
      <c r="AI21" s="359"/>
      <c r="AJ21" s="495"/>
      <c r="AK21" s="359"/>
      <c r="AL21" s="499"/>
    </row>
    <row r="22" spans="1:38" ht="22.5" customHeight="1" x14ac:dyDescent="0.2">
      <c r="A22" s="24">
        <v>20</v>
      </c>
      <c r="B22" s="81"/>
      <c r="C22" s="386"/>
      <c r="D22" s="358"/>
      <c r="E22" s="358"/>
      <c r="F22" s="359"/>
      <c r="G22" s="163">
        <f t="shared" ref="G22:H22" si="8">IFERROR(#REF!,0)</f>
        <v>0</v>
      </c>
      <c r="H22" s="163">
        <f t="shared" si="8"/>
        <v>0</v>
      </c>
      <c r="I22" s="163">
        <f t="shared" ref="I22:K22" si="9">IFERROR(#REF!&amp;"+",0)</f>
        <v>0</v>
      </c>
      <c r="J22" s="163">
        <f t="shared" si="9"/>
        <v>0</v>
      </c>
      <c r="K22" s="163">
        <f t="shared" si="9"/>
        <v>0</v>
      </c>
      <c r="L22" s="496" t="str">
        <f>IFERROR((IF(#REF!="YES",(VLOOKUP(#REF!&amp;C22,Teams!D:M,7,0)&amp;#REF!),#REF!)),"")</f>
        <v/>
      </c>
      <c r="M22" s="358"/>
      <c r="N22" s="358"/>
      <c r="O22" s="358"/>
      <c r="P22" s="358"/>
      <c r="Q22" s="358"/>
      <c r="R22" s="358"/>
      <c r="S22" s="358"/>
      <c r="T22" s="358"/>
      <c r="U22" s="358"/>
      <c r="V22" s="359"/>
      <c r="W22" s="164"/>
      <c r="X22" s="165"/>
      <c r="Y22" s="165"/>
      <c r="Z22" s="165"/>
      <c r="AA22" s="166"/>
      <c r="AB22" s="166"/>
      <c r="AC22" s="166"/>
      <c r="AD22" s="166"/>
      <c r="AE22" s="166"/>
      <c r="AF22" s="495"/>
      <c r="AG22" s="359"/>
      <c r="AH22" s="495"/>
      <c r="AI22" s="359"/>
      <c r="AJ22" s="495"/>
      <c r="AK22" s="359"/>
      <c r="AL22" s="499"/>
    </row>
    <row r="23" spans="1:38" ht="22.5" customHeight="1" x14ac:dyDescent="0.2">
      <c r="A23" s="24">
        <v>21</v>
      </c>
      <c r="B23" s="81"/>
      <c r="C23" s="386"/>
      <c r="D23" s="358"/>
      <c r="E23" s="358"/>
      <c r="F23" s="359"/>
      <c r="G23" s="163">
        <f t="shared" ref="G23:H23" si="10">IFERROR(#REF!,0)</f>
        <v>0</v>
      </c>
      <c r="H23" s="163">
        <f t="shared" si="10"/>
        <v>0</v>
      </c>
      <c r="I23" s="163">
        <f t="shared" ref="I23:K23" si="11">IFERROR(#REF!&amp;"+",0)</f>
        <v>0</v>
      </c>
      <c r="J23" s="163">
        <f t="shared" si="11"/>
        <v>0</v>
      </c>
      <c r="K23" s="163">
        <f t="shared" si="11"/>
        <v>0</v>
      </c>
      <c r="L23" s="496" t="str">
        <f>IFERROR((IF(#REF!="YES",(VLOOKUP(#REF!&amp;C23,Teams!D:M,7,0)&amp;#REF!),#REF!)),"")</f>
        <v/>
      </c>
      <c r="M23" s="358"/>
      <c r="N23" s="358"/>
      <c r="O23" s="358"/>
      <c r="P23" s="358"/>
      <c r="Q23" s="358"/>
      <c r="R23" s="358"/>
      <c r="S23" s="358"/>
      <c r="T23" s="358"/>
      <c r="U23" s="358"/>
      <c r="V23" s="359"/>
      <c r="W23" s="164"/>
      <c r="X23" s="165"/>
      <c r="Y23" s="165"/>
      <c r="Z23" s="165"/>
      <c r="AA23" s="166"/>
      <c r="AB23" s="166"/>
      <c r="AC23" s="166"/>
      <c r="AD23" s="166"/>
      <c r="AE23" s="166"/>
      <c r="AF23" s="495"/>
      <c r="AG23" s="359"/>
      <c r="AH23" s="495"/>
      <c r="AI23" s="359"/>
      <c r="AJ23" s="495"/>
      <c r="AK23" s="359"/>
      <c r="AL23" s="499"/>
    </row>
    <row r="24" spans="1:38" ht="22.5" customHeight="1" x14ac:dyDescent="0.2">
      <c r="A24" s="24">
        <v>22</v>
      </c>
      <c r="B24" s="81"/>
      <c r="C24" s="386"/>
      <c r="D24" s="358"/>
      <c r="E24" s="358"/>
      <c r="F24" s="359"/>
      <c r="G24" s="163">
        <f t="shared" ref="G24:H24" si="12">IFERROR(#REF!,0)</f>
        <v>0</v>
      </c>
      <c r="H24" s="163">
        <f t="shared" si="12"/>
        <v>0</v>
      </c>
      <c r="I24" s="163">
        <f t="shared" ref="I24:K24" si="13">IFERROR(#REF!&amp;"+",0)</f>
        <v>0</v>
      </c>
      <c r="J24" s="163">
        <f t="shared" si="13"/>
        <v>0</v>
      </c>
      <c r="K24" s="163">
        <f t="shared" si="13"/>
        <v>0</v>
      </c>
      <c r="L24" s="496" t="str">
        <f>IFERROR((IF(#REF!="YES",(VLOOKUP(#REF!&amp;C24,Teams!D:M,7,0)&amp;#REF!),#REF!)),"")</f>
        <v/>
      </c>
      <c r="M24" s="358"/>
      <c r="N24" s="358"/>
      <c r="O24" s="358"/>
      <c r="P24" s="358"/>
      <c r="Q24" s="358"/>
      <c r="R24" s="358"/>
      <c r="S24" s="358"/>
      <c r="T24" s="358"/>
      <c r="U24" s="358"/>
      <c r="V24" s="359"/>
      <c r="W24" s="164"/>
      <c r="X24" s="165"/>
      <c r="Y24" s="165"/>
      <c r="Z24" s="165"/>
      <c r="AA24" s="166"/>
      <c r="AB24" s="166"/>
      <c r="AC24" s="166"/>
      <c r="AD24" s="166"/>
      <c r="AE24" s="166"/>
      <c r="AF24" s="495"/>
      <c r="AG24" s="359"/>
      <c r="AH24" s="495"/>
      <c r="AI24" s="359"/>
      <c r="AJ24" s="495"/>
      <c r="AK24" s="359"/>
      <c r="AL24" s="499"/>
    </row>
    <row r="25" spans="1:38" ht="22.5" customHeight="1" x14ac:dyDescent="0.2">
      <c r="A25" s="24">
        <v>23</v>
      </c>
      <c r="B25" s="81"/>
      <c r="C25" s="386"/>
      <c r="D25" s="358"/>
      <c r="E25" s="358"/>
      <c r="F25" s="359"/>
      <c r="G25" s="163">
        <f t="shared" ref="G25:H25" si="14">IFERROR(#REF!,0)</f>
        <v>0</v>
      </c>
      <c r="H25" s="163">
        <f t="shared" si="14"/>
        <v>0</v>
      </c>
      <c r="I25" s="163">
        <f t="shared" ref="I25:K25" si="15">IFERROR(#REF!&amp;"+",0)</f>
        <v>0</v>
      </c>
      <c r="J25" s="163">
        <f t="shared" si="15"/>
        <v>0</v>
      </c>
      <c r="K25" s="163">
        <f t="shared" si="15"/>
        <v>0</v>
      </c>
      <c r="L25" s="496" t="str">
        <f>IFERROR((IF(#REF!="YES",(VLOOKUP(#REF!&amp;C25,Teams!D:M,7,0)&amp;#REF!),#REF!)),"")</f>
        <v/>
      </c>
      <c r="M25" s="358"/>
      <c r="N25" s="358"/>
      <c r="O25" s="358"/>
      <c r="P25" s="358"/>
      <c r="Q25" s="358"/>
      <c r="R25" s="358"/>
      <c r="S25" s="358"/>
      <c r="T25" s="358"/>
      <c r="U25" s="358"/>
      <c r="V25" s="359"/>
      <c r="W25" s="164"/>
      <c r="X25" s="165"/>
      <c r="Y25" s="165"/>
      <c r="Z25" s="165"/>
      <c r="AA25" s="166"/>
      <c r="AB25" s="166"/>
      <c r="AC25" s="166"/>
      <c r="AD25" s="166"/>
      <c r="AE25" s="166"/>
      <c r="AF25" s="495"/>
      <c r="AG25" s="359"/>
      <c r="AH25" s="495"/>
      <c r="AI25" s="359"/>
      <c r="AJ25" s="495"/>
      <c r="AK25" s="359"/>
      <c r="AL25" s="499"/>
    </row>
    <row r="26" spans="1:38" ht="22.5" customHeight="1" x14ac:dyDescent="0.2">
      <c r="A26" s="24">
        <v>24</v>
      </c>
      <c r="B26" s="81"/>
      <c r="C26" s="386"/>
      <c r="D26" s="358"/>
      <c r="E26" s="358"/>
      <c r="F26" s="359"/>
      <c r="G26" s="163">
        <f t="shared" ref="G26:H26" si="16">IFERROR(#REF!,0)</f>
        <v>0</v>
      </c>
      <c r="H26" s="163">
        <f t="shared" si="16"/>
        <v>0</v>
      </c>
      <c r="I26" s="163">
        <f t="shared" ref="I26:K26" si="17">IFERROR(#REF!&amp;"+",0)</f>
        <v>0</v>
      </c>
      <c r="J26" s="163">
        <f t="shared" si="17"/>
        <v>0</v>
      </c>
      <c r="K26" s="163">
        <f t="shared" si="17"/>
        <v>0</v>
      </c>
      <c r="L26" s="496" t="str">
        <f>IFERROR((IF(#REF!="YES",(VLOOKUP(#REF!&amp;C26,Teams!D:M,7,0)&amp;#REF!),#REF!)),"")</f>
        <v/>
      </c>
      <c r="M26" s="358"/>
      <c r="N26" s="358"/>
      <c r="O26" s="358"/>
      <c r="P26" s="358"/>
      <c r="Q26" s="358"/>
      <c r="R26" s="358"/>
      <c r="S26" s="358"/>
      <c r="T26" s="358"/>
      <c r="U26" s="358"/>
      <c r="V26" s="359"/>
      <c r="W26" s="164"/>
      <c r="X26" s="165"/>
      <c r="Y26" s="165"/>
      <c r="Z26" s="165"/>
      <c r="AA26" s="166"/>
      <c r="AB26" s="166"/>
      <c r="AC26" s="166"/>
      <c r="AD26" s="166"/>
      <c r="AE26" s="166"/>
      <c r="AF26" s="495"/>
      <c r="AG26" s="359"/>
      <c r="AH26" s="495"/>
      <c r="AI26" s="359"/>
      <c r="AJ26" s="495"/>
      <c r="AK26" s="359"/>
      <c r="AL26" s="499"/>
    </row>
    <row r="27" spans="1:38" ht="22.5" customHeight="1" x14ac:dyDescent="0.2">
      <c r="A27" s="24">
        <v>25</v>
      </c>
      <c r="B27" s="81"/>
      <c r="C27" s="386"/>
      <c r="D27" s="358"/>
      <c r="E27" s="358"/>
      <c r="F27" s="359"/>
      <c r="G27" s="163">
        <f t="shared" ref="G27:H27" si="18">IFERROR(#REF!,0)</f>
        <v>0</v>
      </c>
      <c r="H27" s="163">
        <f t="shared" si="18"/>
        <v>0</v>
      </c>
      <c r="I27" s="163">
        <f t="shared" ref="I27:K27" si="19">IFERROR(#REF!&amp;"+",0)</f>
        <v>0</v>
      </c>
      <c r="J27" s="163">
        <f t="shared" si="19"/>
        <v>0</v>
      </c>
      <c r="K27" s="163">
        <f t="shared" si="19"/>
        <v>0</v>
      </c>
      <c r="L27" s="496" t="str">
        <f>IFERROR((IF(#REF!="YES",(VLOOKUP(#REF!&amp;C27,Teams!D:M,7,0)&amp;#REF!),#REF!)),"")</f>
        <v/>
      </c>
      <c r="M27" s="358"/>
      <c r="N27" s="358"/>
      <c r="O27" s="358"/>
      <c r="P27" s="358"/>
      <c r="Q27" s="358"/>
      <c r="R27" s="358"/>
      <c r="S27" s="358"/>
      <c r="T27" s="358"/>
      <c r="U27" s="358"/>
      <c r="V27" s="359"/>
      <c r="W27" s="164"/>
      <c r="X27" s="165"/>
      <c r="Y27" s="165"/>
      <c r="Z27" s="165"/>
      <c r="AA27" s="166"/>
      <c r="AB27" s="166"/>
      <c r="AC27" s="166"/>
      <c r="AD27" s="166"/>
      <c r="AE27" s="166"/>
      <c r="AF27" s="495"/>
      <c r="AG27" s="359"/>
      <c r="AH27" s="495"/>
      <c r="AI27" s="359"/>
      <c r="AJ27" s="495"/>
      <c r="AK27" s="359"/>
      <c r="AL27" s="499"/>
    </row>
    <row r="28" spans="1:38" ht="22.5" customHeight="1" x14ac:dyDescent="0.2">
      <c r="A28" s="24">
        <v>26</v>
      </c>
      <c r="B28" s="81"/>
      <c r="C28" s="386"/>
      <c r="D28" s="358"/>
      <c r="E28" s="358"/>
      <c r="F28" s="359"/>
      <c r="G28" s="163">
        <f t="shared" ref="G28:H28" si="20">IFERROR(#REF!,0)</f>
        <v>0</v>
      </c>
      <c r="H28" s="163">
        <f t="shared" si="20"/>
        <v>0</v>
      </c>
      <c r="I28" s="163">
        <f t="shared" ref="I28:K28" si="21">IFERROR(#REF!&amp;"+",0)</f>
        <v>0</v>
      </c>
      <c r="J28" s="163">
        <f t="shared" si="21"/>
        <v>0</v>
      </c>
      <c r="K28" s="163">
        <f t="shared" si="21"/>
        <v>0</v>
      </c>
      <c r="L28" s="496" t="str">
        <f>IFERROR((IF(#REF!="YES",(VLOOKUP(#REF!&amp;C28,Teams!D:M,7,0)&amp;#REF!),#REF!)),"")</f>
        <v/>
      </c>
      <c r="M28" s="358"/>
      <c r="N28" s="358"/>
      <c r="O28" s="358"/>
      <c r="P28" s="358"/>
      <c r="Q28" s="358"/>
      <c r="R28" s="358"/>
      <c r="S28" s="358"/>
      <c r="T28" s="358"/>
      <c r="U28" s="358"/>
      <c r="V28" s="359"/>
      <c r="W28" s="164"/>
      <c r="X28" s="165"/>
      <c r="Y28" s="165"/>
      <c r="Z28" s="165"/>
      <c r="AA28" s="166"/>
      <c r="AB28" s="166"/>
      <c r="AC28" s="166"/>
      <c r="AD28" s="166"/>
      <c r="AE28" s="166"/>
      <c r="AF28" s="495"/>
      <c r="AG28" s="359"/>
      <c r="AH28" s="495"/>
      <c r="AI28" s="359"/>
      <c r="AJ28" s="495"/>
      <c r="AK28" s="359"/>
      <c r="AL28" s="499"/>
    </row>
    <row r="29" spans="1:38" ht="22.5" customHeight="1" x14ac:dyDescent="0.2">
      <c r="A29" s="24">
        <v>27</v>
      </c>
      <c r="B29" s="81"/>
      <c r="C29" s="386"/>
      <c r="D29" s="358"/>
      <c r="E29" s="358"/>
      <c r="F29" s="359"/>
      <c r="G29" s="163">
        <f t="shared" ref="G29:H29" si="22">IFERROR(#REF!,0)</f>
        <v>0</v>
      </c>
      <c r="H29" s="163">
        <f t="shared" si="22"/>
        <v>0</v>
      </c>
      <c r="I29" s="163">
        <f t="shared" ref="I29:K29" si="23">IFERROR(#REF!&amp;"+",0)</f>
        <v>0</v>
      </c>
      <c r="J29" s="163">
        <f t="shared" si="23"/>
        <v>0</v>
      </c>
      <c r="K29" s="163">
        <f t="shared" si="23"/>
        <v>0</v>
      </c>
      <c r="L29" s="496" t="str">
        <f>IFERROR((IF(#REF!="YES",(VLOOKUP(#REF!&amp;C29,Teams!D:M,7,0)&amp;#REF!),#REF!)),"")</f>
        <v/>
      </c>
      <c r="M29" s="358"/>
      <c r="N29" s="358"/>
      <c r="O29" s="358"/>
      <c r="P29" s="358"/>
      <c r="Q29" s="358"/>
      <c r="R29" s="358"/>
      <c r="S29" s="358"/>
      <c r="T29" s="358"/>
      <c r="U29" s="358"/>
      <c r="V29" s="359"/>
      <c r="W29" s="164"/>
      <c r="X29" s="165"/>
      <c r="Y29" s="165"/>
      <c r="Z29" s="165"/>
      <c r="AA29" s="166"/>
      <c r="AB29" s="166"/>
      <c r="AC29" s="166"/>
      <c r="AD29" s="166"/>
      <c r="AE29" s="166"/>
      <c r="AF29" s="495"/>
      <c r="AG29" s="359"/>
      <c r="AH29" s="495"/>
      <c r="AI29" s="359"/>
      <c r="AJ29" s="495"/>
      <c r="AK29" s="359"/>
      <c r="AL29" s="499"/>
    </row>
    <row r="30" spans="1:38" ht="22.5" customHeight="1" x14ac:dyDescent="0.2">
      <c r="A30" s="24">
        <v>28</v>
      </c>
      <c r="B30" s="81"/>
      <c r="C30" s="386"/>
      <c r="D30" s="358"/>
      <c r="E30" s="358"/>
      <c r="F30" s="359"/>
      <c r="G30" s="163">
        <f t="shared" ref="G30:H30" si="24">IFERROR(#REF!,0)</f>
        <v>0</v>
      </c>
      <c r="H30" s="163">
        <f t="shared" si="24"/>
        <v>0</v>
      </c>
      <c r="I30" s="163">
        <f t="shared" ref="I30:K30" si="25">IFERROR(#REF!&amp;"+",0)</f>
        <v>0</v>
      </c>
      <c r="J30" s="163">
        <f t="shared" si="25"/>
        <v>0</v>
      </c>
      <c r="K30" s="163">
        <f t="shared" si="25"/>
        <v>0</v>
      </c>
      <c r="L30" s="496" t="str">
        <f>IFERROR((IF(#REF!="YES",(VLOOKUP(#REF!&amp;C30,Teams!D:M,7,0)&amp;#REF!),#REF!)),"")</f>
        <v/>
      </c>
      <c r="M30" s="358"/>
      <c r="N30" s="358"/>
      <c r="O30" s="358"/>
      <c r="P30" s="358"/>
      <c r="Q30" s="358"/>
      <c r="R30" s="358"/>
      <c r="S30" s="358"/>
      <c r="T30" s="358"/>
      <c r="U30" s="358"/>
      <c r="V30" s="359"/>
      <c r="W30" s="164"/>
      <c r="X30" s="165"/>
      <c r="Y30" s="165"/>
      <c r="Z30" s="165"/>
      <c r="AA30" s="166"/>
      <c r="AB30" s="166"/>
      <c r="AC30" s="166"/>
      <c r="AD30" s="166"/>
      <c r="AE30" s="166"/>
      <c r="AF30" s="495"/>
      <c r="AG30" s="359"/>
      <c r="AH30" s="495"/>
      <c r="AI30" s="359"/>
      <c r="AJ30" s="495"/>
      <c r="AK30" s="359"/>
      <c r="AL30" s="499"/>
    </row>
    <row r="31" spans="1:38" ht="22.5" customHeight="1" x14ac:dyDescent="0.2">
      <c r="A31" s="24">
        <v>29</v>
      </c>
      <c r="B31" s="81"/>
      <c r="C31" s="386"/>
      <c r="D31" s="358"/>
      <c r="E31" s="358"/>
      <c r="F31" s="359"/>
      <c r="G31" s="163">
        <f t="shared" ref="G31:H31" si="26">IFERROR(#REF!,0)</f>
        <v>0</v>
      </c>
      <c r="H31" s="163">
        <f t="shared" si="26"/>
        <v>0</v>
      </c>
      <c r="I31" s="163">
        <f t="shared" ref="I31:K31" si="27">IFERROR(#REF!&amp;"+",0)</f>
        <v>0</v>
      </c>
      <c r="J31" s="163">
        <f t="shared" si="27"/>
        <v>0</v>
      </c>
      <c r="K31" s="163">
        <f t="shared" si="27"/>
        <v>0</v>
      </c>
      <c r="L31" s="496" t="str">
        <f>IFERROR((IF(#REF!="YES",(VLOOKUP(#REF!&amp;C31,Teams!D:M,7,0)&amp;#REF!),#REF!)),"")</f>
        <v/>
      </c>
      <c r="M31" s="358"/>
      <c r="N31" s="358"/>
      <c r="O31" s="358"/>
      <c r="P31" s="358"/>
      <c r="Q31" s="358"/>
      <c r="R31" s="358"/>
      <c r="S31" s="358"/>
      <c r="T31" s="358"/>
      <c r="U31" s="358"/>
      <c r="V31" s="359"/>
      <c r="W31" s="164"/>
      <c r="X31" s="165"/>
      <c r="Y31" s="165"/>
      <c r="Z31" s="165"/>
      <c r="AA31" s="166"/>
      <c r="AB31" s="166"/>
      <c r="AC31" s="166"/>
      <c r="AD31" s="166"/>
      <c r="AE31" s="166"/>
      <c r="AF31" s="495"/>
      <c r="AG31" s="359"/>
      <c r="AH31" s="495"/>
      <c r="AI31" s="359"/>
      <c r="AJ31" s="495"/>
      <c r="AK31" s="359"/>
      <c r="AL31" s="499"/>
    </row>
    <row r="32" spans="1:38" ht="22.5" customHeight="1" x14ac:dyDescent="0.2">
      <c r="A32" s="24">
        <v>30</v>
      </c>
      <c r="B32" s="81"/>
      <c r="C32" s="386"/>
      <c r="D32" s="358"/>
      <c r="E32" s="358"/>
      <c r="F32" s="359"/>
      <c r="G32" s="163">
        <f t="shared" ref="G32:H32" si="28">IFERROR(#REF!,0)</f>
        <v>0</v>
      </c>
      <c r="H32" s="163">
        <f t="shared" si="28"/>
        <v>0</v>
      </c>
      <c r="I32" s="163">
        <f t="shared" ref="I32:K32" si="29">IFERROR(#REF!&amp;"+",0)</f>
        <v>0</v>
      </c>
      <c r="J32" s="163">
        <f t="shared" si="29"/>
        <v>0</v>
      </c>
      <c r="K32" s="163">
        <f t="shared" si="29"/>
        <v>0</v>
      </c>
      <c r="L32" s="496" t="str">
        <f>IFERROR((IF(#REF!="YES",(VLOOKUP(#REF!&amp;C32,Teams!D:M,7,0)&amp;#REF!),#REF!)),"")</f>
        <v/>
      </c>
      <c r="M32" s="358"/>
      <c r="N32" s="358"/>
      <c r="O32" s="358"/>
      <c r="P32" s="358"/>
      <c r="Q32" s="358"/>
      <c r="R32" s="358"/>
      <c r="S32" s="358"/>
      <c r="T32" s="358"/>
      <c r="U32" s="358"/>
      <c r="V32" s="359"/>
      <c r="W32" s="164"/>
      <c r="X32" s="165"/>
      <c r="Y32" s="165"/>
      <c r="Z32" s="165"/>
      <c r="AA32" s="166"/>
      <c r="AB32" s="166"/>
      <c r="AC32" s="166"/>
      <c r="AD32" s="166"/>
      <c r="AE32" s="166"/>
      <c r="AF32" s="495"/>
      <c r="AG32" s="359"/>
      <c r="AH32" s="495"/>
      <c r="AI32" s="359"/>
      <c r="AJ32" s="495"/>
      <c r="AK32" s="359"/>
      <c r="AL32" s="500"/>
    </row>
    <row r="33" spans="1:38" ht="15" customHeight="1" x14ac:dyDescent="0.2">
      <c r="A33" s="502"/>
      <c r="B33" s="484"/>
      <c r="C33" s="484"/>
      <c r="D33" s="484"/>
      <c r="E33" s="484"/>
      <c r="F33" s="484"/>
      <c r="G33" s="484"/>
      <c r="H33" s="484"/>
      <c r="I33" s="484"/>
      <c r="J33" s="484"/>
      <c r="K33" s="484"/>
      <c r="L33" s="484"/>
      <c r="M33" s="484"/>
      <c r="N33" s="484"/>
      <c r="O33" s="484"/>
      <c r="P33" s="484"/>
      <c r="Q33" s="484"/>
      <c r="R33" s="484"/>
      <c r="S33" s="484"/>
      <c r="T33" s="484"/>
      <c r="U33" s="484"/>
      <c r="V33" s="484"/>
      <c r="W33" s="484"/>
      <c r="X33" s="484"/>
      <c r="Y33" s="484"/>
      <c r="Z33" s="484"/>
      <c r="AA33" s="484"/>
      <c r="AB33" s="484"/>
      <c r="AC33" s="484"/>
      <c r="AD33" s="484"/>
      <c r="AE33" s="484"/>
      <c r="AF33" s="484"/>
      <c r="AG33" s="484"/>
      <c r="AH33" s="484"/>
      <c r="AI33" s="484"/>
      <c r="AJ33" s="484"/>
      <c r="AK33" s="484"/>
      <c r="AL33" s="485"/>
    </row>
    <row r="34" spans="1:38" ht="15.75" hidden="1" customHeight="1" x14ac:dyDescent="0.2">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x14ac:dyDescent="0.2">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x14ac:dyDescent="0.2">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x14ac:dyDescent="0.2">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x14ac:dyDescent="0.2">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x14ac:dyDescent="0.2">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x14ac:dyDescent="0.2">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x14ac:dyDescent="0.2">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x14ac:dyDescent="0.2">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x14ac:dyDescent="0.2">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x14ac:dyDescent="0.2">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x14ac:dyDescent="0.2">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x14ac:dyDescent="0.2">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x14ac:dyDescent="0.2">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x14ac:dyDescent="0.2">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x14ac:dyDescent="0.2">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x14ac:dyDescent="0.2">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x14ac:dyDescent="0.2">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x14ac:dyDescent="0.2">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x14ac:dyDescent="0.2">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x14ac:dyDescent="0.2">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x14ac:dyDescent="0.2">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x14ac:dyDescent="0.2">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x14ac:dyDescent="0.2">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x14ac:dyDescent="0.2">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x14ac:dyDescent="0.2">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x14ac:dyDescent="0.2">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x14ac:dyDescent="0.2">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x14ac:dyDescent="0.2">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x14ac:dyDescent="0.2">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x14ac:dyDescent="0.2">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x14ac:dyDescent="0.2">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x14ac:dyDescent="0.2">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x14ac:dyDescent="0.2">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x14ac:dyDescent="0.2">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x14ac:dyDescent="0.2">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x14ac:dyDescent="0.2">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x14ac:dyDescent="0.2">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x14ac:dyDescent="0.2">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x14ac:dyDescent="0.2">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x14ac:dyDescent="0.2">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x14ac:dyDescent="0.2">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x14ac:dyDescent="0.2">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x14ac:dyDescent="0.2">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x14ac:dyDescent="0.2">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x14ac:dyDescent="0.2">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x14ac:dyDescent="0.2">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x14ac:dyDescent="0.2">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x14ac:dyDescent="0.2">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x14ac:dyDescent="0.2">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x14ac:dyDescent="0.2">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x14ac:dyDescent="0.2">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x14ac:dyDescent="0.2">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x14ac:dyDescent="0.2">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x14ac:dyDescent="0.2">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x14ac:dyDescent="0.2">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x14ac:dyDescent="0.2">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x14ac:dyDescent="0.2">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x14ac:dyDescent="0.2">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x14ac:dyDescent="0.2">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x14ac:dyDescent="0.2">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x14ac:dyDescent="0.2">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x14ac:dyDescent="0.2">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x14ac:dyDescent="0.2">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x14ac:dyDescent="0.2">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x14ac:dyDescent="0.2">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x14ac:dyDescent="0.2">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x14ac:dyDescent="0.2">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x14ac:dyDescent="0.2">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x14ac:dyDescent="0.2">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x14ac:dyDescent="0.2">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x14ac:dyDescent="0.2">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x14ac:dyDescent="0.2">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x14ac:dyDescent="0.2">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x14ac:dyDescent="0.2">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x14ac:dyDescent="0.2">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x14ac:dyDescent="0.2">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x14ac:dyDescent="0.2">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x14ac:dyDescent="0.2">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x14ac:dyDescent="0.2">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x14ac:dyDescent="0.2">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x14ac:dyDescent="0.2">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x14ac:dyDescent="0.2">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x14ac:dyDescent="0.2">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x14ac:dyDescent="0.2">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x14ac:dyDescent="0.2">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x14ac:dyDescent="0.2">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x14ac:dyDescent="0.2">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x14ac:dyDescent="0.2">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x14ac:dyDescent="0.2">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x14ac:dyDescent="0.2">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x14ac:dyDescent="0.2">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x14ac:dyDescent="0.2">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x14ac:dyDescent="0.2">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x14ac:dyDescent="0.2">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x14ac:dyDescent="0.2">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x14ac:dyDescent="0.2">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x14ac:dyDescent="0.2">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x14ac:dyDescent="0.2">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x14ac:dyDescent="0.2">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x14ac:dyDescent="0.2">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x14ac:dyDescent="0.2">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x14ac:dyDescent="0.2">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x14ac:dyDescent="0.2">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x14ac:dyDescent="0.2">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x14ac:dyDescent="0.2">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x14ac:dyDescent="0.2">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x14ac:dyDescent="0.2">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x14ac:dyDescent="0.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x14ac:dyDescent="0.2">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x14ac:dyDescent="0.2">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x14ac:dyDescent="0.2">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x14ac:dyDescent="0.2">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x14ac:dyDescent="0.2">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x14ac:dyDescent="0.2">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x14ac:dyDescent="0.2">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x14ac:dyDescent="0.2">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x14ac:dyDescent="0.2">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x14ac:dyDescent="0.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x14ac:dyDescent="0.2">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x14ac:dyDescent="0.2">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x14ac:dyDescent="0.2">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x14ac:dyDescent="0.2">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x14ac:dyDescent="0.2">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x14ac:dyDescent="0.2">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x14ac:dyDescent="0.2">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x14ac:dyDescent="0.2">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x14ac:dyDescent="0.2">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x14ac:dyDescent="0.2">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x14ac:dyDescent="0.2">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x14ac:dyDescent="0.2">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x14ac:dyDescent="0.2">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x14ac:dyDescent="0.2">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x14ac:dyDescent="0.2">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x14ac:dyDescent="0.2">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x14ac:dyDescent="0.2">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x14ac:dyDescent="0.2">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x14ac:dyDescent="0.2">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x14ac:dyDescent="0.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x14ac:dyDescent="0.2">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x14ac:dyDescent="0.2">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x14ac:dyDescent="0.2">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x14ac:dyDescent="0.2">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x14ac:dyDescent="0.2">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x14ac:dyDescent="0.2">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x14ac:dyDescent="0.2">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x14ac:dyDescent="0.2">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x14ac:dyDescent="0.2">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x14ac:dyDescent="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x14ac:dyDescent="0.2">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x14ac:dyDescent="0.2">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x14ac:dyDescent="0.2">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x14ac:dyDescent="0.2">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x14ac:dyDescent="0.2">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x14ac:dyDescent="0.2">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x14ac:dyDescent="0.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x14ac:dyDescent="0.2">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x14ac:dyDescent="0.2">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x14ac:dyDescent="0.2">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x14ac:dyDescent="0.2">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x14ac:dyDescent="0.2">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x14ac:dyDescent="0.2">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x14ac:dyDescent="0.2">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x14ac:dyDescent="0.2">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x14ac:dyDescent="0.2">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x14ac:dyDescent="0.2">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x14ac:dyDescent="0.2">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x14ac:dyDescent="0.2">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x14ac:dyDescent="0.2">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x14ac:dyDescent="0.2">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x14ac:dyDescent="0.2">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x14ac:dyDescent="0.2">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x14ac:dyDescent="0.2">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x14ac:dyDescent="0.2">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x14ac:dyDescent="0.2">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x14ac:dyDescent="0.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x14ac:dyDescent="0.2">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x14ac:dyDescent="0.2">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x14ac:dyDescent="0.2">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x14ac:dyDescent="0.2">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x14ac:dyDescent="0.2">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x14ac:dyDescent="0.2">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x14ac:dyDescent="0.2">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x14ac:dyDescent="0.2">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x14ac:dyDescent="0.2">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x14ac:dyDescent="0.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x14ac:dyDescent="0.2">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x14ac:dyDescent="0.2">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x14ac:dyDescent="0.2">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x14ac:dyDescent="0.2">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x14ac:dyDescent="0.2">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x14ac:dyDescent="0.2">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x14ac:dyDescent="0.2">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x14ac:dyDescent="0.2">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x14ac:dyDescent="0.2">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x14ac:dyDescent="0.2">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x14ac:dyDescent="0.2">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x14ac:dyDescent="0.2">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x14ac:dyDescent="0.2">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x14ac:dyDescent="0.2">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x14ac:dyDescent="0.2">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x14ac:dyDescent="0.2">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x14ac:dyDescent="0.2">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x14ac:dyDescent="0.2">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x14ac:dyDescent="0.2">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x14ac:dyDescent="0.2">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x14ac:dyDescent="0.2">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x14ac:dyDescent="0.2">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x14ac:dyDescent="0.2">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x14ac:dyDescent="0.2">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x14ac:dyDescent="0.2">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x14ac:dyDescent="0.2">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x14ac:dyDescent="0.2">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x14ac:dyDescent="0.2">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x14ac:dyDescent="0.2">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x14ac:dyDescent="0.2">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x14ac:dyDescent="0.2">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x14ac:dyDescent="0.2">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x14ac:dyDescent="0.2">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x14ac:dyDescent="0.2">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x14ac:dyDescent="0.2">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x14ac:dyDescent="0.2">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x14ac:dyDescent="0.2">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x14ac:dyDescent="0.2">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x14ac:dyDescent="0.2">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x14ac:dyDescent="0.2">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x14ac:dyDescent="0.2">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x14ac:dyDescent="0.2">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x14ac:dyDescent="0.2">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x14ac:dyDescent="0.2">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x14ac:dyDescent="0.2">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x14ac:dyDescent="0.2">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x14ac:dyDescent="0.2">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x14ac:dyDescent="0.2">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x14ac:dyDescent="0.2">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x14ac:dyDescent="0.2">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x14ac:dyDescent="0.2">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x14ac:dyDescent="0.2">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x14ac:dyDescent="0.2">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x14ac:dyDescent="0.2">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x14ac:dyDescent="0.2">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x14ac:dyDescent="0.2">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x14ac:dyDescent="0.2">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x14ac:dyDescent="0.2">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x14ac:dyDescent="0.2">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x14ac:dyDescent="0.2">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x14ac:dyDescent="0.2">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x14ac:dyDescent="0.2">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x14ac:dyDescent="0.2">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x14ac:dyDescent="0.2">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x14ac:dyDescent="0.2">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x14ac:dyDescent="0.2">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x14ac:dyDescent="0.2">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x14ac:dyDescent="0.2">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x14ac:dyDescent="0.2">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x14ac:dyDescent="0.2">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x14ac:dyDescent="0.2">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x14ac:dyDescent="0.2">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x14ac:dyDescent="0.2">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x14ac:dyDescent="0.2">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x14ac:dyDescent="0.2">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x14ac:dyDescent="0.2">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x14ac:dyDescent="0.2">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x14ac:dyDescent="0.2">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x14ac:dyDescent="0.2">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x14ac:dyDescent="0.2">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x14ac:dyDescent="0.2">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x14ac:dyDescent="0.2">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x14ac:dyDescent="0.2">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x14ac:dyDescent="0.2">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x14ac:dyDescent="0.2">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x14ac:dyDescent="0.2">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x14ac:dyDescent="0.2">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x14ac:dyDescent="0.2">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x14ac:dyDescent="0.2">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x14ac:dyDescent="0.2">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x14ac:dyDescent="0.2">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x14ac:dyDescent="0.2">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x14ac:dyDescent="0.2">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x14ac:dyDescent="0.2">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x14ac:dyDescent="0.2">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x14ac:dyDescent="0.2">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x14ac:dyDescent="0.2">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x14ac:dyDescent="0.2">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x14ac:dyDescent="0.2">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x14ac:dyDescent="0.2">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x14ac:dyDescent="0.2">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x14ac:dyDescent="0.2">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x14ac:dyDescent="0.2">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x14ac:dyDescent="0.2">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x14ac:dyDescent="0.2">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x14ac:dyDescent="0.2">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x14ac:dyDescent="0.2">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x14ac:dyDescent="0.2">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x14ac:dyDescent="0.2">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x14ac:dyDescent="0.2">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x14ac:dyDescent="0.2">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x14ac:dyDescent="0.2">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x14ac:dyDescent="0.2">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x14ac:dyDescent="0.2">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x14ac:dyDescent="0.2">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x14ac:dyDescent="0.2">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x14ac:dyDescent="0.2">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x14ac:dyDescent="0.2">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x14ac:dyDescent="0.2">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x14ac:dyDescent="0.2">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x14ac:dyDescent="0.2">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x14ac:dyDescent="0.2">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x14ac:dyDescent="0.2">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x14ac:dyDescent="0.2">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x14ac:dyDescent="0.2">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x14ac:dyDescent="0.2">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x14ac:dyDescent="0.2">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x14ac:dyDescent="0.2">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x14ac:dyDescent="0.2">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x14ac:dyDescent="0.2">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x14ac:dyDescent="0.2">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x14ac:dyDescent="0.2">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x14ac:dyDescent="0.2">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x14ac:dyDescent="0.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x14ac:dyDescent="0.2">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x14ac:dyDescent="0.2">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x14ac:dyDescent="0.2">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x14ac:dyDescent="0.2">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x14ac:dyDescent="0.2">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x14ac:dyDescent="0.2">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x14ac:dyDescent="0.2">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x14ac:dyDescent="0.2">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x14ac:dyDescent="0.2">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x14ac:dyDescent="0.2">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x14ac:dyDescent="0.2">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x14ac:dyDescent="0.2">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x14ac:dyDescent="0.2">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x14ac:dyDescent="0.2">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x14ac:dyDescent="0.2">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x14ac:dyDescent="0.2">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x14ac:dyDescent="0.2">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x14ac:dyDescent="0.2">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x14ac:dyDescent="0.2">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x14ac:dyDescent="0.2">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x14ac:dyDescent="0.2">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x14ac:dyDescent="0.2">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x14ac:dyDescent="0.2">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x14ac:dyDescent="0.2">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x14ac:dyDescent="0.2">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x14ac:dyDescent="0.2">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x14ac:dyDescent="0.2">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x14ac:dyDescent="0.2">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x14ac:dyDescent="0.2">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x14ac:dyDescent="0.2">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x14ac:dyDescent="0.2">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x14ac:dyDescent="0.2">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x14ac:dyDescent="0.2">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x14ac:dyDescent="0.2">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x14ac:dyDescent="0.2">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x14ac:dyDescent="0.2">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x14ac:dyDescent="0.2">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x14ac:dyDescent="0.2">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x14ac:dyDescent="0.2">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x14ac:dyDescent="0.2">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x14ac:dyDescent="0.2">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x14ac:dyDescent="0.2">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x14ac:dyDescent="0.2">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x14ac:dyDescent="0.2">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x14ac:dyDescent="0.2">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x14ac:dyDescent="0.2">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x14ac:dyDescent="0.2">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x14ac:dyDescent="0.2">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x14ac:dyDescent="0.2">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x14ac:dyDescent="0.2">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x14ac:dyDescent="0.2">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x14ac:dyDescent="0.2">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x14ac:dyDescent="0.2">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x14ac:dyDescent="0.2">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x14ac:dyDescent="0.2">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x14ac:dyDescent="0.2">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x14ac:dyDescent="0.2">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x14ac:dyDescent="0.2">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x14ac:dyDescent="0.2">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x14ac:dyDescent="0.2">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x14ac:dyDescent="0.2">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x14ac:dyDescent="0.2">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x14ac:dyDescent="0.2">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x14ac:dyDescent="0.2">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x14ac:dyDescent="0.2">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x14ac:dyDescent="0.2">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x14ac:dyDescent="0.2">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x14ac:dyDescent="0.2">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x14ac:dyDescent="0.2">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x14ac:dyDescent="0.2">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x14ac:dyDescent="0.2">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x14ac:dyDescent="0.2">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x14ac:dyDescent="0.2">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x14ac:dyDescent="0.2">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x14ac:dyDescent="0.2">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x14ac:dyDescent="0.2">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x14ac:dyDescent="0.2">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x14ac:dyDescent="0.2">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x14ac:dyDescent="0.2">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x14ac:dyDescent="0.2">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x14ac:dyDescent="0.2">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x14ac:dyDescent="0.2">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x14ac:dyDescent="0.2">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x14ac:dyDescent="0.2">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x14ac:dyDescent="0.2">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x14ac:dyDescent="0.2">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x14ac:dyDescent="0.2">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x14ac:dyDescent="0.2">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x14ac:dyDescent="0.2">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x14ac:dyDescent="0.2">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x14ac:dyDescent="0.2">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x14ac:dyDescent="0.2">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x14ac:dyDescent="0.2">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x14ac:dyDescent="0.2">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x14ac:dyDescent="0.2">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x14ac:dyDescent="0.2">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x14ac:dyDescent="0.2">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x14ac:dyDescent="0.2">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x14ac:dyDescent="0.2">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x14ac:dyDescent="0.2">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x14ac:dyDescent="0.2">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x14ac:dyDescent="0.2">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x14ac:dyDescent="0.2">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x14ac:dyDescent="0.2">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x14ac:dyDescent="0.2">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x14ac:dyDescent="0.2">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x14ac:dyDescent="0.2">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x14ac:dyDescent="0.2">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x14ac:dyDescent="0.2">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x14ac:dyDescent="0.2">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x14ac:dyDescent="0.2">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x14ac:dyDescent="0.2">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x14ac:dyDescent="0.2">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x14ac:dyDescent="0.2">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x14ac:dyDescent="0.2">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x14ac:dyDescent="0.2">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x14ac:dyDescent="0.2">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x14ac:dyDescent="0.2">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x14ac:dyDescent="0.2">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x14ac:dyDescent="0.2">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x14ac:dyDescent="0.2">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x14ac:dyDescent="0.2">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x14ac:dyDescent="0.2">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x14ac:dyDescent="0.2">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x14ac:dyDescent="0.2">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x14ac:dyDescent="0.2">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x14ac:dyDescent="0.2">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x14ac:dyDescent="0.2">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x14ac:dyDescent="0.2">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x14ac:dyDescent="0.2">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x14ac:dyDescent="0.2">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x14ac:dyDescent="0.2">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x14ac:dyDescent="0.2">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x14ac:dyDescent="0.2">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x14ac:dyDescent="0.2">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x14ac:dyDescent="0.2">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x14ac:dyDescent="0.2">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x14ac:dyDescent="0.2">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x14ac:dyDescent="0.2">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x14ac:dyDescent="0.2">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x14ac:dyDescent="0.2">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x14ac:dyDescent="0.2">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x14ac:dyDescent="0.2">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x14ac:dyDescent="0.2">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x14ac:dyDescent="0.2">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x14ac:dyDescent="0.2">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x14ac:dyDescent="0.2">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x14ac:dyDescent="0.2">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x14ac:dyDescent="0.2">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x14ac:dyDescent="0.2">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x14ac:dyDescent="0.2">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x14ac:dyDescent="0.2">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x14ac:dyDescent="0.2">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x14ac:dyDescent="0.2">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x14ac:dyDescent="0.2">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x14ac:dyDescent="0.2">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x14ac:dyDescent="0.2">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x14ac:dyDescent="0.2">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x14ac:dyDescent="0.2">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x14ac:dyDescent="0.2">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x14ac:dyDescent="0.2">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x14ac:dyDescent="0.2">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x14ac:dyDescent="0.2">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x14ac:dyDescent="0.2">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x14ac:dyDescent="0.2">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x14ac:dyDescent="0.2">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x14ac:dyDescent="0.2">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x14ac:dyDescent="0.2">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x14ac:dyDescent="0.2">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x14ac:dyDescent="0.2">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x14ac:dyDescent="0.2">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x14ac:dyDescent="0.2">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x14ac:dyDescent="0.2">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x14ac:dyDescent="0.2">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x14ac:dyDescent="0.2">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x14ac:dyDescent="0.2">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x14ac:dyDescent="0.2">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x14ac:dyDescent="0.2">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x14ac:dyDescent="0.2">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x14ac:dyDescent="0.2">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x14ac:dyDescent="0.2">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x14ac:dyDescent="0.2">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x14ac:dyDescent="0.2">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x14ac:dyDescent="0.2">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x14ac:dyDescent="0.2">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x14ac:dyDescent="0.2">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x14ac:dyDescent="0.2">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x14ac:dyDescent="0.2">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x14ac:dyDescent="0.2">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x14ac:dyDescent="0.2">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x14ac:dyDescent="0.2">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x14ac:dyDescent="0.2">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x14ac:dyDescent="0.2">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x14ac:dyDescent="0.2">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x14ac:dyDescent="0.2">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x14ac:dyDescent="0.2">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x14ac:dyDescent="0.2">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x14ac:dyDescent="0.2">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x14ac:dyDescent="0.2">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x14ac:dyDescent="0.2">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x14ac:dyDescent="0.2">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x14ac:dyDescent="0.2">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x14ac:dyDescent="0.2">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x14ac:dyDescent="0.2">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x14ac:dyDescent="0.2">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x14ac:dyDescent="0.2">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x14ac:dyDescent="0.2">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x14ac:dyDescent="0.2">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x14ac:dyDescent="0.2">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x14ac:dyDescent="0.2">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x14ac:dyDescent="0.2">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x14ac:dyDescent="0.2">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x14ac:dyDescent="0.2">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x14ac:dyDescent="0.2">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x14ac:dyDescent="0.2">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x14ac:dyDescent="0.2">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x14ac:dyDescent="0.2">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x14ac:dyDescent="0.2">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x14ac:dyDescent="0.2">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x14ac:dyDescent="0.2">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x14ac:dyDescent="0.2">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x14ac:dyDescent="0.2">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x14ac:dyDescent="0.2">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x14ac:dyDescent="0.2">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x14ac:dyDescent="0.2">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x14ac:dyDescent="0.2">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x14ac:dyDescent="0.2">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x14ac:dyDescent="0.2">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x14ac:dyDescent="0.2">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x14ac:dyDescent="0.2">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x14ac:dyDescent="0.2">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x14ac:dyDescent="0.2">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x14ac:dyDescent="0.2">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x14ac:dyDescent="0.2">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x14ac:dyDescent="0.2">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x14ac:dyDescent="0.2">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x14ac:dyDescent="0.2">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x14ac:dyDescent="0.2">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x14ac:dyDescent="0.2">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x14ac:dyDescent="0.2">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x14ac:dyDescent="0.2">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x14ac:dyDescent="0.2">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x14ac:dyDescent="0.2">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x14ac:dyDescent="0.2">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x14ac:dyDescent="0.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x14ac:dyDescent="0.2">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x14ac:dyDescent="0.2">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x14ac:dyDescent="0.2">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x14ac:dyDescent="0.2">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x14ac:dyDescent="0.2">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x14ac:dyDescent="0.2">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x14ac:dyDescent="0.2">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x14ac:dyDescent="0.2">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x14ac:dyDescent="0.2">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x14ac:dyDescent="0.2">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x14ac:dyDescent="0.2">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x14ac:dyDescent="0.2">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x14ac:dyDescent="0.2">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x14ac:dyDescent="0.2">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x14ac:dyDescent="0.2">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x14ac:dyDescent="0.2">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x14ac:dyDescent="0.2">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x14ac:dyDescent="0.2">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x14ac:dyDescent="0.2">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x14ac:dyDescent="0.2">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x14ac:dyDescent="0.2">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x14ac:dyDescent="0.2">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x14ac:dyDescent="0.2">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x14ac:dyDescent="0.2">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x14ac:dyDescent="0.2">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x14ac:dyDescent="0.2">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x14ac:dyDescent="0.2">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x14ac:dyDescent="0.2">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x14ac:dyDescent="0.2">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x14ac:dyDescent="0.2">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x14ac:dyDescent="0.2">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x14ac:dyDescent="0.2">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x14ac:dyDescent="0.2">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x14ac:dyDescent="0.2">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x14ac:dyDescent="0.2">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x14ac:dyDescent="0.2">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x14ac:dyDescent="0.2">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x14ac:dyDescent="0.2">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x14ac:dyDescent="0.2">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x14ac:dyDescent="0.2">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x14ac:dyDescent="0.2">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x14ac:dyDescent="0.2">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x14ac:dyDescent="0.2">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x14ac:dyDescent="0.2">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x14ac:dyDescent="0.2">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x14ac:dyDescent="0.2">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x14ac:dyDescent="0.2">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x14ac:dyDescent="0.2">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x14ac:dyDescent="0.2">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x14ac:dyDescent="0.2">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x14ac:dyDescent="0.2">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x14ac:dyDescent="0.2">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x14ac:dyDescent="0.2">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x14ac:dyDescent="0.2">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x14ac:dyDescent="0.2">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x14ac:dyDescent="0.2">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x14ac:dyDescent="0.2">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x14ac:dyDescent="0.2">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x14ac:dyDescent="0.2">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x14ac:dyDescent="0.2">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x14ac:dyDescent="0.2">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x14ac:dyDescent="0.2">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x14ac:dyDescent="0.2">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x14ac:dyDescent="0.2">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x14ac:dyDescent="0.2">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x14ac:dyDescent="0.2">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x14ac:dyDescent="0.2">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x14ac:dyDescent="0.2">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x14ac:dyDescent="0.2">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x14ac:dyDescent="0.2">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x14ac:dyDescent="0.2">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x14ac:dyDescent="0.2">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x14ac:dyDescent="0.2">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x14ac:dyDescent="0.2">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x14ac:dyDescent="0.2">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x14ac:dyDescent="0.2">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x14ac:dyDescent="0.2">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x14ac:dyDescent="0.2">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x14ac:dyDescent="0.2">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x14ac:dyDescent="0.2">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x14ac:dyDescent="0.2">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x14ac:dyDescent="0.2">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x14ac:dyDescent="0.2">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x14ac:dyDescent="0.2">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x14ac:dyDescent="0.2">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x14ac:dyDescent="0.2">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x14ac:dyDescent="0.2">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x14ac:dyDescent="0.2">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x14ac:dyDescent="0.2">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x14ac:dyDescent="0.2">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x14ac:dyDescent="0.2">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x14ac:dyDescent="0.2">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x14ac:dyDescent="0.2">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x14ac:dyDescent="0.2">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x14ac:dyDescent="0.2">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x14ac:dyDescent="0.2">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x14ac:dyDescent="0.2">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x14ac:dyDescent="0.2">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x14ac:dyDescent="0.2">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x14ac:dyDescent="0.2">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x14ac:dyDescent="0.2">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x14ac:dyDescent="0.2">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x14ac:dyDescent="0.2">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x14ac:dyDescent="0.2">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x14ac:dyDescent="0.2">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x14ac:dyDescent="0.2">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x14ac:dyDescent="0.2">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x14ac:dyDescent="0.2">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x14ac:dyDescent="0.2">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x14ac:dyDescent="0.2">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x14ac:dyDescent="0.2">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x14ac:dyDescent="0.2">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x14ac:dyDescent="0.2">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x14ac:dyDescent="0.2">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x14ac:dyDescent="0.2">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x14ac:dyDescent="0.2">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x14ac:dyDescent="0.2">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x14ac:dyDescent="0.2">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x14ac:dyDescent="0.2">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x14ac:dyDescent="0.2">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x14ac:dyDescent="0.2">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x14ac:dyDescent="0.2">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x14ac:dyDescent="0.2">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x14ac:dyDescent="0.2">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x14ac:dyDescent="0.2">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x14ac:dyDescent="0.2">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x14ac:dyDescent="0.2">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x14ac:dyDescent="0.2">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x14ac:dyDescent="0.2">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x14ac:dyDescent="0.2">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x14ac:dyDescent="0.2">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x14ac:dyDescent="0.2">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x14ac:dyDescent="0.2">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x14ac:dyDescent="0.2">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x14ac:dyDescent="0.2">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x14ac:dyDescent="0.2">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x14ac:dyDescent="0.2">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x14ac:dyDescent="0.2">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x14ac:dyDescent="0.2">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x14ac:dyDescent="0.2">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x14ac:dyDescent="0.2">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x14ac:dyDescent="0.2">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x14ac:dyDescent="0.2">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x14ac:dyDescent="0.2">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x14ac:dyDescent="0.2">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x14ac:dyDescent="0.2">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x14ac:dyDescent="0.2">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x14ac:dyDescent="0.2">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x14ac:dyDescent="0.2">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x14ac:dyDescent="0.2">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x14ac:dyDescent="0.2">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x14ac:dyDescent="0.2">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x14ac:dyDescent="0.2">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x14ac:dyDescent="0.2">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x14ac:dyDescent="0.2">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x14ac:dyDescent="0.2">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x14ac:dyDescent="0.2">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x14ac:dyDescent="0.2">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x14ac:dyDescent="0.2">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x14ac:dyDescent="0.2">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x14ac:dyDescent="0.2">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x14ac:dyDescent="0.2">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x14ac:dyDescent="0.2">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x14ac:dyDescent="0.2">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x14ac:dyDescent="0.2">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x14ac:dyDescent="0.2">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x14ac:dyDescent="0.2">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x14ac:dyDescent="0.2">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x14ac:dyDescent="0.2">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x14ac:dyDescent="0.2">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x14ac:dyDescent="0.2">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x14ac:dyDescent="0.2">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x14ac:dyDescent="0.2">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x14ac:dyDescent="0.2">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x14ac:dyDescent="0.2">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x14ac:dyDescent="0.2">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x14ac:dyDescent="0.2">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x14ac:dyDescent="0.2">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x14ac:dyDescent="0.2">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x14ac:dyDescent="0.2">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x14ac:dyDescent="0.2">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x14ac:dyDescent="0.2">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x14ac:dyDescent="0.2">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x14ac:dyDescent="0.2">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x14ac:dyDescent="0.2">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x14ac:dyDescent="0.2">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x14ac:dyDescent="0.2">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x14ac:dyDescent="0.2">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x14ac:dyDescent="0.2">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x14ac:dyDescent="0.2">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x14ac:dyDescent="0.2">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x14ac:dyDescent="0.2">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x14ac:dyDescent="0.2">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x14ac:dyDescent="0.2">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x14ac:dyDescent="0.2">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x14ac:dyDescent="0.2">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x14ac:dyDescent="0.2">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x14ac:dyDescent="0.2">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x14ac:dyDescent="0.2">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x14ac:dyDescent="0.2">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x14ac:dyDescent="0.2">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x14ac:dyDescent="0.2">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x14ac:dyDescent="0.2">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x14ac:dyDescent="0.2">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x14ac:dyDescent="0.2">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x14ac:dyDescent="0.2">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x14ac:dyDescent="0.2">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x14ac:dyDescent="0.2">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x14ac:dyDescent="0.2">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x14ac:dyDescent="0.2">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x14ac:dyDescent="0.2">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x14ac:dyDescent="0.2">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x14ac:dyDescent="0.2">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x14ac:dyDescent="0.2">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x14ac:dyDescent="0.2">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x14ac:dyDescent="0.2">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x14ac:dyDescent="0.2">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x14ac:dyDescent="0.2">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x14ac:dyDescent="0.2">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x14ac:dyDescent="0.2">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x14ac:dyDescent="0.2">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x14ac:dyDescent="0.2">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x14ac:dyDescent="0.2">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x14ac:dyDescent="0.2">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x14ac:dyDescent="0.2">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x14ac:dyDescent="0.2">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x14ac:dyDescent="0.2">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x14ac:dyDescent="0.2">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x14ac:dyDescent="0.2">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x14ac:dyDescent="0.2">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x14ac:dyDescent="0.2">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x14ac:dyDescent="0.2">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x14ac:dyDescent="0.2">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x14ac:dyDescent="0.2">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x14ac:dyDescent="0.2">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x14ac:dyDescent="0.2">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x14ac:dyDescent="0.2">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x14ac:dyDescent="0.2">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x14ac:dyDescent="0.2">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x14ac:dyDescent="0.2">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x14ac:dyDescent="0.2">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x14ac:dyDescent="0.2">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x14ac:dyDescent="0.2">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x14ac:dyDescent="0.2">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x14ac:dyDescent="0.2">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x14ac:dyDescent="0.2">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x14ac:dyDescent="0.2">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x14ac:dyDescent="0.2">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x14ac:dyDescent="0.2">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x14ac:dyDescent="0.2">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x14ac:dyDescent="0.2">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x14ac:dyDescent="0.2">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x14ac:dyDescent="0.2">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x14ac:dyDescent="0.2">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x14ac:dyDescent="0.2">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x14ac:dyDescent="0.2">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x14ac:dyDescent="0.2">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x14ac:dyDescent="0.2">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x14ac:dyDescent="0.2">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x14ac:dyDescent="0.2">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x14ac:dyDescent="0.2">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x14ac:dyDescent="0.2">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x14ac:dyDescent="0.2">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x14ac:dyDescent="0.2">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x14ac:dyDescent="0.2">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x14ac:dyDescent="0.2">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x14ac:dyDescent="0.2">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x14ac:dyDescent="0.2">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x14ac:dyDescent="0.2">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x14ac:dyDescent="0.2">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x14ac:dyDescent="0.2">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x14ac:dyDescent="0.2">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x14ac:dyDescent="0.2">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x14ac:dyDescent="0.2">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x14ac:dyDescent="0.2">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x14ac:dyDescent="0.2">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x14ac:dyDescent="0.2">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x14ac:dyDescent="0.2">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x14ac:dyDescent="0.2">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x14ac:dyDescent="0.2">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x14ac:dyDescent="0.2">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x14ac:dyDescent="0.2">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x14ac:dyDescent="0.2">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x14ac:dyDescent="0.2">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x14ac:dyDescent="0.2">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x14ac:dyDescent="0.2">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x14ac:dyDescent="0.2">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x14ac:dyDescent="0.2">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x14ac:dyDescent="0.2">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x14ac:dyDescent="0.2">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x14ac:dyDescent="0.2">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x14ac:dyDescent="0.2">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x14ac:dyDescent="0.2">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x14ac:dyDescent="0.2">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x14ac:dyDescent="0.2">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x14ac:dyDescent="0.2">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x14ac:dyDescent="0.2">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x14ac:dyDescent="0.2">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x14ac:dyDescent="0.2">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x14ac:dyDescent="0.2">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x14ac:dyDescent="0.2">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x14ac:dyDescent="0.2">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x14ac:dyDescent="0.2">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x14ac:dyDescent="0.2">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x14ac:dyDescent="0.2">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x14ac:dyDescent="0.2">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x14ac:dyDescent="0.2">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x14ac:dyDescent="0.2">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x14ac:dyDescent="0.2">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x14ac:dyDescent="0.2">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x14ac:dyDescent="0.2">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x14ac:dyDescent="0.2">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x14ac:dyDescent="0.2">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x14ac:dyDescent="0.2">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x14ac:dyDescent="0.2">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x14ac:dyDescent="0.2">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x14ac:dyDescent="0.2">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x14ac:dyDescent="0.2">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x14ac:dyDescent="0.2">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x14ac:dyDescent="0.2">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x14ac:dyDescent="0.2">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x14ac:dyDescent="0.2">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x14ac:dyDescent="0.2">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x14ac:dyDescent="0.2">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x14ac:dyDescent="0.2">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x14ac:dyDescent="0.2">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x14ac:dyDescent="0.2">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x14ac:dyDescent="0.2">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x14ac:dyDescent="0.2">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x14ac:dyDescent="0.2">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x14ac:dyDescent="0.2">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x14ac:dyDescent="0.2">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x14ac:dyDescent="0.2">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x14ac:dyDescent="0.2">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x14ac:dyDescent="0.2">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x14ac:dyDescent="0.2">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x14ac:dyDescent="0.2">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x14ac:dyDescent="0.2">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x14ac:dyDescent="0.2">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x14ac:dyDescent="0.2">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x14ac:dyDescent="0.2">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x14ac:dyDescent="0.2">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x14ac:dyDescent="0.2">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x14ac:dyDescent="0.2">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x14ac:dyDescent="0.2">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x14ac:dyDescent="0.2">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x14ac:dyDescent="0.2">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x14ac:dyDescent="0.2">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x14ac:dyDescent="0.2">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x14ac:dyDescent="0.2">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x14ac:dyDescent="0.2">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x14ac:dyDescent="0.2">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x14ac:dyDescent="0.2">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x14ac:dyDescent="0.2">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x14ac:dyDescent="0.2">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x14ac:dyDescent="0.2">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x14ac:dyDescent="0.2">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x14ac:dyDescent="0.2">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x14ac:dyDescent="0.2">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x14ac:dyDescent="0.2">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x14ac:dyDescent="0.2">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algorithmName="SHA-512" hashValue="Z7lYdjQK/WlC07VxTsEU5RrQ+IZxJ7AXMOVlRXFUSyPfM5hZtb5TlMiayRL+Z5divKaiQNoMD2f90XAlOKdRag==" saltValue="H08p2vQVitypsZ/WD90qMQ==" spinCount="100000" sheet="1" objects="1" scenarios="1"/>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18B23-2B88-4C39-B8D3-DE7B60DAE1E4}">
  <dimension ref="A1:BE70"/>
  <sheetViews>
    <sheetView zoomScaleNormal="100" workbookViewId="0">
      <selection activeCell="A3" sqref="A3"/>
    </sheetView>
  </sheetViews>
  <sheetFormatPr defaultColWidth="0" defaultRowHeight="12.75" zeroHeight="1" x14ac:dyDescent="0.2"/>
  <cols>
    <col min="1" max="1" width="25.85546875" style="265" customWidth="1"/>
    <col min="2" max="2" width="17.140625" style="265" customWidth="1"/>
    <col min="3" max="19" width="8.5703125" style="265" customWidth="1"/>
    <col min="20" max="20" width="2.85546875" style="265" customWidth="1"/>
    <col min="21" max="21" width="11.42578125" style="265" hidden="1" customWidth="1"/>
    <col min="22" max="22" width="8.5703125" style="265" hidden="1" customWidth="1"/>
    <col min="23" max="25" width="8.5703125" style="266" hidden="1" customWidth="1"/>
    <col min="26" max="35" width="8.5703125" style="265" hidden="1" customWidth="1"/>
    <col min="36" max="36" width="9.140625" style="265" hidden="1" customWidth="1"/>
    <col min="37" max="46" width="7.140625" style="265" hidden="1" customWidth="1"/>
    <col min="47" max="16384" width="9.140625" style="265" hidden="1"/>
  </cols>
  <sheetData>
    <row r="1" spans="1:57" ht="21.75" customHeight="1" x14ac:dyDescent="0.2">
      <c r="A1" s="523" t="str">
        <f>IF(Roster!$K$25="Italiano","MERCENARIO 1",(IF(Roster!$K$25="Español","MERCENARIO 1",(IF(Roster!$K$25="Français","MERCENAIRE 1","MERCENARY 1")))))</f>
        <v>MERCENARY 1</v>
      </c>
      <c r="B1" s="523"/>
      <c r="C1" s="523"/>
      <c r="D1" s="523"/>
      <c r="E1" s="523"/>
      <c r="F1" s="523"/>
      <c r="G1" s="523"/>
      <c r="H1" s="523"/>
      <c r="I1" s="523"/>
      <c r="J1" s="523"/>
      <c r="K1" s="523"/>
      <c r="L1" s="523"/>
      <c r="M1" s="523"/>
      <c r="N1" s="523"/>
      <c r="O1" s="523"/>
      <c r="P1" s="523"/>
      <c r="Q1" s="523"/>
      <c r="R1" s="523"/>
      <c r="S1" s="523"/>
      <c r="T1" s="521"/>
    </row>
    <row r="2" spans="1:57" s="267" customFormat="1" ht="22.5" customHeight="1" x14ac:dyDescent="0.2">
      <c r="A2" s="254" t="str">
        <f>IF(Roster!$K$25="Italiano","MERCENARIO 1",(IF(Roster!$K$25="Español","MERCENARIO 1",(IF(Roster!$K$25="Français","MERCENAIRE 1","MERCENARY 1")))))</f>
        <v>MERCENARY 1</v>
      </c>
      <c r="B2" s="254" t="str">
        <f>IF(Roster!$K$25="Italiano","TIPO",(IF(Roster!$K$25="Español","TIPO",(IF(Roster!$K$25="Deutsch","POSITION",(IF(Roster!$K$25="Français","POSTE","TYPE")))))))</f>
        <v>TYPE</v>
      </c>
      <c r="C2" s="254" t="str">
        <f>IF(Roster!$K$25="Español","MO",(IF(Roster!$K$25="Deutsch","BE",(IF(Roster!$K$25="Français","M","MA")))))</f>
        <v>MA</v>
      </c>
      <c r="D2" s="254" t="str">
        <f>IF(Roster!$K$25="Español","FU",(IF(Roster!$K$25="Français","F","ST")))</f>
        <v>ST</v>
      </c>
      <c r="E2" s="254" t="str">
        <f>IF(Roster!$K$25="Deutsch","GE","AG")</f>
        <v>AG</v>
      </c>
      <c r="F2" s="254" t="str">
        <f>IF(Roster!$K$25="Deutsch","WG",(IF(Roster!$K$25="Français","CP","PA")))</f>
        <v>PA</v>
      </c>
      <c r="G2" s="254" t="str">
        <f>IF(Roster!$K$25="Español","AR",(IF(Roster!$K$25="Deutsch","RW",(IF(Roster!$K$25="Français","AR","AV")))))</f>
        <v>AV</v>
      </c>
      <c r="H2" s="512" t="str">
        <f>IF(Roster!$K$25="Italiano","ABILITÀ",(IF(Roster!$K$25="Español","HABILIDADES",(IF(Roster!$K$25="Deutsch","FERTIGKEITEN",(IF(Roster!$K$25="Français","COMPÉTENCES","SKILLS")))))))</f>
        <v>SKILLS</v>
      </c>
      <c r="I2" s="513"/>
      <c r="J2" s="513"/>
      <c r="K2" s="513"/>
      <c r="L2" s="513"/>
      <c r="M2" s="513"/>
      <c r="N2" s="513"/>
      <c r="O2" s="513"/>
      <c r="P2" s="513"/>
      <c r="Q2" s="513"/>
      <c r="R2" s="514"/>
      <c r="S2" s="254" t="str">
        <f>IF(Roster!$K$25="Italiano","COSTO",(IF(Roster!$K$25="Español","PRECIO",(IF(Roster!$K$25="Deutsch","WERT",(IF(Roster!$K$25="Français","VALEUR","COST")))))))</f>
        <v>COST</v>
      </c>
      <c r="T2" s="521"/>
      <c r="V2" s="268" t="s">
        <v>261</v>
      </c>
      <c r="W2" s="269" t="s">
        <v>206</v>
      </c>
      <c r="X2" s="270"/>
      <c r="Y2" s="268" t="s">
        <v>1268</v>
      </c>
      <c r="Z2" s="271"/>
      <c r="AA2" s="271"/>
      <c r="AB2" s="269"/>
      <c r="AC2" s="270"/>
      <c r="AD2" s="270"/>
      <c r="AE2" s="270"/>
      <c r="AF2" s="268" t="s">
        <v>1273</v>
      </c>
      <c r="AG2" s="271"/>
      <c r="AH2" s="271"/>
      <c r="AI2" s="269"/>
      <c r="AK2" s="509" t="s">
        <v>1313</v>
      </c>
      <c r="AL2" s="510"/>
      <c r="AM2" s="510"/>
      <c r="AN2" s="510"/>
      <c r="AO2" s="511"/>
      <c r="AP2" s="509" t="s">
        <v>1314</v>
      </c>
      <c r="AQ2" s="510"/>
      <c r="AR2" s="510"/>
      <c r="AS2" s="510"/>
      <c r="AT2" s="511"/>
      <c r="AV2" s="312" t="str">
        <f>IF(B3="Stunty Superstar",(IF($K$40="Español","Agallas",(IF($K$40="Deutsch","Abwehren",(IF($K$40="Français","Arracher le ballon","Block")))))),IF($J$24="Español","Agallas",(IF($J$24="Deutsch","Abwehren",(IF($J$24="Français","Arracher le ballon","Block"))))))</f>
        <v>Block</v>
      </c>
      <c r="AW2" s="312" t="s">
        <v>196</v>
      </c>
      <c r="AX2" s="313" t="str">
        <f>IF($K$40="Español","Atrapar",(IF($K$40="Deutsch","Aufspringen",(IF($K$40="Français","Défenseur ","Catch")))))</f>
        <v>Catch</v>
      </c>
      <c r="AY2" s="312" t="s">
        <v>197</v>
      </c>
      <c r="AZ2" s="312" t="str">
        <f>IF($K$40="Español","Atento al Balón",(IF($K$40="Deutsch","Abspiel",(IF($K$40="Français","Canonnier","Accurate")))))</f>
        <v>Accurate</v>
      </c>
      <c r="BA2" s="312" t="s">
        <v>199</v>
      </c>
      <c r="BB2" s="313" t="str">
        <f>IF($K$40="Español","Abrirse Paso",(IF($K$40="Deutsch","Armhebel",(IF($K$40="Français","Bagarre","Arm Bar")))))</f>
        <v>Arm Bar</v>
      </c>
      <c r="BC2" s="312" t="s">
        <v>198</v>
      </c>
      <c r="BD2" s="313" t="str">
        <f>IF($K$40="Español","Apariencia Asquerosa",(IF($K$40="Deutsch","Abstoßendes Aussehen",(IF($K$40="Français","Bras supplémentaire","Big Hand")))))</f>
        <v>Big Hand</v>
      </c>
      <c r="BE2" s="312" t="s">
        <v>200</v>
      </c>
    </row>
    <row r="3" spans="1:57" s="267" customFormat="1" ht="30" customHeight="1" x14ac:dyDescent="0.2">
      <c r="A3" s="297"/>
      <c r="B3" s="297" t="s">
        <v>1267</v>
      </c>
      <c r="C3" s="272" t="str">
        <f>IF((VLOOKUP(B3,Y5:AD10,2,FALSE))+J6+(IF(AE3="G",-2,0))+(IF(OR(AE3="O",AE3="N"),-1,0))=0,"",(VLOOKUP(B3,Y5:AD10,2,FALSE))+J6+(IF(AE3="G",-2,0))+(IF(OR(AE3="O",AE3="N"),-1,0)))</f>
        <v/>
      </c>
      <c r="D3" s="272" t="str">
        <f>IF((VLOOKUP(B3,Y5:AD10,3,FALSE))+L6+(IF(AE3="G",3,0))+(IF(OR(AE3="O",AE3="N"),2,0))=0,"",(VLOOKUP(B3,Y5:AD10,3,FALSE))+L6+(IF(AE3="G",3,0))+(IF(OR(AE3="O",AE3="N"),2,0)))</f>
        <v/>
      </c>
      <c r="E3" s="272" t="str">
        <f>IF((VLOOKUP(B3,Y5:AD10,4,FALSE)+N6+(IF(AE3="J",1,0)))=0,"",(VLOOKUP(B3,Y5:AD10,4,FALSE)+N6+(IF(AE3="J",1,0))&amp;"+"))</f>
        <v/>
      </c>
      <c r="F3" s="272" t="str">
        <f>IF((VLOOKUP(B3,Y5:AD10,5,FALSE)+P6)=0,"",(VLOOKUP(B3,Y5:AD10,5,FALSE)+P6&amp;"+"))</f>
        <v/>
      </c>
      <c r="G3" s="272" t="str">
        <f>IF((VLOOKUP(B3,Y5:AD10,6,FALSE)+R6)=0,"",(VLOOKUP(B3,Y5:AD10,6,FALSE)+R6&amp;"+"))</f>
        <v/>
      </c>
      <c r="H3" s="515" t="str">
        <f>Y3&amp;(IF(Z3&lt;&gt;"",", ",""))&amp;Z3&amp;(IF(AA3&lt;&gt;"",", ",""))&amp;AA3&amp;(IF(AB3&lt;&gt;"",", ",""))&amp;AB3&amp;(IF(AF3&lt;&gt;"",", ",""))&amp;AF3&amp;(IF(AG3&lt;&gt;"",", ",""))&amp;AG3&amp;(IF(AH3&lt;&gt;"",", ",""))&amp;AH3&amp;(IF(AI3&lt;&gt;"",", ",""))&amp;AI3&amp;AK8</f>
        <v/>
      </c>
      <c r="I3" s="516"/>
      <c r="J3" s="516"/>
      <c r="K3" s="516"/>
      <c r="L3" s="516"/>
      <c r="M3" s="516"/>
      <c r="N3" s="516"/>
      <c r="O3" s="516"/>
      <c r="P3" s="516"/>
      <c r="Q3" s="516"/>
      <c r="R3" s="517"/>
      <c r="S3" s="272">
        <f>(VLOOKUP(B3,Y5:AI10,11,FALSE))+W12</f>
        <v>0</v>
      </c>
      <c r="T3" s="521"/>
      <c r="V3" s="273"/>
      <c r="W3" s="274">
        <v>0</v>
      </c>
      <c r="X3" s="259"/>
      <c r="Y3" s="275" t="str">
        <f>VLOOKUP(B3,Y5:AH10,7,FALSE)</f>
        <v/>
      </c>
      <c r="Z3" s="276" t="str">
        <f>VLOOKUP(B3,Y5:AH10,8,FALSE)</f>
        <v/>
      </c>
      <c r="AA3" s="276" t="str">
        <f>VLOOKUP(B3,Y5:AH10,9,FALSE)</f>
        <v/>
      </c>
      <c r="AB3" s="277" t="str">
        <f>VLOOKUP(B3,Y5:AH10,10,FALSE)</f>
        <v/>
      </c>
      <c r="AC3" s="270"/>
      <c r="AD3" s="270"/>
      <c r="AE3" s="270" t="str">
        <f>IFERROR((VLOOKUP(A6,R41:W55,2,FALSE)),"")</f>
        <v/>
      </c>
      <c r="AF3" s="275" t="str">
        <f>IFERROR((VLOOKUP(A6,R41:W55,3,FALSE)),"")</f>
        <v/>
      </c>
      <c r="AG3" s="276" t="str">
        <f>IFERROR((VLOOKUP(A6,R41:W55,4,FALSE)),"")</f>
        <v/>
      </c>
      <c r="AH3" s="276" t="str">
        <f>IFERROR((VLOOKUP(A6,R41:W55,5,FALSE)),"")</f>
        <v/>
      </c>
      <c r="AI3" s="277" t="str">
        <f>IFERROR((VLOOKUP(A6,R41:W55,6,FALSE)),"")</f>
        <v/>
      </c>
      <c r="AK3" s="278">
        <v>0</v>
      </c>
      <c r="AL3" s="279">
        <v>0</v>
      </c>
      <c r="AM3" s="279">
        <v>0</v>
      </c>
      <c r="AN3" s="279">
        <v>0</v>
      </c>
      <c r="AO3" s="274">
        <v>0</v>
      </c>
      <c r="AP3" s="278">
        <v>0</v>
      </c>
      <c r="AQ3" s="279">
        <v>0</v>
      </c>
      <c r="AR3" s="279">
        <v>0</v>
      </c>
      <c r="AS3" s="279">
        <v>0</v>
      </c>
      <c r="AT3" s="274">
        <v>0</v>
      </c>
      <c r="AV3" s="313" t="str">
        <f>IF(B3="Stunty Superstar",(IF($K$40="Español","Forcejear",(IF($K$40="Deutsch","Ball entreißen",(IF($K$40="Français","Blocage","Dauntless")))))),(IF($J$24="Español","Forcejear",(IF($J$24="Deutsch","Ball entreißen",(IF($J$24="Français","Blocage","Dauntless")))))))</f>
        <v>Dauntless</v>
      </c>
      <c r="AW3" s="312" t="s">
        <v>196</v>
      </c>
      <c r="AX3" s="313" t="str">
        <f>IF($K$40="Español","Echarse a un Lado",(IF($K$40="Deutsch","Ausweichen",(IF($K$40="Français","Équilibre","Diving Catch")))))</f>
        <v>Diving Catch</v>
      </c>
      <c r="AY3" s="312" t="s">
        <v>197</v>
      </c>
      <c r="AZ3" s="312" t="str">
        <f>IF($K$40="Español","Cañonero",(IF($K$40="Deutsch","Hau wech das Leder",(IF($K$40="Français","Chef","Cannoneer")))))</f>
        <v>Cannoneer</v>
      </c>
      <c r="BA3" s="312" t="s">
        <v>199</v>
      </c>
      <c r="BB3" s="313" t="str">
        <f>IF($K$40="Español","Apartar",(IF($K$40="Deutsch","Greifer",(IF($K$40="Français","Blocage multiple","Brawler")))))</f>
        <v>Brawler</v>
      </c>
      <c r="BC3" s="312" t="s">
        <v>198</v>
      </c>
      <c r="BD3" s="313" t="str">
        <f>IF($K$40="Español","Boca Monstruosa",(IF($K$40="Deutsch","Eisenharte Haut",(IF($K$40="Français","Cornes","Claw / Claws")))))</f>
        <v>Claw / Claws</v>
      </c>
      <c r="BE3" s="312" t="s">
        <v>200</v>
      </c>
    </row>
    <row r="4" spans="1:57" s="267" customFormat="1" ht="22.5" customHeight="1" x14ac:dyDescent="0.2">
      <c r="A4" s="522" t="str">
        <f>IF(J40="Italiano","AVANZAMIENTO GIOCATORI",(IF(J40="Español","MEJORAS DEL JUGADORE",(IF(J40="Deutsch","SPIELERVERBESSERUNGEN",(IF(J40="Français","AMÉLIORATIONS DE JOUEUR","PLAYER UPGRADES")))))))</f>
        <v>PLAYER UPGRADES</v>
      </c>
      <c r="B4" s="522"/>
      <c r="C4" s="522"/>
      <c r="D4" s="522"/>
      <c r="E4" s="522"/>
      <c r="F4" s="522"/>
      <c r="G4" s="522"/>
      <c r="H4" s="522"/>
      <c r="I4" s="522"/>
      <c r="J4" s="522"/>
      <c r="K4" s="522"/>
      <c r="L4" s="522"/>
      <c r="M4" s="522"/>
      <c r="N4" s="522"/>
      <c r="O4" s="522"/>
      <c r="P4" s="522"/>
      <c r="Q4" s="522"/>
      <c r="R4" s="522"/>
      <c r="S4" s="522"/>
      <c r="T4" s="521"/>
      <c r="U4" s="29"/>
      <c r="V4" s="273" t="str">
        <f>IF($B$3="Stunty Superstar",C43,(IF($B$3="Legendary Linemen",F43,(IF($B$3="Brutal Blockers",I43,(IF($B$3="Reliable Ringers",L43,(IF($B$3="Bona Fide Big Guy",O43,"")))))))))</f>
        <v/>
      </c>
      <c r="W4" s="274" t="str">
        <f>IF($B$3="Stunty Superstar",D43,(IF($B$3="Legendary Linemen",G43,(IF($B$3="Brutal Blockers",J43,(IF($B$3="Reliable Ringers",M43,(IF($B$3="Bona Fide Big Guy",P43,"")))))))))</f>
        <v/>
      </c>
      <c r="X4" s="270"/>
      <c r="Y4" s="270"/>
      <c r="Z4" s="270"/>
      <c r="AA4" s="270"/>
      <c r="AB4" s="270"/>
      <c r="AC4" s="270"/>
      <c r="AD4" s="270"/>
      <c r="AE4" s="270"/>
      <c r="AF4" s="270"/>
      <c r="AG4" s="270"/>
      <c r="AH4" s="270"/>
      <c r="AI4" s="270"/>
      <c r="AK4" s="278">
        <v>1</v>
      </c>
      <c r="AL4" s="279">
        <v>0</v>
      </c>
      <c r="AM4" s="279">
        <f>IF(B3="Legendary Linemen",0,-1)</f>
        <v>-1</v>
      </c>
      <c r="AN4" s="279">
        <f>IF(B3="Brutal Blockers",0,-1)</f>
        <v>-1</v>
      </c>
      <c r="AO4" s="274">
        <v>1</v>
      </c>
      <c r="AP4" s="278">
        <f>IF(OR(B3="Legendary Linemen",B3="Bona Fide Big Guy"),20000,30000)</f>
        <v>30000</v>
      </c>
      <c r="AQ4" s="279">
        <v>0</v>
      </c>
      <c r="AR4" s="279">
        <f>IF(OR(B3="Stunty Superstar",B3="Bona Fide Big Guy"),40000,(IF(B3="Legendary Linemen",0,50000)))</f>
        <v>50000</v>
      </c>
      <c r="AS4" s="279">
        <f>IF(B3="Brutal Blockers",0,30000)</f>
        <v>30000</v>
      </c>
      <c r="AT4" s="274">
        <f>IF(B3="Stunty Superstar",30000,(IF(B3="Reliable Ringers",40000,20000)))</f>
        <v>20000</v>
      </c>
      <c r="AV4" s="313" t="str">
        <f>IF(B3="Stunty Superstar",(IF($K$40="Español","Furia",(IF($K$40="Deutsch","Ballgefühl",(IF($K$40="Français","Frappe précise","Fend")))))),(IF($J$24="Español","Furia",(IF($J$24="Deutsch","Ballgefühl",(IF($J$24="Français","Frappe précise","Dirty Player (+1)")))))))</f>
        <v>Dirty Player (+1)</v>
      </c>
      <c r="AW4" s="312" t="s">
        <v>196</v>
      </c>
      <c r="AX4" s="313" t="str">
        <f>IF($K$40="Español","En Pie de un Salto",(IF($K$40="Deutsch","Fangsicher",(IF($K$40="Français","Esquive","Diving Tackle")))))</f>
        <v>Diving Tackle</v>
      </c>
      <c r="AY4" s="312" t="s">
        <v>197</v>
      </c>
      <c r="AZ4" s="313" t="str">
        <f>IF($K$40="Español","Dejada",(IF($K$40="Deutsch","Im Laufen passen",(IF($K$40="Français","Délestage","Cloud Burster")))))</f>
        <v>Cloud Burster</v>
      </c>
      <c r="BA4" s="312" t="s">
        <v>199</v>
      </c>
      <c r="BB4" s="313" t="str">
        <f>IF($K$40="Español","Brazo Fuerte",(IF($K$40="Deutsch","Knochenbrecher (+1)",(IF($K$40="Français","Bras musclé","Break Tackle")))))</f>
        <v>Break Tackle</v>
      </c>
      <c r="BC4" s="312" t="s">
        <v>198</v>
      </c>
      <c r="BD4" s="313" t="str">
        <f>IF($K$40="Español","Brazos Adicionales",(IF($K$40="Deutsch","Große Hand",(IF($K$40="Français","Deux tête","Disturbing Presence")))))</f>
        <v>Disturbing Presence</v>
      </c>
      <c r="BE4" s="312" t="s">
        <v>200</v>
      </c>
    </row>
    <row r="5" spans="1:57" s="267" customFormat="1" ht="22.5" customHeight="1" x14ac:dyDescent="0.2">
      <c r="A5" s="512" t="s">
        <v>1265</v>
      </c>
      <c r="B5" s="513"/>
      <c r="C5" s="513"/>
      <c r="D5" s="513"/>
      <c r="E5" s="513"/>
      <c r="F5" s="513"/>
      <c r="G5" s="513"/>
      <c r="H5" s="514"/>
      <c r="I5" s="254" t="str">
        <f>IF(Roster!$K$25="Italiano","COSTO",(IF(Roster!$K$25="Español","PRECIO",(IF(Roster!$K$25="Deutsch","WERT",(IF(Roster!$K$25="Français","VALEUR","COST")))))))</f>
        <v>COST</v>
      </c>
      <c r="J5" s="254" t="str">
        <f>IF(Roster!$K$25="Español","MO",(IF(Roster!$K$25="Deutsch","BE",(IF(Roster!$K$25="Français","M","MA")))))</f>
        <v>MA</v>
      </c>
      <c r="K5" s="254" t="str">
        <f>IF(Roster!$K$25="Italiano","COSTO",(IF(Roster!$K$25="Español","PRECIO",(IF(Roster!$K$25="Deutsch","WERT",(IF(Roster!$K$25="Français","VALEUR","COST")))))))</f>
        <v>COST</v>
      </c>
      <c r="L5" s="254" t="str">
        <f>IF(Roster!$K$25="Español","FU",(IF(Roster!$K$25="Français","F","ST")))</f>
        <v>ST</v>
      </c>
      <c r="M5" s="254" t="str">
        <f>IF(Roster!$K$25="Italiano","COSTO",(IF(Roster!$K$25="Español","PRECIO",(IF(Roster!$K$25="Deutsch","WERT",(IF(Roster!$K$25="Français","VALEUR","COST")))))))</f>
        <v>COST</v>
      </c>
      <c r="N5" s="254" t="str">
        <f>IF(Roster!$K$25="Deutsch","GE","AG")</f>
        <v>AG</v>
      </c>
      <c r="O5" s="254" t="str">
        <f>IF(Roster!$K$25="Italiano","COSTO",(IF(Roster!$K$25="Español","PRECIO",(IF(Roster!$K$25="Deutsch","WERT",(IF(Roster!$K$25="Français","VALEUR","COST")))))))</f>
        <v>COST</v>
      </c>
      <c r="P5" s="254" t="str">
        <f>IF(Roster!$K$25="Deutsch","WG",(IF(Roster!$K$25="Français","CP","PA")))</f>
        <v>PA</v>
      </c>
      <c r="Q5" s="254" t="str">
        <f>IF(Roster!$K$25="Italiano","COSTO",(IF(Roster!$K$25="Español","PRECIO",(IF(Roster!$K$25="Deutsch","WERT",(IF(Roster!$K$25="Français","VALEUR","COST")))))))</f>
        <v>COST</v>
      </c>
      <c r="R5" s="254" t="str">
        <f>IF(Roster!$K$25="Español","AR",(IF(Roster!$K$25="Deutsch","RW",(IF(Roster!$K$25="Français","AR","AV")))))</f>
        <v>AV</v>
      </c>
      <c r="S5" s="254" t="str">
        <f>IF(Roster!$K$25="Italiano","COSTO",(IF(Roster!$K$25="Español","PRECIO",(IF(Roster!$K$25="Deutsch","WERT",(IF(Roster!$K$25="Français","VALEUR","COST")))))))</f>
        <v>COST</v>
      </c>
      <c r="T5" s="521"/>
      <c r="U5" s="29"/>
      <c r="V5" s="273"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4" t="str">
        <f t="shared" ref="W5:W10" si="0">IF($B$3="Stunty Superstar",D44,(IF($B$3="Legendary Linemen",G44,(IF($B$3="Brutal Blockers",J44,(IF($B$3="Reliable Ringers",M44,(IF($B$3="Bona Fide Big Guy",P44,"")))))))))</f>
        <v/>
      </c>
      <c r="X5" s="270"/>
      <c r="Y5" s="268" t="s">
        <v>1267</v>
      </c>
      <c r="Z5" s="280">
        <v>0</v>
      </c>
      <c r="AA5" s="280">
        <v>0</v>
      </c>
      <c r="AB5" s="280">
        <v>0</v>
      </c>
      <c r="AC5" s="280">
        <v>0</v>
      </c>
      <c r="AD5" s="280">
        <v>0</v>
      </c>
      <c r="AE5" s="271" t="str">
        <f>""</f>
        <v/>
      </c>
      <c r="AF5" s="271" t="str">
        <f>""</f>
        <v/>
      </c>
      <c r="AG5" s="271" t="str">
        <f>""</f>
        <v/>
      </c>
      <c r="AH5" s="271" t="str">
        <f>""</f>
        <v/>
      </c>
      <c r="AI5" s="314">
        <v>0</v>
      </c>
      <c r="AK5" s="278">
        <v>2</v>
      </c>
      <c r="AL5" s="279">
        <v>0</v>
      </c>
      <c r="AM5" s="279">
        <f>IF(B3="Legendary Linemen",0,-2)</f>
        <v>-2</v>
      </c>
      <c r="AN5" s="279">
        <f>IF(B3="Brutal Blockers",0,-2)</f>
        <v>-2</v>
      </c>
      <c r="AO5" s="274">
        <v>2</v>
      </c>
      <c r="AP5" s="278">
        <f>IF(OR(B3="Stunty Superstar",B3="Reliable Ringers"),70000,(IF(B3="Legendary Linemen",40000,50000)))</f>
        <v>50000</v>
      </c>
      <c r="AQ5" s="279">
        <v>0</v>
      </c>
      <c r="AR5" s="279">
        <f>IF(OR(B3="Stunty Superstar",B3="Bona Fide Big Guy"),80000,(IF(B3="Legendary Linemen",0,100000)))</f>
        <v>100000</v>
      </c>
      <c r="AS5" s="279">
        <f>IF(B3="Brutal Blockers",0,70000)</f>
        <v>70000</v>
      </c>
      <c r="AT5" s="274">
        <f>IF(B3="Stunty Superstar",70000,(IF(B3="Reliable Ringers",80000,40000)))</f>
        <v>40000</v>
      </c>
      <c r="AV5" s="313" t="str">
        <f>IF(B3="Stunty Superstar",(IF($K$40="Español","Manos Seguras",(IF($K$40="Deutsch","Block",(IF($K$40="Français","Frénésie ","Frenzy")))))),(IF($J$24="Español","Juego Sucio (+1)",(IF($J$24="Deutsch","Block",(IF($J$24="Français","Frénésie ","Fend")))))))</f>
        <v>Fend</v>
      </c>
      <c r="AW5" s="312" t="s">
        <v>196</v>
      </c>
      <c r="AX5" s="313" t="str">
        <f>IF($K$40="Español","Esprintar",(IF($K$40="Deutsch","Fliegender Tackle",(IF($K$40="Français","Glissade contrôlée","Dodge")))))</f>
        <v>Dodge</v>
      </c>
      <c r="AY5" s="312" t="s">
        <v>197</v>
      </c>
      <c r="AZ5" s="313" t="str">
        <f>IF($K$40="Español","Líder",(IF($K$40="Deutsch","In die Wolken",(IF($K$40="Français","Fumblerooskie","Dump-Off")))))</f>
        <v>Dump-Off</v>
      </c>
      <c r="BA5" s="312" t="s">
        <v>199</v>
      </c>
      <c r="BB5" s="313" t="str">
        <f>IF($K$40="Español","Cabeza Dura",(IF($K$40="Deutsch","Mehrfachblock",(IF($K$40="Français","Châtaigne (+1)","Grab")))))</f>
        <v>Grab</v>
      </c>
      <c r="BC5" s="312" t="s">
        <v>198</v>
      </c>
      <c r="BD5" s="313" t="str">
        <f>IF($K$40="Español","Cola Prensil",(IF($K$40="Deutsch","Hörner",(IF($K$40="Français","Grande gueule","Extra Arms")))))</f>
        <v>Extra Arms</v>
      </c>
      <c r="BE5" s="312" t="s">
        <v>200</v>
      </c>
    </row>
    <row r="6" spans="1:57" s="267" customFormat="1" ht="22.5" customHeight="1" x14ac:dyDescent="0.2">
      <c r="A6" s="518"/>
      <c r="B6" s="519"/>
      <c r="C6" s="519"/>
      <c r="D6" s="519"/>
      <c r="E6" s="519"/>
      <c r="F6" s="519"/>
      <c r="G6" s="519"/>
      <c r="H6" s="520"/>
      <c r="I6" s="281">
        <f>IFERROR((VLOOKUP(A6,V4:W10,2,FALSE)),0)</f>
        <v>0</v>
      </c>
      <c r="J6" s="297">
        <v>0</v>
      </c>
      <c r="K6" s="281">
        <f>IFERROR((VLOOKUP(J6,AK3:AT7,6,FALSE)),"ILEGAL")</f>
        <v>0</v>
      </c>
      <c r="L6" s="297">
        <v>0</v>
      </c>
      <c r="M6" s="281">
        <f>IFERROR((VLOOKUP(L6,AL3:AT7,6,FALSE)),"ILEGAL")</f>
        <v>0</v>
      </c>
      <c r="N6" s="297">
        <v>0</v>
      </c>
      <c r="O6" s="281">
        <f>IFERROR((VLOOKUP(N6,AM3:AT7,6,FALSE)),"ILEGAL")</f>
        <v>0</v>
      </c>
      <c r="P6" s="297">
        <v>0</v>
      </c>
      <c r="Q6" s="281">
        <f>IFERROR((VLOOKUP(P6,AN3:AT7,6,FALSE)),"ILEGAL")</f>
        <v>0</v>
      </c>
      <c r="R6" s="297">
        <v>0</v>
      </c>
      <c r="S6" s="281">
        <f>IFERROR((VLOOKUP(R6,AO3:AT7,6,FALSE)),"ILEGAL")</f>
        <v>0</v>
      </c>
      <c r="T6" s="521"/>
      <c r="U6" s="29"/>
      <c r="V6" s="273" t="str">
        <f>IF($B$3="Stunty Superstar",C45,(IF($B$3="Legendary Linemen",F45,(IF($B$3="Brutal Blockers",I45,(IF($B$3="Reliable Ringers",L45,(IF($B$3="Bona Fide Big Guy",O45,"")))))))))</f>
        <v/>
      </c>
      <c r="W6" s="274" t="str">
        <f t="shared" si="0"/>
        <v/>
      </c>
      <c r="X6" s="270"/>
      <c r="Y6" s="273" t="s">
        <v>1269</v>
      </c>
      <c r="Z6" s="279">
        <v>5</v>
      </c>
      <c r="AA6" s="279">
        <v>2</v>
      </c>
      <c r="AB6" s="279">
        <v>3</v>
      </c>
      <c r="AC6" s="279">
        <v>4</v>
      </c>
      <c r="AD6" s="279">
        <v>6</v>
      </c>
      <c r="AE6" s="282" t="str">
        <f>IF(((COUNTIF(AE3,"A"))+(COUNTIF(AE3,"B"))+(COUNTIF(AE3,"H"))+(COUNTIF(AE3,"I"))+(COUNTIF(AE3,"M")))=1,"Loner (5+)","Loner (4+)")</f>
        <v>Loner (4+)</v>
      </c>
      <c r="AF6" s="282" t="s">
        <v>272</v>
      </c>
      <c r="AG6" s="282" t="s">
        <v>1270</v>
      </c>
      <c r="AH6" s="282" t="s">
        <v>1271</v>
      </c>
      <c r="AI6" s="274">
        <v>30000</v>
      </c>
      <c r="AK6" s="278">
        <v>-1</v>
      </c>
      <c r="AL6" s="279">
        <v>-1</v>
      </c>
      <c r="AM6" s="279">
        <v>1</v>
      </c>
      <c r="AN6" s="279">
        <v>1</v>
      </c>
      <c r="AO6" s="274">
        <v>-1</v>
      </c>
      <c r="AP6" s="278">
        <v>-10000</v>
      </c>
      <c r="AQ6" s="279">
        <v>-10000</v>
      </c>
      <c r="AR6" s="279">
        <v>-10000</v>
      </c>
      <c r="AS6" s="279">
        <v>-10000</v>
      </c>
      <c r="AT6" s="274">
        <v>-10000</v>
      </c>
      <c r="AV6" s="313" t="str">
        <f>IF(B3="Stunty Superstar",(IF($K$40="Español","Patada",(IF($K$40="Deutsch","Kicken",(IF($K$40="Français","Intrépide","Kick")))))),(IF($J$24="Español","Manos Seguras",(IF($J$24="Deutsch","Brutal (+1)",(IF($J$24="Français","Intrépide","Frenzy")))))))</f>
        <v>Frenzy</v>
      </c>
      <c r="AW6" s="312" t="s">
        <v>196</v>
      </c>
      <c r="AX6" s="313" t="str">
        <f>IF($K$40="Español","Esquivar",(IF($K$40="Deutsch","Gewandt",(IF($K$40="Français","Libération contrôlée","Defensive")))))</f>
        <v>Defensive</v>
      </c>
      <c r="AY6" s="312" t="s">
        <v>197</v>
      </c>
      <c r="AZ6" s="313" t="str">
        <f>IF($K$40="Español","Nervios de Acero",(IF($K$40="Deutsch","Immer am Ball",(IF($K$40="Français","Nerfs d’acier","Fumblerooskie")))))</f>
        <v>Fumblerooskie</v>
      </c>
      <c r="BA6" s="312" t="s">
        <v>199</v>
      </c>
      <c r="BB6" s="313" t="str">
        <f>IF($K$40="Español","Crujir",(IF($K$40="Deutsch","Ramme",(IF($K$40="Français","Clé de bras","Guard")))))</f>
        <v>Guard</v>
      </c>
      <c r="BC6" s="312" t="s">
        <v>198</v>
      </c>
      <c r="BD6" s="313" t="str">
        <f>IF($K$40="Español","Cuernos",(IF($K$40="Deutsch","Klammerschwanz",(IF($K$40="Français","Griffes","Foul Appearance")))))</f>
        <v>Foul Appearance</v>
      </c>
      <c r="BE6" s="312" t="s">
        <v>200</v>
      </c>
    </row>
    <row r="7" spans="1:57" s="267" customFormat="1" ht="22.5" customHeight="1" x14ac:dyDescent="0.2">
      <c r="A7" s="258" t="str">
        <f>IF(Roster!$K$25="Italiano","TIPO",(IF(Roster!$K$25="Español","TIPO",(IF(Roster!$K$25="Deutsch","POSITION",(IF(Roster!$K$25="Français","POSTE","TYPE")))))))</f>
        <v>TYPE</v>
      </c>
      <c r="B7" s="256" t="str">
        <f>IF($J$40="Italiano","AVANZAMENTO 1",(IF($J$40="Español","MEJORA 1",(IF($J$40="Deutsch","VERBES-SERUNG 1",(IF($J$40="Français","AMÉLIORATION 1","UPGRADE 1")))))))</f>
        <v>UPGRADE 1</v>
      </c>
      <c r="C7" s="255" t="str">
        <f>IF(Roster!$K$25="Italiano","COSTO",(IF(Roster!$K$25="Español","PRECIO",(IF(Roster!$K$25="Deutsch","WERT",(IF(Roster!$K$25="Français","VALEUR","COST")))))))</f>
        <v>COST</v>
      </c>
      <c r="D7" s="505" t="str">
        <f>IF($J$40="Italiano","AVANZAMENTO 2",(IF($J$40="Español","MEJORA 2",(IF($J$40="Deutsch","VERBES-SERUNG 2",(IF($J$40="Français","AMÉLIORATION 2","UPGRADE 2")))))))</f>
        <v>UPGRADE 2</v>
      </c>
      <c r="E7" s="506"/>
      <c r="F7" s="255" t="str">
        <f>IF(Roster!$K$25="Italiano","COSTO",(IF(Roster!$K$25="Español","PRECIO",(IF(Roster!$K$25="Deutsch","WERT",(IF(Roster!$K$25="Français","VALEUR","COST")))))))</f>
        <v>COST</v>
      </c>
      <c r="G7" s="505" t="str">
        <f>IF($J$40="Italiano","AVANZAMENTO 3",(IF($J$40="Español","MEJORA 3",(IF($J$40="Deutsch","VERBES-SERUNG 3",(IF($J$40="Français","AMÉLIORATION 3","UPGRADE 3")))))))</f>
        <v>UPGRADE 3</v>
      </c>
      <c r="H7" s="506"/>
      <c r="I7" s="254" t="str">
        <f>IF(Roster!$K$25="Italiano","COSTO",(IF(Roster!$K$25="Español","PRECIO",(IF(Roster!$K$25="Deutsch","WERT",(IF(Roster!$K$25="Français","VALEUR","COST")))))))</f>
        <v>COST</v>
      </c>
      <c r="J7" s="505" t="str">
        <f>IF($J$40="Italiano","AVANZAMENTO 4",(IF($J$40="Español","MEJORA 4",(IF($J$40="Deutsch","VERBES-SERUNG 4",(IF($J$40="Français","AMÉLIORATION 4","UPGRADE 4")))))))</f>
        <v>UPGRADE 4</v>
      </c>
      <c r="K7" s="506"/>
      <c r="L7" s="254" t="str">
        <f>IF(Roster!$K$25="Italiano","COSTO",(IF(Roster!$K$25="Español","PRECIO",(IF(Roster!$K$25="Deutsch","WERT",(IF(Roster!$K$25="Français","VALEUR","COST")))))))</f>
        <v>COST</v>
      </c>
      <c r="M7" s="505" t="str">
        <f>IF($J$40="Italiano","AVANZAMENTO 5",(IF($J$40="Español","MEJORA 5",(IF($J$40="Deutsch","VERBES-SERUNG 5",(IF($J$40="Français","AMÉLIORATION 5","UPGRADE 5")))))))</f>
        <v>UPGRADE 5</v>
      </c>
      <c r="N7" s="506"/>
      <c r="O7" s="254" t="str">
        <f>IF(Roster!$K$25="Italiano","COSTO",(IF(Roster!$K$25="Español","PRECIO",(IF(Roster!$K$25="Deutsch","WERT",(IF(Roster!$K$25="Français","VALEUR","COST")))))))</f>
        <v>COST</v>
      </c>
      <c r="P7" s="505" t="str">
        <f>IF($J$40="Italiano","AVANZAMENTO 6",(IF($J$40="Español","MEJORA 6",(IF($J$40="Deutsch","VERBES-SERUNG 6",(IF($J$40="Français","AMÉLIORATION 6","UPGRADE 6")))))))</f>
        <v>UPGRADE 6</v>
      </c>
      <c r="Q7" s="506"/>
      <c r="R7" s="254" t="str">
        <f>IF(Roster!$K$25="Italiano","COSTO",(IF(Roster!$K$25="Español","PRECIO",(IF(Roster!$K$25="Deutsch","WERT",(IF(Roster!$K$25="Français","VALEUR","COST")))))))</f>
        <v>COST</v>
      </c>
      <c r="S7" s="254" t="s">
        <v>1266</v>
      </c>
      <c r="T7" s="521"/>
      <c r="U7" s="29"/>
      <c r="V7" s="273" t="str">
        <f>IF($B$3="Stunty Superstar",C46,(IF($B$3="Legendary Linemen",F46,(IF($B$3="Brutal Blockers",I46,(IF($B$3="Reliable Ringers",L46,(IF($B$3="Bona Fide Big Guy",O46,"")))))))))</f>
        <v/>
      </c>
      <c r="W7" s="274" t="str">
        <f t="shared" si="0"/>
        <v/>
      </c>
      <c r="X7" s="270"/>
      <c r="Y7" s="273" t="s">
        <v>1272</v>
      </c>
      <c r="Z7" s="279">
        <v>6</v>
      </c>
      <c r="AA7" s="279">
        <v>3</v>
      </c>
      <c r="AB7" s="279">
        <v>3</v>
      </c>
      <c r="AC7" s="279">
        <v>4</v>
      </c>
      <c r="AD7" s="279">
        <v>9</v>
      </c>
      <c r="AE7" s="282" t="str">
        <f>IF(((COUNTIF(AE3,"A"))+(COUNTIF(AE3,"B"))+(COUNTIF(AE3,"H"))+(COUNTIF(AE3,"I"))+(COUNTIF(AE3,"M")))=1,"Loner (5+)","Loner (4+)")</f>
        <v>Loner (4+)</v>
      </c>
      <c r="AF7" s="282" t="str">
        <f>""</f>
        <v/>
      </c>
      <c r="AG7" s="282" t="str">
        <f>""</f>
        <v/>
      </c>
      <c r="AH7" s="282" t="str">
        <f>""</f>
        <v/>
      </c>
      <c r="AI7" s="274">
        <v>50000</v>
      </c>
      <c r="AK7" s="283">
        <v>-2</v>
      </c>
      <c r="AL7" s="284">
        <f>IF(B3="Stunty Superstar",0,-2)</f>
        <v>-2</v>
      </c>
      <c r="AM7" s="284">
        <v>2</v>
      </c>
      <c r="AN7" s="284">
        <v>2</v>
      </c>
      <c r="AO7" s="285">
        <v>-2</v>
      </c>
      <c r="AP7" s="283">
        <v>-20000</v>
      </c>
      <c r="AQ7" s="284">
        <v>-20000</v>
      </c>
      <c r="AR7" s="284">
        <v>-20000</v>
      </c>
      <c r="AS7" s="284">
        <v>-20000</v>
      </c>
      <c r="AT7" s="285">
        <v>-20000</v>
      </c>
      <c r="AV7" s="313" t="str">
        <f>IF(B3="Stunty Superstar",(IF($K$40="Español","Perseguir",(IF($K$40="Deutsch","Manndeckung",(IF($K$40="Français","Lutte","Pro")))))),(IF($J$24="Español","Patada",(IF($J$24="Deutsch","Kicken",(IF($J$24="Français","Joueur Déloyal (+1)","Kick")))))))</f>
        <v>Kick</v>
      </c>
      <c r="AW7" s="312" t="s">
        <v>196</v>
      </c>
      <c r="AX7" s="313" t="str">
        <f>IF($K$40="Español","Furtivo",(IF($K$40="Deutsch","Hechtsprung",(IF($K$40="Français","Réception ","Jump Up")))))</f>
        <v>Jump Up</v>
      </c>
      <c r="AY7" s="312" t="s">
        <v>197</v>
      </c>
      <c r="AZ7" s="313" t="str">
        <f>IF($K$40="Español","Partenubes",(IF($K$40="Deutsch","Kanonier",(IF($K$40="Français","Passe","Hail Mary Pass")))))</f>
        <v>Hail Mary Pass</v>
      </c>
      <c r="BA7" s="312" t="s">
        <v>199</v>
      </c>
      <c r="BB7" s="312" t="str">
        <f>IF($K$40="Español","Defensa",(IF($K$40="Deutsch","Raufbold",(IF($K$40="Français","Crâne épais","Juggernaut")))))</f>
        <v>Juggernaut</v>
      </c>
      <c r="BC7" s="312" t="s">
        <v>198</v>
      </c>
      <c r="BD7" s="313" t="str">
        <f>IF($K$40="Español","Dos Cabezas",(IF($K$40="Deutsch","Klauen",(IF($K$40="Français","Main démesurée","Horns")))))</f>
        <v>Horns</v>
      </c>
      <c r="BE7" s="312" t="s">
        <v>200</v>
      </c>
    </row>
    <row r="8" spans="1:57" s="267" customFormat="1" ht="22.5" customHeight="1" x14ac:dyDescent="0.2">
      <c r="A8" s="253" t="str">
        <f>IF($J$40="Italiano","GENERALE:",(IF($J$40="Français","GÉNÉRALE:","GENERAL:")))</f>
        <v>GENERAL:</v>
      </c>
      <c r="B8" s="297"/>
      <c r="C8" s="281">
        <f>IF(B8&lt;&gt;"",(IF(B3="Legendary Linemen",20000,(IF(B3="Reliable Ringers",30000,(IF(B3="Mercenaries",0,40000)))))),0)</f>
        <v>0</v>
      </c>
      <c r="D8" s="503"/>
      <c r="E8" s="504"/>
      <c r="F8" s="281" t="str">
        <f>IF(B3&lt;&gt;"Legendary Linemen","ILEGAL",(IF(D8&lt;&gt;"",50000,0)))</f>
        <v>ILEGAL</v>
      </c>
      <c r="G8" s="503"/>
      <c r="H8" s="504"/>
      <c r="I8" s="281" t="str">
        <f>IF(B3&lt;&gt;"Legendary Linemen","ILEGAL",(IF(G8&lt;&gt;"",80000,0)))</f>
        <v>ILEGAL</v>
      </c>
      <c r="J8" s="503"/>
      <c r="K8" s="504"/>
      <c r="L8" s="281" t="str">
        <f>IF(B3&lt;&gt;"Legendary Linemen","ILEGAL",(IF(J8&lt;&gt;"",110000,0)))</f>
        <v>ILEGAL</v>
      </c>
      <c r="M8" s="503"/>
      <c r="N8" s="504"/>
      <c r="O8" s="281" t="str">
        <f>IF(B3&lt;&gt;"Legendary Linemen","ILEGAL",(IF(M8&lt;&gt;"",140000,0)))</f>
        <v>ILEGAL</v>
      </c>
      <c r="P8" s="503"/>
      <c r="Q8" s="504"/>
      <c r="R8" s="281" t="str">
        <f>IF(B3&lt;&gt;"Legendary Linemen","ILEGAL",(IF(P8&lt;&gt;"",170000,0)))</f>
        <v>ILEGAL</v>
      </c>
      <c r="S8" s="281">
        <f>SUM(C8,F8,I8,L8,O8,R8)</f>
        <v>0</v>
      </c>
      <c r="T8" s="521"/>
      <c r="U8" s="29"/>
      <c r="V8" s="273" t="str">
        <f>IF($B$3="Stunty Superstar",C47,(IF($B$3="Legendary Linemen",F47,(IF($B$3="Brutal Blockers",I47,(IF($B$3="Reliable Ringers",L47,(IF($B$3="Bona Fide Big Guy",O47,"")))))))))</f>
        <v/>
      </c>
      <c r="W8" s="274" t="str">
        <f t="shared" si="0"/>
        <v/>
      </c>
      <c r="X8" s="270"/>
      <c r="Y8" s="273" t="s">
        <v>1274</v>
      </c>
      <c r="Z8" s="279">
        <v>4</v>
      </c>
      <c r="AA8" s="279">
        <v>4</v>
      </c>
      <c r="AB8" s="279">
        <v>4</v>
      </c>
      <c r="AC8" s="279">
        <v>6</v>
      </c>
      <c r="AD8" s="279">
        <v>9</v>
      </c>
      <c r="AE8" s="282" t="str">
        <f>IF(((COUNTIF(AE3,"A"))+(COUNTIF(AE3,"B"))+(COUNTIF(AE3,"H"))+(COUNTIF(AE3,"I"))+(COUNTIF(AE3,"M")))=1,"Loner (5+)","Loner (4+)")</f>
        <v>Loner (4+)</v>
      </c>
      <c r="AF8" s="282" t="str">
        <f>IF(OR(AE3="H",AE3="M"),"Mighty Blow (+2)","")</f>
        <v/>
      </c>
      <c r="AG8" s="282" t="str">
        <f>""</f>
        <v/>
      </c>
      <c r="AH8" s="282" t="str">
        <f>""</f>
        <v/>
      </c>
      <c r="AI8" s="274">
        <v>70000</v>
      </c>
      <c r="AK8" s="27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3" t="str">
        <f>IF(B3="Stunty Superstar",(IF($K$40="Español","Placaje Defensivo",(IF($K$40="Deutsch","Profi",(IF($K$40="Français","Parade","Shadowing")))))),(IF($J$24="Español","Perseguir",(IF($J$24="Deutsch","Manndeckung",(IF($J$24="Français","Lutte","Pro")))))))</f>
        <v>Pro</v>
      </c>
      <c r="AW8" s="312" t="s">
        <v>196</v>
      </c>
      <c r="AX8" s="313" t="str">
        <f>IF($K$40="Español","Pies Firmes",(IF($K$40="Deutsch","Heimtückisch",(IF($K$40="Français","Réception plongeante ","Leap")))))</f>
        <v>Leap</v>
      </c>
      <c r="AY8" s="312" t="s">
        <v>197</v>
      </c>
      <c r="AZ8" s="313" t="str">
        <f>IF($K$40="Español","Pasar",(IF($K$40="Deutsch","Nerven aus Stahl",(IF($K$40="Français","Passe assurée","Leader")))))</f>
        <v>Leader</v>
      </c>
      <c r="BA8" s="312" t="s">
        <v>199</v>
      </c>
      <c r="BB8" s="312" t="str">
        <f>IF($K$40="Español","Golpe Mortífero (+1)",(IF($K$40="Deutsch","Schweres Gerät",(IF($K$40="Français","Esquive en force","Mighty Blow (+1)")))))</f>
        <v>Mighty Blow (+1)</v>
      </c>
      <c r="BC8" s="312" t="s">
        <v>198</v>
      </c>
      <c r="BD8" s="312" t="str">
        <f>IF($K$40="Español","Garra / Garras",(IF($K$40="Deutsch","Monströses Maul",(IF($K$40="Français","Queue préhensile","Iron Hard Skin")))))</f>
        <v>Iron Hard Skin</v>
      </c>
      <c r="BE8" s="312" t="s">
        <v>200</v>
      </c>
    </row>
    <row r="9" spans="1:57" s="267" customFormat="1" ht="22.5" customHeight="1" x14ac:dyDescent="0.2">
      <c r="A9" s="253" t="str">
        <f>IF($J$40="Italiano","FORZA:",(IF($J$40="Español","FUERZA:",(IF($J$40="Français","FORCE:","STRENGTH:")))))</f>
        <v>STRENGTH:</v>
      </c>
      <c r="B9" s="297"/>
      <c r="C9" s="281">
        <f>IF(B9&lt;&gt;"",(IF(B3="Stunty Superstar",0,(IF(B3="Reliable Ringers",50000,(IF(B3="Mercenaries",0,30000)))))),0)</f>
        <v>0</v>
      </c>
      <c r="D9" s="503"/>
      <c r="E9" s="504"/>
      <c r="F9" s="281" t="str">
        <f>IF($B$3&lt;&gt;"Brutal Blockers",(IF($B$3&lt;&gt;"Bona Fide Big Guy","ILEGAL",(IF(D9&lt;&gt;"",70000,0)))),(IF(D9&lt;&gt;"",70000,0)))</f>
        <v>ILEGAL</v>
      </c>
      <c r="G9" s="503"/>
      <c r="H9" s="504"/>
      <c r="I9" s="281" t="str">
        <f>IF($B$3&lt;&gt;"Brutal Blockers",(IF($B$3&lt;&gt;"Bona Fide Big Guy","ILEGAL",(IF(G9&lt;&gt;"",110000,0)))),(IF(G9&lt;&gt;"",110000,0)))</f>
        <v>ILEGAL</v>
      </c>
      <c r="J9" s="503"/>
      <c r="K9" s="504"/>
      <c r="L9" s="281" t="str">
        <f>IF($B$3&lt;&gt;"Brutal Blockers",(IF($B$3&lt;&gt;"Bona Fide Big Guy","ILEGAL",(IF(J9&lt;&gt;"",150000,0)))),(IF(J9&lt;&gt;"",150000,0)))</f>
        <v>ILEGAL</v>
      </c>
      <c r="M9" s="503"/>
      <c r="N9" s="504"/>
      <c r="O9" s="281" t="str">
        <f>IF($B$3&lt;&gt;"Brutal Blockers",(IF($B$3&lt;&gt;"Bona Fide Big Guy","ILEGAL",(IF(M9&lt;&gt;"",190000,0)))),(IF(M9&lt;&gt;"",190000,0)))</f>
        <v>ILEGAL</v>
      </c>
      <c r="P9" s="503"/>
      <c r="Q9" s="504"/>
      <c r="R9" s="281" t="str">
        <f>IF($B$3&lt;&gt;"Brutal Blockers",(IF($B$3&lt;&gt;"Bona Fide Big Guy","ILEGAL",(IF(P9&lt;&gt;"",230000,0)))),(IF(P9&lt;&gt;"",230000,0)))</f>
        <v>ILEGAL</v>
      </c>
      <c r="S9" s="281">
        <f t="shared" ref="S9:S12" si="1">SUM(C9,F9,I9,L9,O9,R9)</f>
        <v>0</v>
      </c>
      <c r="T9" s="521"/>
      <c r="V9" s="273" t="str">
        <f>IF($B$3="Stunty Superstar",C48,(IF($B$3="Legendary Linemen",F48,(IF($B$3="Brutal Blockers",I48,(IF($B$3="Reliable Ringers",L48,(IF($B$3="Bona Fide Big Guy",O48,"")))))))))</f>
        <v/>
      </c>
      <c r="W9" s="274" t="str">
        <f t="shared" si="0"/>
        <v/>
      </c>
      <c r="X9" s="270"/>
      <c r="Y9" s="273" t="s">
        <v>1263</v>
      </c>
      <c r="Z9" s="279">
        <v>6</v>
      </c>
      <c r="AA9" s="279">
        <v>3</v>
      </c>
      <c r="AB9" s="279">
        <v>2</v>
      </c>
      <c r="AC9" s="279">
        <v>3</v>
      </c>
      <c r="AD9" s="279">
        <v>8</v>
      </c>
      <c r="AE9" s="282" t="str">
        <f>IF(((COUNTIF(AE3,"A"))+(COUNTIF(AE3,"B"))+(COUNTIF(AE3,"H"))+(COUNTIF(AE3,"I"))+(COUNTIF(AE3,"M")))=1,"Loner (5+)","Loner (4+)")</f>
        <v>Loner (4+)</v>
      </c>
      <c r="AF9" s="282" t="str">
        <f>""</f>
        <v/>
      </c>
      <c r="AG9" s="282" t="str">
        <f>""</f>
        <v/>
      </c>
      <c r="AH9" s="282" t="str">
        <f>""</f>
        <v/>
      </c>
      <c r="AI9" s="274">
        <v>70000</v>
      </c>
      <c r="AV9" s="313" t="str">
        <f>IF(B3="Stunty Superstar",(IF($K$40="Español","Placar",(IF($K$40="Deutsch","Rasend",(IF($K$40="Français","Poursuite","Strip Ball")))))),(IF($J$24="Español","Placaje Defensivo",(IF($J$24="Deutsch","Profi",(IF($J$24="Français","Parade","Shadowing")))))))</f>
        <v>Shadowing</v>
      </c>
      <c r="AW9" s="312" t="s">
        <v>196</v>
      </c>
      <c r="AX9" s="313" t="str">
        <f>IF($K$40="Español","Placaje Heroico",(IF($K$40="Deutsch","Sichere Hände",(IF($K$40="Français","Rétablissement","Safe Pair of Hands")))))</f>
        <v>Safe Pair of Hands</v>
      </c>
      <c r="AY9" s="312" t="s">
        <v>197</v>
      </c>
      <c r="AZ9" s="313" t="str">
        <f>IF($K$40="Español","Pase a la Carrera",(IF($K$40="Deutsch","Scheinpatzer",(IF($K$40="Français","Passe dans la course","Nerves of Steel")))))</f>
        <v>Nerves of Steel</v>
      </c>
      <c r="BA9" s="312" t="s">
        <v>199</v>
      </c>
      <c r="BB9" s="312" t="str">
        <f>IF($K$40="Español","Imparable",(IF($K$40="Deutsch","Standfest",(IF($K$40="Français","Garde","Multiple Blocks")))))</f>
        <v>Multiple Blocks</v>
      </c>
      <c r="BC9" s="312" t="s">
        <v>198</v>
      </c>
      <c r="BD9" s="312" t="str">
        <f>IF($K$40="Español","Mano Grande",(IF($K$40="Deutsch","Sehr lange Beine",(IF($K$40="Français","Peau de fer","Monstrous Mouth")))))</f>
        <v>Monstrous Mouth</v>
      </c>
      <c r="BE9" s="312" t="s">
        <v>200</v>
      </c>
    </row>
    <row r="10" spans="1:57" s="267" customFormat="1" ht="22.5" customHeight="1" x14ac:dyDescent="0.2">
      <c r="A10" s="253" t="str">
        <f>IF($J$40="Italiano","AGILITÀ:",(IF($J$40="Español","AGILIDAD:",(IF($J$40="Deutsch","AGILITÄT:",(IF($J$40="Français","AGILITÉ:","AGILITY:")))))))</f>
        <v>AGILITY:</v>
      </c>
      <c r="B10" s="297"/>
      <c r="C10" s="281">
        <f>IF(B10&lt;&gt;"",(IF(B3="Stunty Superstar",10000,(IF(B3="Brutal Blockers",40000,(IF(OR(B3="Mercenaries",B3="Bona Fide Big Guy"),0,30000)))))),0)</f>
        <v>0</v>
      </c>
      <c r="D10" s="503"/>
      <c r="E10" s="504"/>
      <c r="F10" s="281" t="str">
        <f>IF($B$3&lt;&gt;"Stunty Superstar",(IF($B$3&lt;&gt;"Reliable Ringers","ILEGAL",(IF(D10&lt;&gt;"",70000,0)))),(IF(D10&lt;&gt;"",30000,0)))</f>
        <v>ILEGAL</v>
      </c>
      <c r="G10" s="503"/>
      <c r="H10" s="504"/>
      <c r="I10" s="281" t="str">
        <f>IF($B$3&lt;&gt;"Stunty Superstar",(IF($B$3&lt;&gt;"Reliable Ringers","ILEGAL",(IF(G10&lt;&gt;"",110000,0)))),(IF(G10&lt;&gt;"",50000,0)))</f>
        <v>ILEGAL</v>
      </c>
      <c r="J10" s="503"/>
      <c r="K10" s="504"/>
      <c r="L10" s="281" t="str">
        <f>IF($B$3&lt;&gt;"Stunty Superstar",(IF($B$3&lt;&gt;"Reliable Ringers","ILEGAL",(IF(J10&lt;&gt;"",150000,0)))),(IF(J10&lt;&gt;"",70000,0)))</f>
        <v>ILEGAL</v>
      </c>
      <c r="M10" s="503"/>
      <c r="N10" s="504"/>
      <c r="O10" s="281" t="str">
        <f>IF($B$3&lt;&gt;"Stunty Superstar",(IF($B$3&lt;&gt;"Reliable Ringers","ILEGAL",(IF(M10&lt;&gt;"",190000,0)))),(IF(M10&lt;&gt;"",90000,0)))</f>
        <v>ILEGAL</v>
      </c>
      <c r="P10" s="503"/>
      <c r="Q10" s="504"/>
      <c r="R10" s="281" t="str">
        <f>IF($B$3&lt;&gt;"Stunty Superstar",(IF($B$3&lt;&gt;"Reliable Ringers","ILEGAL",(IF(P10&lt;&gt;"",230000,0)))),(IF(P10&lt;&gt;"",110000,0)))</f>
        <v>ILEGAL</v>
      </c>
      <c r="S10" s="281">
        <f t="shared" si="1"/>
        <v>0</v>
      </c>
      <c r="T10" s="521"/>
      <c r="V10" s="275" t="str">
        <f>IF($B$3="Stunty Superstar",C49,(IF($B$3="Legendary Linemen",F49,(IF($B$3="Brutal Blockers",I49,(IF($B$3="Reliable Ringers",L49,(IF($B$3="Bona Fide Big Guy",O49,"")))))))))</f>
        <v/>
      </c>
      <c r="W10" s="285" t="str">
        <f t="shared" si="0"/>
        <v/>
      </c>
      <c r="X10" s="270"/>
      <c r="Y10" s="275" t="s">
        <v>1275</v>
      </c>
      <c r="Z10" s="284">
        <v>4</v>
      </c>
      <c r="AA10" s="284">
        <v>5</v>
      </c>
      <c r="AB10" s="284">
        <v>4</v>
      </c>
      <c r="AC10" s="284">
        <v>5</v>
      </c>
      <c r="AD10" s="284">
        <v>9</v>
      </c>
      <c r="AE10" s="276" t="str">
        <f>IF(((COUNTIF(AE3,"A"))+(COUNTIF(AE3,"B"))+(COUNTIF(AE3,"H"))+(COUNTIF(AE3,"I"))+(COUNTIF(AE3,"M")))=1,"Loner (5+)","Loner (4+)")</f>
        <v>Loner (4+)</v>
      </c>
      <c r="AF10" s="276" t="str">
        <f>IF(OR(AE3="J",AE3="K",AE3="L",AE3="M",AE3="N"),"","Bone Head")</f>
        <v>Bone Head</v>
      </c>
      <c r="AG10" s="276" t="str">
        <f>IF(OR(AE3="H",AE3="M"),"Mighty Blow (+2)","Mighty Blow (+1)")</f>
        <v>Mighty Blow (+1)</v>
      </c>
      <c r="AH10" s="276" t="str">
        <f>IF(OR(AE3="K",AE3="L"),"","Throw Team Mate")</f>
        <v>Throw Team Mate</v>
      </c>
      <c r="AI10" s="285">
        <v>130000</v>
      </c>
      <c r="AV10" s="313" t="str">
        <f>IF(B3="Stunty Superstar",(IF($K$40="Español","Profesional",(IF($K$40="Deutsch","Tackle",(IF($K$40="Français","Prise sûre","Sure Hands")))))),(IF($J$24="Español","Placar",(IF($J$24="Deutsch","Rasend",(IF($J$24="Français","Poursuite","Strip Ball")))))))</f>
        <v>Strip Ball</v>
      </c>
      <c r="AW10" s="312" t="s">
        <v>196</v>
      </c>
      <c r="AX10" s="313" t="str">
        <f>IF($K$40="Español","Proteger el Cuero",(IF($K$40="Deutsch","Springen",(IF($K$40="Français","Saut","Sidestep")))))</f>
        <v>Sidestep</v>
      </c>
      <c r="AY10" s="312" t="s">
        <v>197</v>
      </c>
      <c r="AZ10" s="313" t="str">
        <f>IF($K$40="Español","Pase a lo Loco",(IF($K$40="Deutsch","Sicherer Pass",(IF($K$40="Français","Passe désespérée","On the Ball")))))</f>
        <v>On the Ball</v>
      </c>
      <c r="BA10" s="312" t="s">
        <v>199</v>
      </c>
      <c r="BB10" s="312" t="str">
        <f>IF($K$40="Español","Llave de Brazo",(IF($K$40="Deutsch","Starker Wurfarm",(IF($K$40="Français","Juggernaut","Pile Diver")))))</f>
        <v>Pile Diver</v>
      </c>
      <c r="BC10" s="312" t="s">
        <v>198</v>
      </c>
      <c r="BD10" s="313" t="str">
        <f>IF($K$40="Español","Piel Ferrea",(IF($K$40="Deutsch","Tentakel",(IF($K$40="Français","Présence perturbante","Prehensile Tail")))))</f>
        <v>Prehensile Tail</v>
      </c>
      <c r="BE10" s="312" t="s">
        <v>200</v>
      </c>
    </row>
    <row r="11" spans="1:57" s="267" customFormat="1" ht="22.5" customHeight="1" x14ac:dyDescent="0.2">
      <c r="A11" s="253" t="str">
        <f>IF($J$40="Español","PASE:",(IF($J$40="Français","PASSER:","PASS:")))</f>
        <v>PASS:</v>
      </c>
      <c r="B11" s="297"/>
      <c r="C11" s="281">
        <f>IF(B11&lt;&gt;"",(IF(B3="Mercenaries",0,(IF(OR(B3="Reliable Ringers",B3="Bona Fide Big Guy"),30000,20000)))),0)</f>
        <v>0</v>
      </c>
      <c r="D11" s="503"/>
      <c r="E11" s="504"/>
      <c r="F11" s="281" t="s">
        <v>1264</v>
      </c>
      <c r="G11" s="503"/>
      <c r="H11" s="504"/>
      <c r="I11" s="281" t="s">
        <v>1264</v>
      </c>
      <c r="J11" s="503"/>
      <c r="K11" s="504"/>
      <c r="L11" s="281" t="s">
        <v>1264</v>
      </c>
      <c r="M11" s="503"/>
      <c r="N11" s="504"/>
      <c r="O11" s="281" t="s">
        <v>1264</v>
      </c>
      <c r="P11" s="503"/>
      <c r="Q11" s="504"/>
      <c r="R11" s="281" t="s">
        <v>1264</v>
      </c>
      <c r="S11" s="281">
        <f t="shared" si="1"/>
        <v>0</v>
      </c>
      <c r="T11" s="521"/>
      <c r="V11" s="270"/>
      <c r="W11" s="270"/>
      <c r="X11" s="270"/>
      <c r="Y11" s="270"/>
      <c r="Z11" s="270"/>
      <c r="AA11" s="270"/>
      <c r="AB11" s="270"/>
      <c r="AC11" s="270"/>
      <c r="AD11" s="270"/>
      <c r="AE11" s="270"/>
      <c r="AF11" s="270"/>
      <c r="AG11" s="270"/>
      <c r="AH11" s="270"/>
      <c r="AI11" s="270"/>
      <c r="AV11" s="313" t="str">
        <f>IF(B3="Stunty Superstar",(IF($K$40="Español","Robar Balón",(IF($K$40="Deutsch","Unerschrocken",(IF($K$40="Français","Pro","Tackle")))))),(IF($J$24="Español","Profesional",(IF($J$24="Deutsch","Tackle",(IF($J$24="Français","Prise sûre","Sure Hands")))))))</f>
        <v>Sure Hands</v>
      </c>
      <c r="AW11" s="312" t="s">
        <v>196</v>
      </c>
      <c r="AX11" s="313" t="str">
        <f>IF($K$40="Español","Recepción Heroica",(IF($K$40="Deutsch","Sprinten",(IF($K$40="Français","Sprint","Sneaky Git")))))</f>
        <v>Sneaky Git</v>
      </c>
      <c r="AY11" s="312" t="s">
        <v>197</v>
      </c>
      <c r="AZ11" s="313" t="str">
        <f>IF($K$40="Español","Pase Precipitado",(IF($K$40="Deutsch","Teamkapitän",(IF($K$40="Français","Perce-nuage","Pass")))))</f>
        <v>Pass</v>
      </c>
      <c r="BA11" s="312" t="s">
        <v>199</v>
      </c>
      <c r="BB11" s="312" t="str">
        <f>IF($K$40="Español","Luchador",(IF($K$40="Deutsch","Tackle durchbrechen",(IF($K$40="Français","Mateau-pilon","Stand Firm")))))</f>
        <v>Stand Firm</v>
      </c>
      <c r="BC11" s="312" t="s">
        <v>198</v>
      </c>
      <c r="BD11" s="313" t="str">
        <f>IF($K$40="Español","Piernas muy Largas",(IF($K$40="Deutsch","Verstörende Präsenz",(IF($K$40="Français","Répulsion","Tentacles")))))</f>
        <v>Tentacles</v>
      </c>
      <c r="BE11" s="312" t="s">
        <v>200</v>
      </c>
    </row>
    <row r="12" spans="1:57" s="267" customFormat="1" ht="22.5" customHeight="1" x14ac:dyDescent="0.2">
      <c r="A12" s="254" t="str">
        <f>IF($J$40="Italiano","MUTAZIONE:",(IF($J$40="Español","MUTACIÓN:","MUTATION:")))</f>
        <v>MUTATION:</v>
      </c>
      <c r="B12" s="297"/>
      <c r="C12" s="281">
        <f>IF(B3="Stunty Superstar","ILEGAL",(IF(B12&lt;&gt;"",(IF(B3="Mercenaries",0,(IF(OR(B3="Brutal Blockers",B3="Bona Fide Big Guy"),40000,IF(B3="Legendary Linemen",30000,(IF(B12="Big Hand",30000,(IF(B12="Extra Arms",20000,(IF(B12="Two Heads",30000,(IF(B12="Very Long Legs",30000,0))))))))))))),0)))</f>
        <v>0</v>
      </c>
      <c r="D12" s="503"/>
      <c r="E12" s="504"/>
      <c r="F12" s="281" t="str">
        <f>IF(OR($B$3="Stunty Superstar",$B$3="Brutal Blockers",$B$3="Bona Fide Big Guy",$B$3="Mercenaries"),"ILEGAL",(IF(D12&lt;&gt;"",(IF($B$3="Legendary Linemen",70000,(IF(D12="Big Hand",30000,(IF(D12="Extra Arms",20000,(IF(D12="Two Heads",30000,(IF(D12="Very Long Legs",30000,"ILEGAL")))))))))),0)))</f>
        <v>ILEGAL</v>
      </c>
      <c r="G12" s="503"/>
      <c r="H12" s="504"/>
      <c r="I12" s="281" t="str">
        <f>IF(OR($B$3="Stunty Superstar",$B$3="Brutal Blockers",$B$3="Bona Fide Big Guy",$B$3="Mercenaries"),"ILEGAL",(IF(G12&lt;&gt;"",(IF($B$3="Legendary Linemen",110000,(IF(G12="Big Hand",30000,(IF(G12="Extra Arms",20000,(IF(G12="Two Heads",30000,(IF(G12="Very Long Legs",30000,0)))))))))),0)))</f>
        <v>ILEGAL</v>
      </c>
      <c r="J12" s="503"/>
      <c r="K12" s="504"/>
      <c r="L12" s="281" t="str">
        <f>IF(OR($B$3="Stunty Superstar",$B$3="Brutal Blockers",$B$3="Bona Fide Big Guy",$B$3="Mercenaries"),"ILEGAL",(IF(J12&lt;&gt;"",(IF($B$3="Legendary Linemen",150000,(IF(J12="Big Hand",30000,(IF(J12="Extra Arms",20000,(IF(J12="Two Heads",30000,(IF(J12="Very Long Legs",30000,0)))))))))),0)))</f>
        <v>ILEGAL</v>
      </c>
      <c r="M12" s="503"/>
      <c r="N12" s="504"/>
      <c r="O12" s="281" t="str">
        <f>IF(B3&lt;&gt;"Legendary Linemen","ILEGAL",(IF(M12&lt;&gt;"",190000,0)))</f>
        <v>ILEGAL</v>
      </c>
      <c r="P12" s="503"/>
      <c r="Q12" s="504"/>
      <c r="R12" s="281" t="str">
        <f>IF(B3&lt;&gt;"Legendary Linemen","ILEGAL",(IF(P12&lt;&gt;"",230000,0)))</f>
        <v>ILEGAL</v>
      </c>
      <c r="S12" s="281">
        <f t="shared" si="1"/>
        <v>0</v>
      </c>
      <c r="T12" s="521"/>
      <c r="V12" s="286" t="s">
        <v>1266</v>
      </c>
      <c r="W12" s="287">
        <f>SUM(Y12:AI12)</f>
        <v>0</v>
      </c>
      <c r="X12" s="287"/>
      <c r="Y12" s="287">
        <f>IF(K6="ILEGAL",0,K6)</f>
        <v>0</v>
      </c>
      <c r="Z12" s="287">
        <f>IF(M6="ILEGAL",0,M6)</f>
        <v>0</v>
      </c>
      <c r="AA12" s="287">
        <f>IF(O6="ILEGAL",0,O6)</f>
        <v>0</v>
      </c>
      <c r="AB12" s="287">
        <f>IF(Q6="ILEGAL",0,Q6)</f>
        <v>0</v>
      </c>
      <c r="AC12" s="287">
        <f>IF(S6="ILEGAL",0,S6)</f>
        <v>0</v>
      </c>
      <c r="AD12" s="287">
        <f>I6</f>
        <v>0</v>
      </c>
      <c r="AE12" s="287">
        <f>S8</f>
        <v>0</v>
      </c>
      <c r="AF12" s="287">
        <f>S9</f>
        <v>0</v>
      </c>
      <c r="AG12" s="287">
        <f>S10</f>
        <v>0</v>
      </c>
      <c r="AH12" s="287">
        <f>S11</f>
        <v>0</v>
      </c>
      <c r="AI12" s="288">
        <f>S12</f>
        <v>0</v>
      </c>
      <c r="AV12" s="313" t="str">
        <f>IF(B3="Stunty Superstar",(IF($K$40="Español","Zafarse",(IF($K$40="Deutsch","Wrestling",(IF($K$40="Français","Tacle","Wrestle")))))),(IF($J$24="Español","Robar Balón",(IF($J$24="Deutsch","Unerschrocken",(IF($J$24="Français","Pro","Tackle")))))))</f>
        <v>Tackle</v>
      </c>
      <c r="AW12" s="312" t="s">
        <v>196</v>
      </c>
      <c r="AX12" s="313" t="str">
        <f>IF($K$40="Español","Romper Defensas",(IF($K$40="Deutsch","Sprintensicher",(IF($K$40="Français","Sournois","Sprint")))))</f>
        <v>Sprint</v>
      </c>
      <c r="AY12" s="312" t="s">
        <v>197</v>
      </c>
      <c r="AZ12" s="313" t="str">
        <f>IF($K$40="Español","Pase Seguro",(IF($K$40="Deutsch","Wurfsicher",(IF($K$40="Français","Précision","Running Pass")))))</f>
        <v>Running Pass</v>
      </c>
      <c r="BA12" s="312" t="s">
        <v>199</v>
      </c>
      <c r="BB12" s="312" t="str">
        <f>IF($K$40="Español","Mantenerse Firme",(IF($K$40="Deutsch","Robust",(IF($K$40="Français","Projection","Strong Arm")))))</f>
        <v>Strong Arm</v>
      </c>
      <c r="BC12" s="312" t="s">
        <v>198</v>
      </c>
      <c r="BD12" s="313" t="str">
        <f>IF($K$40="Español","Presencia Perturbadora",(IF($K$40="Deutsch","Zwei Köpfe",(IF($K$40="Français","Tentacule","Two Heads")))))</f>
        <v>Two Heads</v>
      </c>
      <c r="BE12" s="312" t="s">
        <v>200</v>
      </c>
    </row>
    <row r="13" spans="1:57" s="267" customFormat="1" ht="15" customHeight="1" x14ac:dyDescent="0.2">
      <c r="A13" s="260"/>
      <c r="B13" s="289"/>
      <c r="C13" s="289"/>
      <c r="D13" s="289"/>
      <c r="E13" s="289"/>
      <c r="F13" s="289"/>
      <c r="G13" s="289"/>
      <c r="H13" s="289"/>
      <c r="I13" s="289"/>
      <c r="J13" s="289"/>
      <c r="K13" s="289"/>
      <c r="L13" s="289"/>
      <c r="M13" s="289"/>
      <c r="N13" s="289"/>
      <c r="O13" s="289"/>
      <c r="P13" s="289"/>
      <c r="Q13" s="289"/>
      <c r="R13" s="289"/>
      <c r="S13" s="289"/>
      <c r="T13" s="521"/>
      <c r="V13" s="279"/>
      <c r="W13" s="279"/>
      <c r="X13" s="279"/>
      <c r="Y13" s="279"/>
      <c r="Z13" s="279"/>
      <c r="AA13" s="279"/>
      <c r="AB13" s="279"/>
      <c r="AC13" s="279"/>
      <c r="AD13" s="279"/>
      <c r="AE13" s="279"/>
      <c r="AF13" s="279"/>
      <c r="AG13" s="279"/>
      <c r="AH13" s="279"/>
      <c r="AI13" s="279"/>
      <c r="AV13" s="313" t="str">
        <f>IF(B3="Stunty Superstar","",(IF($J$24="Español","Zafarse",(IF($J$24="Deutsch","Wrestling",(IF($J$24="Français","Tacle","Wrestle")))))))</f>
        <v>Wrestle</v>
      </c>
      <c r="AW13" s="312" t="s">
        <v>196</v>
      </c>
      <c r="AX13" s="313" t="str">
        <f>IF($K$40="Español","Saltar",(IF($K$40="Deutsch","Wehrhaft",(IF($K$40="Français","Tacle plongeant ","Sure Feet")))))</f>
        <v>Sure Feet</v>
      </c>
      <c r="AY13" s="312" t="s">
        <v>197</v>
      </c>
      <c r="AZ13" s="313" t="str">
        <f>IF($K$40="Español","Precisión",(IF($K$40="Deutsch","Zielsicher",(IF($K$40="Français","Sur le ballon","Safe Pass")))))</f>
        <v>Safe Pass</v>
      </c>
      <c r="BA13" s="312" t="s">
        <v>199</v>
      </c>
      <c r="BB13" s="312" t="str">
        <f>IF($K$40="Español","Placaje Múltiple",(IF($K$40="Deutsch","Unterstützen",(IF($K$40="Français","Stabilité","Thick Skull")))))</f>
        <v>Thick Skull</v>
      </c>
      <c r="BC13" s="312" t="s">
        <v>198</v>
      </c>
      <c r="BD13" s="313" t="str">
        <f>IF($K$40="Español","Tentáculos",(IF($K$40="Deutsch","Zusätzliche Arme",(IF($K$40="Français","Très longues jambes","Very Long Legs")))))</f>
        <v>Very Long Legs</v>
      </c>
      <c r="BE13" s="312" t="s">
        <v>200</v>
      </c>
    </row>
    <row r="14" spans="1:57" ht="21.75" customHeight="1" x14ac:dyDescent="0.2">
      <c r="A14" s="523" t="str">
        <f>IF(Roster!$K$25="Italiano","MERCENARIO 2",(IF(Roster!$K$25="Español","MERCENARIO 2",(IF(Roster!$K$25="Français","MERCENAIRE 2","MERCENARY 2")))))</f>
        <v>MERCENARY 2</v>
      </c>
      <c r="B14" s="523"/>
      <c r="C14" s="523"/>
      <c r="D14" s="523"/>
      <c r="E14" s="523"/>
      <c r="F14" s="523"/>
      <c r="G14" s="523"/>
      <c r="H14" s="523"/>
      <c r="I14" s="523"/>
      <c r="J14" s="523"/>
      <c r="K14" s="523"/>
      <c r="L14" s="523"/>
      <c r="M14" s="523"/>
      <c r="N14" s="523"/>
      <c r="O14" s="523"/>
      <c r="P14" s="523"/>
      <c r="Q14" s="523"/>
      <c r="R14" s="523"/>
      <c r="S14" s="523"/>
      <c r="T14" s="521"/>
    </row>
    <row r="15" spans="1:57" s="267" customFormat="1" ht="22.5" customHeight="1" x14ac:dyDescent="0.2">
      <c r="A15" s="254" t="str">
        <f>IF(Roster!$K$25="Italiano","MERCENARIO 2",(IF(Roster!$K$25="Español","MERCENARIO 2",(IF(Roster!$K$25="Français","MERCENAIRE 2","MERCENARY 2")))))</f>
        <v>MERCENARY 2</v>
      </c>
      <c r="B15" s="254" t="str">
        <f>IF(Roster!$K$25="Italiano","TIPO",(IF(Roster!$K$25="Español","TIPO",(IF(Roster!$K$25="Deutsch","POSITION",(IF(Roster!$K$25="Français","POSTE","TYPE")))))))</f>
        <v>TYPE</v>
      </c>
      <c r="C15" s="254" t="str">
        <f>IF(Roster!$K$25="Español","MO",(IF(Roster!$K$25="Deutsch","BE",(IF(Roster!$K$25="Français","M","MA")))))</f>
        <v>MA</v>
      </c>
      <c r="D15" s="254" t="str">
        <f>IF(Roster!$K$25="Español","FU",(IF(Roster!$K$25="Français","F","ST")))</f>
        <v>ST</v>
      </c>
      <c r="E15" s="254" t="str">
        <f>IF(Roster!$K$25="Deutsch","GE","AG")</f>
        <v>AG</v>
      </c>
      <c r="F15" s="254" t="str">
        <f>IF(Roster!$K$25="Deutsch","WG",(IF(Roster!$K$25="Français","CP","PA")))</f>
        <v>PA</v>
      </c>
      <c r="G15" s="254" t="str">
        <f>IF(Roster!$K$25="Español","AR",(IF(Roster!$K$25="Deutsch","RW",(IF(Roster!$K$25="Français","AR","AV")))))</f>
        <v>AV</v>
      </c>
      <c r="H15" s="512" t="str">
        <f>IF(Roster!$K$25="Italiano","ABILITÀ",(IF(Roster!$K$25="Español","HABILIDADES",(IF(Roster!$K$25="Deutsch","FERTIGKEITEN",(IF(Roster!$K$25="Français","COMPÉTENCES","SKILLS")))))))</f>
        <v>SKILLS</v>
      </c>
      <c r="I15" s="513"/>
      <c r="J15" s="513"/>
      <c r="K15" s="513"/>
      <c r="L15" s="513"/>
      <c r="M15" s="513"/>
      <c r="N15" s="513"/>
      <c r="O15" s="513"/>
      <c r="P15" s="513"/>
      <c r="Q15" s="513"/>
      <c r="R15" s="514"/>
      <c r="S15" s="254" t="str">
        <f>IF(Roster!$K$25="Italiano","COSTO",(IF(Roster!$K$25="Español","PRECIO",(IF(Roster!$K$25="Deutsch","WERT",(IF(Roster!$K$25="Français","VALEUR","COST")))))))</f>
        <v>COST</v>
      </c>
      <c r="T15" s="521"/>
      <c r="V15" s="268" t="s">
        <v>261</v>
      </c>
      <c r="W15" s="269" t="s">
        <v>206</v>
      </c>
      <c r="X15" s="270"/>
      <c r="Y15" s="268" t="s">
        <v>1268</v>
      </c>
      <c r="Z15" s="271"/>
      <c r="AA15" s="271"/>
      <c r="AB15" s="269"/>
      <c r="AC15" s="270"/>
      <c r="AD15" s="270"/>
      <c r="AE15" s="270"/>
      <c r="AF15" s="268" t="s">
        <v>1273</v>
      </c>
      <c r="AG15" s="271"/>
      <c r="AH15" s="271"/>
      <c r="AI15" s="269"/>
      <c r="AK15" s="509" t="s">
        <v>1313</v>
      </c>
      <c r="AL15" s="510"/>
      <c r="AM15" s="510"/>
      <c r="AN15" s="510"/>
      <c r="AO15" s="511"/>
      <c r="AP15" s="509" t="s">
        <v>1314</v>
      </c>
      <c r="AQ15" s="510"/>
      <c r="AR15" s="510"/>
      <c r="AS15" s="510"/>
      <c r="AT15" s="511"/>
      <c r="AV15" s="218"/>
    </row>
    <row r="16" spans="1:57" s="267" customFormat="1" ht="30" customHeight="1" x14ac:dyDescent="0.2">
      <c r="A16" s="297"/>
      <c r="B16" s="297" t="s">
        <v>1267</v>
      </c>
      <c r="C16" s="272" t="str">
        <f>IF((VLOOKUP(B16,Y18:AD23,2,FALSE))+J19+(IF(AE16="G",-2,0))+(IF(OR(AE16="O",AE16="N"),-1,0))=0,"",(VLOOKUP(B16,Y18:AD23,2,FALSE))+J19+(IF(AE16="G",-2,0))+(IF(OR(AE16="O",AE16="N"),-1,0)))</f>
        <v/>
      </c>
      <c r="D16" s="272" t="str">
        <f>IF((VLOOKUP(B16,Y18:AD23,3,FALSE))+L19+(IF(AE16="G",3,0))+(IF(OR(AE16="O",AE16="N"),2,0))=0,"",(VLOOKUP(B16,Y18:AD23,3,FALSE))+L19+(IF(AE16="G",3,0))+(IF(OR(AE16="O",AE16="N"),2,0)))</f>
        <v/>
      </c>
      <c r="E16" s="272" t="str">
        <f>IF((VLOOKUP(B16,Y18:AD23,4,FALSE)+N19+(IF(AE16="J",1,0)))=0,"",(VLOOKUP(B16,Y18:AD23,4,FALSE)+N19+(IF(AE16="J",1,0))&amp;"+"))</f>
        <v/>
      </c>
      <c r="F16" s="272" t="str">
        <f>IF((VLOOKUP(B16,Y18:AD23,5,FALSE)+P19)=0,"",(VLOOKUP(B16,Y18:AD23,5,FALSE)+P19&amp;"+"))</f>
        <v/>
      </c>
      <c r="G16" s="272" t="str">
        <f>IF((VLOOKUP(B16,Y18:AD23,6,FALSE)+R19)=0,"",(VLOOKUP(B16,Y18:AD23,6,FALSE)+R19&amp;"+"))</f>
        <v/>
      </c>
      <c r="H16" s="515" t="str">
        <f>Y16&amp;(IF(Z16&lt;&gt;"",", ",""))&amp;Z16&amp;(IF(AA16&lt;&gt;"",", ",""))&amp;AA16&amp;(IF(AB16&lt;&gt;"",", ",""))&amp;AB16&amp;(IF(AF16&lt;&gt;"",", ",""))&amp;AF16&amp;(IF(AG16&lt;&gt;"",", ",""))&amp;AG16&amp;(IF(AH16&lt;&gt;"",", ",""))&amp;AH16&amp;(IF(AI16&lt;&gt;"",", ",""))&amp;AI16&amp;AK21</f>
        <v/>
      </c>
      <c r="I16" s="516"/>
      <c r="J16" s="516"/>
      <c r="K16" s="516"/>
      <c r="L16" s="516"/>
      <c r="M16" s="516"/>
      <c r="N16" s="516"/>
      <c r="O16" s="516"/>
      <c r="P16" s="516"/>
      <c r="Q16" s="516"/>
      <c r="R16" s="517"/>
      <c r="S16" s="272">
        <f>(VLOOKUP(B16,Y18:AI23,11,FALSE))+W25</f>
        <v>0</v>
      </c>
      <c r="T16" s="521"/>
      <c r="V16" s="273"/>
      <c r="W16" s="274">
        <v>0</v>
      </c>
      <c r="X16" s="259"/>
      <c r="Y16" s="275" t="str">
        <f>VLOOKUP(B16,Y18:AH23,7,FALSE)</f>
        <v/>
      </c>
      <c r="Z16" s="276" t="str">
        <f>VLOOKUP(B16,Y18:AH23,8,FALSE)</f>
        <v/>
      </c>
      <c r="AA16" s="276" t="str">
        <f>VLOOKUP(B16,Y18:AH23,9,FALSE)</f>
        <v/>
      </c>
      <c r="AB16" s="277" t="str">
        <f>VLOOKUP(B16,Y18:AH23,10,FALSE)</f>
        <v/>
      </c>
      <c r="AC16" s="270"/>
      <c r="AD16" s="270"/>
      <c r="AE16" s="270" t="str">
        <f>IFERROR((VLOOKUP(A19,R41:W55,2,FALSE)),"")</f>
        <v/>
      </c>
      <c r="AF16" s="275" t="str">
        <f>IFERROR((VLOOKUP(A19,R41:W55,3,FALSE)),"")</f>
        <v/>
      </c>
      <c r="AG16" s="276" t="str">
        <f>IFERROR((VLOOKUP(A19,R41:W55,4,FALSE)),"")</f>
        <v/>
      </c>
      <c r="AH16" s="276" t="str">
        <f>IFERROR((VLOOKUP(A19,R41:W55,5,FALSE)),"")</f>
        <v/>
      </c>
      <c r="AI16" s="277" t="str">
        <f>IFERROR((VLOOKUP(A19,R41:W55,6,FALSE)),"")</f>
        <v/>
      </c>
      <c r="AK16" s="278">
        <v>0</v>
      </c>
      <c r="AL16" s="279">
        <v>0</v>
      </c>
      <c r="AM16" s="279">
        <v>0</v>
      </c>
      <c r="AN16" s="279">
        <v>0</v>
      </c>
      <c r="AO16" s="274">
        <v>0</v>
      </c>
      <c r="AP16" s="278">
        <v>0</v>
      </c>
      <c r="AQ16" s="279">
        <v>0</v>
      </c>
      <c r="AR16" s="279">
        <v>0</v>
      </c>
      <c r="AS16" s="279">
        <v>0</v>
      </c>
      <c r="AT16" s="274">
        <v>0</v>
      </c>
      <c r="AV16" s="290"/>
    </row>
    <row r="17" spans="1:48" s="267" customFormat="1" ht="22.5" customHeight="1" x14ac:dyDescent="0.2">
      <c r="A17" s="522" t="str">
        <f>IF(AR3="Italiano","AVANZAMIENTO GIOCATORI",(IF(AR3="Español","MEJORAS DEL JUGADORE",(IF(AR3="Deutsch","SPIELERVERBESSERUNGEN",(IF(AR3="Français","AMÉLIORATIONS DE JOUEUR","PLAYER UPGRADES")))))))</f>
        <v>PLAYER UPGRADES</v>
      </c>
      <c r="B17" s="522"/>
      <c r="C17" s="522"/>
      <c r="D17" s="522"/>
      <c r="E17" s="522"/>
      <c r="F17" s="522"/>
      <c r="G17" s="522"/>
      <c r="H17" s="522"/>
      <c r="I17" s="522"/>
      <c r="J17" s="522"/>
      <c r="K17" s="522"/>
      <c r="L17" s="522"/>
      <c r="M17" s="522"/>
      <c r="N17" s="522"/>
      <c r="O17" s="522"/>
      <c r="P17" s="522"/>
      <c r="Q17" s="522"/>
      <c r="R17" s="522"/>
      <c r="S17" s="522"/>
      <c r="T17" s="521"/>
      <c r="V17" s="273" t="str">
        <f t="shared" ref="V17:W23" si="2">IF($B$16="Stunty Superstar",C43,(IF($B$16="Legendary Linemen",F43,(IF($B$16="Brutal Blockers",I43,(IF($B$16="Reliable Ringers",L43,(IF($B$16="Bona Fide Big Guy",O43,"")))))))))</f>
        <v/>
      </c>
      <c r="W17" s="274" t="str">
        <f t="shared" si="2"/>
        <v/>
      </c>
      <c r="X17" s="270"/>
      <c r="Y17" s="270"/>
      <c r="Z17" s="270"/>
      <c r="AA17" s="270"/>
      <c r="AB17" s="270"/>
      <c r="AC17" s="270"/>
      <c r="AD17" s="270"/>
      <c r="AE17" s="270"/>
      <c r="AF17" s="270"/>
      <c r="AG17" s="270"/>
      <c r="AH17" s="270"/>
      <c r="AI17" s="270"/>
      <c r="AK17" s="278">
        <v>1</v>
      </c>
      <c r="AL17" s="279">
        <v>0</v>
      </c>
      <c r="AM17" s="279">
        <f>IF(B16="Legendary Linemen",0,-1)</f>
        <v>-1</v>
      </c>
      <c r="AN17" s="279">
        <f>IF(B16="Brutal Blockers",0,-1)</f>
        <v>-1</v>
      </c>
      <c r="AO17" s="274">
        <v>1</v>
      </c>
      <c r="AP17" s="278">
        <f>IF(OR(B16="Legendary Linemen",B16="Bona Fide Big Guy"),20000,30000)</f>
        <v>30000</v>
      </c>
      <c r="AQ17" s="279">
        <v>0</v>
      </c>
      <c r="AR17" s="279">
        <f>IF(OR(B16="Stunty Superstar",B16="Bona Fide Big Guy"),40000,(IF(B16="Legendary Linemen",0,50000)))</f>
        <v>50000</v>
      </c>
      <c r="AS17" s="279">
        <f>IF(B16="Brutal Blockers",0,30000)</f>
        <v>30000</v>
      </c>
      <c r="AT17" s="274">
        <f>IF(B16="Stunty Superstar",30000,(IF(B16="Reliable Ringers",40000,20000)))</f>
        <v>20000</v>
      </c>
      <c r="AV17" s="290"/>
    </row>
    <row r="18" spans="1:48" s="267" customFormat="1" ht="22.5" customHeight="1" x14ac:dyDescent="0.2">
      <c r="A18" s="512" t="s">
        <v>1265</v>
      </c>
      <c r="B18" s="513"/>
      <c r="C18" s="513"/>
      <c r="D18" s="513"/>
      <c r="E18" s="513"/>
      <c r="F18" s="513"/>
      <c r="G18" s="513"/>
      <c r="H18" s="514"/>
      <c r="I18" s="254" t="str">
        <f>IF(Roster!$K$25="Italiano","COSTO",(IF(Roster!$K$25="Español","PRECIO",(IF(Roster!$K$25="Deutsch","WERT",(IF(Roster!$K$25="Français","VALEUR","COST")))))))</f>
        <v>COST</v>
      </c>
      <c r="J18" s="254" t="str">
        <f>IF(Roster!$K$25="Español","MO",(IF(Roster!$K$25="Deutsch","BE",(IF(Roster!$K$25="Français","M","MA")))))</f>
        <v>MA</v>
      </c>
      <c r="K18" s="254" t="str">
        <f>IF(Roster!$K$25="Italiano","COSTO",(IF(Roster!$K$25="Español","PRECIO",(IF(Roster!$K$25="Deutsch","WERT",(IF(Roster!$K$25="Français","VALEUR","COST")))))))</f>
        <v>COST</v>
      </c>
      <c r="L18" s="254" t="str">
        <f>IF(Roster!$K$25="Español","FU",(IF(Roster!$K$25="Français","F","ST")))</f>
        <v>ST</v>
      </c>
      <c r="M18" s="254" t="str">
        <f>IF(Roster!$K$25="Italiano","COSTO",(IF(Roster!$K$25="Español","PRECIO",(IF(Roster!$K$25="Deutsch","WERT",(IF(Roster!$K$25="Français","VALEUR","COST")))))))</f>
        <v>COST</v>
      </c>
      <c r="N18" s="254" t="str">
        <f>IF(Roster!$K$25="Deutsch","GE","AG")</f>
        <v>AG</v>
      </c>
      <c r="O18" s="254" t="str">
        <f>IF(Roster!$K$25="Italiano","COSTO",(IF(Roster!$K$25="Español","PRECIO",(IF(Roster!$K$25="Deutsch","WERT",(IF(Roster!$K$25="Français","VALEUR","COST")))))))</f>
        <v>COST</v>
      </c>
      <c r="P18" s="254" t="str">
        <f>IF(Roster!$K$25="Deutsch","WG",(IF(Roster!$K$25="Français","CP","PA")))</f>
        <v>PA</v>
      </c>
      <c r="Q18" s="254" t="str">
        <f>IF(Roster!$K$25="Italiano","COSTO",(IF(Roster!$K$25="Español","PRECIO",(IF(Roster!$K$25="Deutsch","WERT",(IF(Roster!$K$25="Français","VALEUR","COST")))))))</f>
        <v>COST</v>
      </c>
      <c r="R18" s="254" t="str">
        <f>IF(Roster!$K$25="Español","AR",(IF(Roster!$K$25="Deutsch","RW",(IF(Roster!$K$25="Français","AR","AV")))))</f>
        <v>AV</v>
      </c>
      <c r="S18" s="254" t="str">
        <f>IF(Roster!$K$25="Italiano","COSTO",(IF(Roster!$K$25="Español","PRECIO",(IF(Roster!$K$25="Deutsch","WERT",(IF(Roster!$K$25="Français","VALEUR","COST")))))))</f>
        <v>COST</v>
      </c>
      <c r="T18" s="521"/>
      <c r="U18" s="257"/>
      <c r="V18" s="273" t="str">
        <f t="shared" si="2"/>
        <v/>
      </c>
      <c r="W18" s="274" t="str">
        <f t="shared" si="2"/>
        <v/>
      </c>
      <c r="X18" s="270"/>
      <c r="Y18" s="268" t="s">
        <v>1267</v>
      </c>
      <c r="Z18" s="280">
        <v>0</v>
      </c>
      <c r="AA18" s="280">
        <v>0</v>
      </c>
      <c r="AB18" s="280">
        <v>0</v>
      </c>
      <c r="AC18" s="280">
        <v>0</v>
      </c>
      <c r="AD18" s="280">
        <v>0</v>
      </c>
      <c r="AE18" s="271" t="str">
        <f>""</f>
        <v/>
      </c>
      <c r="AF18" s="271" t="str">
        <f>""</f>
        <v/>
      </c>
      <c r="AG18" s="271" t="str">
        <f>""</f>
        <v/>
      </c>
      <c r="AH18" s="271" t="str">
        <f>""</f>
        <v/>
      </c>
      <c r="AI18" s="314">
        <v>0</v>
      </c>
      <c r="AK18" s="278">
        <v>2</v>
      </c>
      <c r="AL18" s="279">
        <v>0</v>
      </c>
      <c r="AM18" s="279">
        <f>IF(B16="Legendary Linemen",0,-2)</f>
        <v>-2</v>
      </c>
      <c r="AN18" s="279">
        <f>IF(B16="Brutal Blockers",0,-2)</f>
        <v>-2</v>
      </c>
      <c r="AO18" s="274">
        <v>2</v>
      </c>
      <c r="AP18" s="278">
        <f>IF(OR(B16="Stunty Superstar",B16="Reliable Ringers"),48000,(IF(B16="Legendary Linemen",40000,50000)))</f>
        <v>50000</v>
      </c>
      <c r="AQ18" s="279">
        <v>0</v>
      </c>
      <c r="AR18" s="279">
        <f>IF(OR(B16="Stunty Superstar",B16="Bona Fide Big Guy"),80000,(IF(B16="Legendary Linemen",0,100000)))</f>
        <v>100000</v>
      </c>
      <c r="AS18" s="279">
        <f>IF(B16="Brutal Blockers",0,70000)</f>
        <v>70000</v>
      </c>
      <c r="AT18" s="274">
        <f>IF(B16="Stunty Superstar",48000,(IF(B16="Reliable Ringers",80000,40000)))</f>
        <v>40000</v>
      </c>
      <c r="AV18" s="290"/>
    </row>
    <row r="19" spans="1:48" s="267" customFormat="1" ht="22.5" customHeight="1" x14ac:dyDescent="0.2">
      <c r="A19" s="518"/>
      <c r="B19" s="519"/>
      <c r="C19" s="519"/>
      <c r="D19" s="519"/>
      <c r="E19" s="519"/>
      <c r="F19" s="519"/>
      <c r="G19" s="519"/>
      <c r="H19" s="520"/>
      <c r="I19" s="281">
        <f>IFERROR((VLOOKUP(A19,V17:W23,2,FALSE)),0)</f>
        <v>0</v>
      </c>
      <c r="J19" s="297">
        <v>0</v>
      </c>
      <c r="K19" s="281">
        <f>IFERROR((VLOOKUP(J19,AK16:AT20,6,FALSE)),"ILEGAL")</f>
        <v>0</v>
      </c>
      <c r="L19" s="297">
        <v>0</v>
      </c>
      <c r="M19" s="281">
        <f>IFERROR((VLOOKUP(L19,AL16:AT20,6,FALSE)),"ILEGAL")</f>
        <v>0</v>
      </c>
      <c r="N19" s="297">
        <v>0</v>
      </c>
      <c r="O19" s="281">
        <f>IFERROR((VLOOKUP(N19,AM16:AT20,6,FALSE)),"ILEGAL")</f>
        <v>0</v>
      </c>
      <c r="P19" s="297">
        <v>0</v>
      </c>
      <c r="Q19" s="281">
        <f>IFERROR((VLOOKUP(P19,AN16:AT20,6,FALSE)),"ILEGAL")</f>
        <v>0</v>
      </c>
      <c r="R19" s="297">
        <v>0</v>
      </c>
      <c r="S19" s="281">
        <f>IFERROR((VLOOKUP(R19,AO16:AT20,6,FALSE)),"ILEGAL")</f>
        <v>0</v>
      </c>
      <c r="T19" s="521"/>
      <c r="V19" s="273" t="str">
        <f t="shared" si="2"/>
        <v/>
      </c>
      <c r="W19" s="274" t="str">
        <f t="shared" si="2"/>
        <v/>
      </c>
      <c r="X19" s="270"/>
      <c r="Y19" s="273" t="s">
        <v>1269</v>
      </c>
      <c r="Z19" s="279">
        <v>5</v>
      </c>
      <c r="AA19" s="279">
        <v>2</v>
      </c>
      <c r="AB19" s="279">
        <v>3</v>
      </c>
      <c r="AC19" s="279">
        <v>4</v>
      </c>
      <c r="AD19" s="279">
        <v>6</v>
      </c>
      <c r="AE19" s="282" t="str">
        <f>IF(((COUNTIF(AE16,"A"))+(COUNTIF(AE16,"B"))+(COUNTIF(AE16,"H"))+(COUNTIF(AE16,"I"))+(COUNTIF(AE16,"M")))=1,"Loner (5+)","Loner (4+)")</f>
        <v>Loner (4+)</v>
      </c>
      <c r="AF19" s="282" t="s">
        <v>272</v>
      </c>
      <c r="AG19" s="282" t="s">
        <v>1270</v>
      </c>
      <c r="AH19" s="282" t="s">
        <v>1271</v>
      </c>
      <c r="AI19" s="274">
        <v>30000</v>
      </c>
      <c r="AK19" s="278">
        <v>-1</v>
      </c>
      <c r="AL19" s="279">
        <v>-1</v>
      </c>
      <c r="AM19" s="279">
        <v>1</v>
      </c>
      <c r="AN19" s="279">
        <v>1</v>
      </c>
      <c r="AO19" s="274">
        <v>-1</v>
      </c>
      <c r="AP19" s="278">
        <v>-10000</v>
      </c>
      <c r="AQ19" s="279">
        <v>-10000</v>
      </c>
      <c r="AR19" s="279">
        <v>-10000</v>
      </c>
      <c r="AS19" s="279">
        <v>-10000</v>
      </c>
      <c r="AT19" s="274">
        <v>-10000</v>
      </c>
      <c r="AV19" s="290"/>
    </row>
    <row r="20" spans="1:48" s="267" customFormat="1" ht="22.5" customHeight="1" x14ac:dyDescent="0.2">
      <c r="A20" s="258" t="str">
        <f>IF(Roster!$K$25="Italiano","TIPO",(IF(Roster!$K$25="Español","TIPO",(IF(Roster!$K$25="Deutsch","POSITION",(IF(Roster!$K$25="Français","POSTE","TYPE")))))))</f>
        <v>TYPE</v>
      </c>
      <c r="B20" s="256" t="str">
        <f>IF($J$40="Italiano","AVANZAMENTO 1",(IF($J$40="Español","MEJORA 1",(IF($J$40="Deutsch","VERBES-SERUNG 1",(IF($J$40="Français","AMÉLIORATION 1","UPGRADE 1")))))))</f>
        <v>UPGRADE 1</v>
      </c>
      <c r="C20" s="255" t="str">
        <f>IF(Roster!$K$25="Italiano","COSTO",(IF(Roster!$K$25="Español","PRECIO",(IF(Roster!$K$25="Deutsch","WERT",(IF(Roster!$K$25="Français","VALEUR","COST")))))))</f>
        <v>COST</v>
      </c>
      <c r="D20" s="505" t="str">
        <f>IF($J$40="Italiano","AVANZAMENTO 2",(IF($J$40="Español","MEJORA 2",(IF($J$40="Deutsch","VERBES-SERUNG 2",(IF($J$40="Français","AMÉLIORATION 2","UPGRADE 2")))))))</f>
        <v>UPGRADE 2</v>
      </c>
      <c r="E20" s="506"/>
      <c r="F20" s="255" t="str">
        <f>IF(Roster!$K$25="Italiano","COSTO",(IF(Roster!$K$25="Español","PRECIO",(IF(Roster!$K$25="Deutsch","WERT",(IF(Roster!$K$25="Français","VALEUR","COST")))))))</f>
        <v>COST</v>
      </c>
      <c r="G20" s="505" t="str">
        <f>IF($J$40="Italiano","AVANZAMENTO 3",(IF($J$40="Español","MEJORA 3",(IF($J$40="Deutsch","VERBES-SERUNG 3",(IF($J$40="Français","AMÉLIORATION 3","UPGRADE 3")))))))</f>
        <v>UPGRADE 3</v>
      </c>
      <c r="H20" s="506"/>
      <c r="I20" s="254" t="str">
        <f>IF(Roster!$K$25="Italiano","COSTO",(IF(Roster!$K$25="Español","PRECIO",(IF(Roster!$K$25="Deutsch","WERT",(IF(Roster!$K$25="Français","VALEUR","COST")))))))</f>
        <v>COST</v>
      </c>
      <c r="J20" s="505" t="str">
        <f>IF($J$40="Italiano","AVANZAMENTO 4",(IF($J$40="Español","MEJORA 4",(IF($J$40="Deutsch","VERBES-SERUNG 4",(IF($J$40="Français","AMÉLIORATION 4","UPGRADE 4")))))))</f>
        <v>UPGRADE 4</v>
      </c>
      <c r="K20" s="506"/>
      <c r="L20" s="254" t="str">
        <f>IF(Roster!$K$25="Italiano","COSTO",(IF(Roster!$K$25="Español","PRECIO",(IF(Roster!$K$25="Deutsch","WERT",(IF(Roster!$K$25="Français","VALEUR","COST")))))))</f>
        <v>COST</v>
      </c>
      <c r="M20" s="505" t="str">
        <f>IF($J$40="Italiano","AVANZAMENTO 5",(IF($J$40="Español","MEJORA 5",(IF($J$40="Deutsch","VERBES-SERUNG 5",(IF($J$40="Français","AMÉLIORATION 5","UPGRADE 5")))))))</f>
        <v>UPGRADE 5</v>
      </c>
      <c r="N20" s="506"/>
      <c r="O20" s="254" t="str">
        <f>IF(Roster!$K$25="Italiano","COSTO",(IF(Roster!$K$25="Español","PRECIO",(IF(Roster!$K$25="Deutsch","WERT",(IF(Roster!$K$25="Français","VALEUR","COST")))))))</f>
        <v>COST</v>
      </c>
      <c r="P20" s="505" t="str">
        <f>IF($J$40="Italiano","AVANZAMENTO 6",(IF($J$40="Español","MEJORA 6",(IF($J$40="Deutsch","VERBES-SERUNG 6",(IF($J$40="Français","AMÉLIORATION 6","UPGRADE 6")))))))</f>
        <v>UPGRADE 6</v>
      </c>
      <c r="Q20" s="506"/>
      <c r="R20" s="254" t="str">
        <f>IF(Roster!$K$25="Italiano","COSTO",(IF(Roster!$K$25="Español","PRECIO",(IF(Roster!$K$25="Deutsch","WERT",(IF(Roster!$K$25="Français","VALEUR","COST")))))))</f>
        <v>COST</v>
      </c>
      <c r="S20" s="254" t="s">
        <v>1266</v>
      </c>
      <c r="T20" s="521"/>
      <c r="V20" s="273" t="str">
        <f t="shared" si="2"/>
        <v/>
      </c>
      <c r="W20" s="274" t="str">
        <f t="shared" si="2"/>
        <v/>
      </c>
      <c r="X20" s="270"/>
      <c r="Y20" s="273" t="s">
        <v>1272</v>
      </c>
      <c r="Z20" s="279">
        <v>6</v>
      </c>
      <c r="AA20" s="279">
        <v>3</v>
      </c>
      <c r="AB20" s="279">
        <v>3</v>
      </c>
      <c r="AC20" s="279">
        <v>4</v>
      </c>
      <c r="AD20" s="279">
        <v>9</v>
      </c>
      <c r="AE20" s="282" t="str">
        <f>IF(((COUNTIF(AE16,"A"))+(COUNTIF(AE16,"B"))+(COUNTIF(AE16,"H"))+(COUNTIF(AE16,"I"))+(COUNTIF(AE16,"M")))=1,"Loner (5+)","Loner (4+)")</f>
        <v>Loner (4+)</v>
      </c>
      <c r="AF20" s="282" t="str">
        <f>""</f>
        <v/>
      </c>
      <c r="AG20" s="282" t="str">
        <f>""</f>
        <v/>
      </c>
      <c r="AH20" s="282" t="str">
        <f>""</f>
        <v/>
      </c>
      <c r="AI20" s="274">
        <v>50000</v>
      </c>
      <c r="AK20" s="283">
        <v>-2</v>
      </c>
      <c r="AL20" s="284">
        <f>IF(B16="Stunty Superstar",0,-2)</f>
        <v>-2</v>
      </c>
      <c r="AM20" s="284">
        <v>2</v>
      </c>
      <c r="AN20" s="284">
        <v>2</v>
      </c>
      <c r="AO20" s="285">
        <v>-2</v>
      </c>
      <c r="AP20" s="283">
        <v>-20000</v>
      </c>
      <c r="AQ20" s="284">
        <v>-20000</v>
      </c>
      <c r="AR20" s="284">
        <v>-20000</v>
      </c>
      <c r="AS20" s="284">
        <v>-20000</v>
      </c>
      <c r="AT20" s="285">
        <v>-20000</v>
      </c>
      <c r="AV20" s="290"/>
    </row>
    <row r="21" spans="1:48" s="267" customFormat="1" ht="22.5" customHeight="1" x14ac:dyDescent="0.2">
      <c r="A21" s="253" t="str">
        <f>IF($J$40="Italiano","GENERALE:",(IF($J$40="Français","GÉNÉRALE:","GENERAL:")))</f>
        <v>GENERAL:</v>
      </c>
      <c r="B21" s="297"/>
      <c r="C21" s="281">
        <f>IF(B21&lt;&gt;"",(IF(B16="Legendary Linemen",20000,(IF(B16="Reliable Ringers",30000,(IF(B16="Mercenaries",0,40000)))))),0)</f>
        <v>0</v>
      </c>
      <c r="D21" s="503"/>
      <c r="E21" s="504"/>
      <c r="F21" s="281" t="str">
        <f>IF(B16&lt;&gt;"Legendary Linemen","ILEGAL",(IF(D21&lt;&gt;"",50000,0)))</f>
        <v>ILEGAL</v>
      </c>
      <c r="G21" s="503"/>
      <c r="H21" s="504"/>
      <c r="I21" s="281" t="str">
        <f>IF(B16&lt;&gt;"Legendary Linemen","ILEGAL",(IF(G21&lt;&gt;"",80000,0)))</f>
        <v>ILEGAL</v>
      </c>
      <c r="J21" s="503"/>
      <c r="K21" s="504"/>
      <c r="L21" s="281" t="str">
        <f>IF(B16&lt;&gt;"Legendary Linemen","ILEGAL",(IF(J21&lt;&gt;"",110000,0)))</f>
        <v>ILEGAL</v>
      </c>
      <c r="M21" s="503"/>
      <c r="N21" s="504"/>
      <c r="O21" s="281" t="str">
        <f>IF(B16&lt;&gt;"Legendary Linemen","ILEGAL",(IF(M21&lt;&gt;"",140000,0)))</f>
        <v>ILEGAL</v>
      </c>
      <c r="P21" s="503"/>
      <c r="Q21" s="504"/>
      <c r="R21" s="281" t="str">
        <f>IF(B16&lt;&gt;"Legendary Linemen","ILEGAL",(IF(P21&lt;&gt;"",170000,0)))</f>
        <v>ILEGAL</v>
      </c>
      <c r="S21" s="281">
        <f>SUM(C21,F21,I21,L21,O21,R21)</f>
        <v>0</v>
      </c>
      <c r="T21" s="521"/>
      <c r="V21" s="273" t="str">
        <f t="shared" si="2"/>
        <v/>
      </c>
      <c r="W21" s="274" t="str">
        <f t="shared" si="2"/>
        <v/>
      </c>
      <c r="X21" s="270"/>
      <c r="Y21" s="273" t="s">
        <v>1274</v>
      </c>
      <c r="Z21" s="279">
        <v>4</v>
      </c>
      <c r="AA21" s="279">
        <v>4</v>
      </c>
      <c r="AB21" s="279">
        <v>4</v>
      </c>
      <c r="AC21" s="279">
        <v>6</v>
      </c>
      <c r="AD21" s="279">
        <v>9</v>
      </c>
      <c r="AE21" s="282" t="str">
        <f>IF(((COUNTIF(AE16,"A"))+(COUNTIF(AE16,"B"))+(COUNTIF(AE16,"H"))+(COUNTIF(AE16,"I"))+(COUNTIF(AE16,"M")))=1,"Loner (5+)","Loner (4+)")</f>
        <v>Loner (4+)</v>
      </c>
      <c r="AF21" s="282" t="str">
        <f>IF(OR(AE16="H",AE16="M"),"Mighty Blow (+2)","")</f>
        <v/>
      </c>
      <c r="AG21" s="282" t="str">
        <f>""</f>
        <v/>
      </c>
      <c r="AH21" s="282" t="str">
        <f>""</f>
        <v/>
      </c>
      <c r="AI21" s="274">
        <v>70000</v>
      </c>
      <c r="AK21" s="27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90"/>
    </row>
    <row r="22" spans="1:48" s="267" customFormat="1" ht="22.5" customHeight="1" x14ac:dyDescent="0.2">
      <c r="A22" s="253" t="str">
        <f>IF($J$40="Italiano","FORZA:",(IF($J$40="Español","FUERZA:",(IF($J$40="Français","FORCE:","STRENGTH:")))))</f>
        <v>STRENGTH:</v>
      </c>
      <c r="B22" s="297"/>
      <c r="C22" s="281">
        <f>IF(B22&lt;&gt;"",(IF(B16="Stunty Superstar",0,(IF(B16="Reliable Ringers",50000,(IF(B16="Mercenaries",0,30000)))))),0)</f>
        <v>0</v>
      </c>
      <c r="D22" s="503"/>
      <c r="E22" s="504"/>
      <c r="F22" s="281" t="str">
        <f>IF($B$3&lt;&gt;"Brutal Blockers",(IF($B$3&lt;&gt;"Bona Fide Big Guy","ILEGAL",(IF(D22&lt;&gt;"",70000,0)))),(IF(D22&lt;&gt;"",70000,0)))</f>
        <v>ILEGAL</v>
      </c>
      <c r="G22" s="503"/>
      <c r="H22" s="504"/>
      <c r="I22" s="281" t="str">
        <f>IF($B$3&lt;&gt;"Brutal Blockers",(IF($B$3&lt;&gt;"Bona Fide Big Guy","ILEGAL",(IF(G22&lt;&gt;"",110000,0)))),(IF(G22&lt;&gt;"",110000,0)))</f>
        <v>ILEGAL</v>
      </c>
      <c r="J22" s="503"/>
      <c r="K22" s="504"/>
      <c r="L22" s="281" t="str">
        <f>IF($B$3&lt;&gt;"Brutal Blockers",(IF($B$3&lt;&gt;"Bona Fide Big Guy","ILEGAL",(IF(J22&lt;&gt;"",150000,0)))),(IF(J22&lt;&gt;"",150000,0)))</f>
        <v>ILEGAL</v>
      </c>
      <c r="M22" s="503"/>
      <c r="N22" s="504"/>
      <c r="O22" s="281" t="str">
        <f>IF($B$3&lt;&gt;"Brutal Blockers",(IF($B$3&lt;&gt;"Bona Fide Big Guy","ILEGAL",(IF(M22&lt;&gt;"",190000,0)))),(IF(M22&lt;&gt;"",190000,0)))</f>
        <v>ILEGAL</v>
      </c>
      <c r="P22" s="503"/>
      <c r="Q22" s="504"/>
      <c r="R22" s="281" t="str">
        <f>IF($B$3&lt;&gt;"Brutal Blockers",(IF($B$3&lt;&gt;"Bona Fide Big Guy","ILEGAL",(IF(P22&lt;&gt;"",230000,0)))),(IF(P22&lt;&gt;"",230000,0)))</f>
        <v>ILEGAL</v>
      </c>
      <c r="S22" s="281">
        <f t="shared" ref="S22:S25" si="3">SUM(C22,F22,I22,L22,O22,R22)</f>
        <v>0</v>
      </c>
      <c r="T22" s="521"/>
      <c r="V22" s="273" t="str">
        <f t="shared" si="2"/>
        <v/>
      </c>
      <c r="W22" s="274" t="str">
        <f t="shared" si="2"/>
        <v/>
      </c>
      <c r="X22" s="270"/>
      <c r="Y22" s="273" t="s">
        <v>1263</v>
      </c>
      <c r="Z22" s="279">
        <v>6</v>
      </c>
      <c r="AA22" s="279">
        <v>3</v>
      </c>
      <c r="AB22" s="279">
        <v>2</v>
      </c>
      <c r="AC22" s="279">
        <v>3</v>
      </c>
      <c r="AD22" s="279">
        <v>8</v>
      </c>
      <c r="AE22" s="282" t="str">
        <f>IF(((COUNTIF(AE16,"A"))+(COUNTIF(AE16,"B"))+(COUNTIF(AE16,"H"))+(COUNTIF(AE16,"I"))+(COUNTIF(AE16,"M")))=1,"Loner (5+)","Loner (4+)")</f>
        <v>Loner (4+)</v>
      </c>
      <c r="AF22" s="282" t="str">
        <f>""</f>
        <v/>
      </c>
      <c r="AG22" s="282" t="str">
        <f>""</f>
        <v/>
      </c>
      <c r="AH22" s="282" t="str">
        <f>""</f>
        <v/>
      </c>
      <c r="AI22" s="274">
        <v>70000</v>
      </c>
      <c r="AV22" s="290"/>
    </row>
    <row r="23" spans="1:48" s="267" customFormat="1" ht="22.5" customHeight="1" x14ac:dyDescent="0.2">
      <c r="A23" s="253" t="str">
        <f>IF($J$40="Italiano","AGILITÀ:",(IF($J$40="Español","AGILIDAD:",(IF($J$40="Deutsch","AGILITÄT:",(IF($J$40="Français","AGILITÉ:","AGILITY:")))))))</f>
        <v>AGILITY:</v>
      </c>
      <c r="B23" s="297"/>
      <c r="C23" s="281">
        <f>IF(B23&lt;&gt;"",(IF(B16="Stunty Superstar",10000,(IF(B16="Brutal Blockers",40000,(IF(OR(B16="Mercenaries",B16="Bona Fide Big Guy"),0,30000)))))),0)</f>
        <v>0</v>
      </c>
      <c r="D23" s="503"/>
      <c r="E23" s="504"/>
      <c r="F23" s="281" t="str">
        <f>IF($B$3&lt;&gt;"Stunty Superstar",(IF($B$3&lt;&gt;"Reliable Ringers","ILEGAL",(IF(D23&lt;&gt;"",70000,0)))),(IF(D23&lt;&gt;"",30000,0)))</f>
        <v>ILEGAL</v>
      </c>
      <c r="G23" s="503"/>
      <c r="H23" s="504"/>
      <c r="I23" s="281" t="str">
        <f>IF($B$3&lt;&gt;"Stunty Superstar",(IF($B$3&lt;&gt;"Reliable Ringers","ILEGAL",(IF(G23&lt;&gt;"",110000,0)))),(IF(G23&lt;&gt;"",50000,0)))</f>
        <v>ILEGAL</v>
      </c>
      <c r="J23" s="503"/>
      <c r="K23" s="504"/>
      <c r="L23" s="281" t="str">
        <f>IF($B$3&lt;&gt;"Stunty Superstar",(IF($B$3&lt;&gt;"Reliable Ringers","ILEGAL",(IF(J23&lt;&gt;"",150000,0)))),(IF(J23&lt;&gt;"",70000,0)))</f>
        <v>ILEGAL</v>
      </c>
      <c r="M23" s="503"/>
      <c r="N23" s="504"/>
      <c r="O23" s="281" t="str">
        <f>IF($B$3&lt;&gt;"Stunty Superstar",(IF($B$3&lt;&gt;"Reliable Ringers","ILEGAL",(IF(M23&lt;&gt;"",190000,0)))),(IF(M23&lt;&gt;"",90000,0)))</f>
        <v>ILEGAL</v>
      </c>
      <c r="P23" s="503"/>
      <c r="Q23" s="504"/>
      <c r="R23" s="281" t="str">
        <f>IF($B$3&lt;&gt;"Stunty Superstar",(IF($B$3&lt;&gt;"Reliable Ringers","ILEGAL",(IF(P23&lt;&gt;"",230000,0)))),(IF(P23&lt;&gt;"",110000,0)))</f>
        <v>ILEGAL</v>
      </c>
      <c r="S23" s="281">
        <f t="shared" si="3"/>
        <v>0</v>
      </c>
      <c r="T23" s="521"/>
      <c r="V23" s="275" t="str">
        <f t="shared" si="2"/>
        <v/>
      </c>
      <c r="W23" s="285" t="str">
        <f t="shared" si="2"/>
        <v/>
      </c>
      <c r="X23" s="270"/>
      <c r="Y23" s="275" t="s">
        <v>1275</v>
      </c>
      <c r="Z23" s="284">
        <v>4</v>
      </c>
      <c r="AA23" s="284">
        <v>5</v>
      </c>
      <c r="AB23" s="284">
        <v>4</v>
      </c>
      <c r="AC23" s="284">
        <v>5</v>
      </c>
      <c r="AD23" s="284">
        <v>9</v>
      </c>
      <c r="AE23" s="276" t="str">
        <f>IF(((COUNTIF(AE16,"A"))+(COUNTIF(AE16,"B"))+(COUNTIF(AE16,"H"))+(COUNTIF(AE16,"I"))+(COUNTIF(AE16,"M")))=1,"Loner (5+)","Loner (4+)")</f>
        <v>Loner (4+)</v>
      </c>
      <c r="AF23" s="276" t="str">
        <f>IF(OR(AE16="J",AE16="K",AE16="L",AE16="M",AE16="N"),"","Bone Head")</f>
        <v>Bone Head</v>
      </c>
      <c r="AG23" s="276" t="str">
        <f>IF(OR(AE16="H",AE16="M"),"Mighty Blow (+2)","Mighty Blow (+1)")</f>
        <v>Mighty Blow (+1)</v>
      </c>
      <c r="AH23" s="276" t="str">
        <f>IF(OR(AE16="K",AE16="L"),"","Throw Team Mate")</f>
        <v>Throw Team Mate</v>
      </c>
      <c r="AI23" s="285">
        <v>130000</v>
      </c>
      <c r="AV23" s="290"/>
    </row>
    <row r="24" spans="1:48" s="267" customFormat="1" ht="22.5" customHeight="1" x14ac:dyDescent="0.2">
      <c r="A24" s="253" t="str">
        <f>IF($J$40="Español","PASE:",(IF($J$40="Français","PASSER:","PASS:")))</f>
        <v>PASS:</v>
      </c>
      <c r="B24" s="297"/>
      <c r="C24" s="281">
        <f>IF(B24&lt;&gt;"",(IF(B16="Mercenaries",0,(IF(OR(B16="Reliable Ringers",B16="Bona Fide Big Guy"),30000,20000)))),0)</f>
        <v>0</v>
      </c>
      <c r="D24" s="503"/>
      <c r="E24" s="504"/>
      <c r="F24" s="281" t="s">
        <v>1264</v>
      </c>
      <c r="G24" s="503"/>
      <c r="H24" s="504"/>
      <c r="I24" s="281" t="s">
        <v>1264</v>
      </c>
      <c r="J24" s="503"/>
      <c r="K24" s="504"/>
      <c r="L24" s="281" t="s">
        <v>1264</v>
      </c>
      <c r="M24" s="503"/>
      <c r="N24" s="504"/>
      <c r="O24" s="281" t="s">
        <v>1264</v>
      </c>
      <c r="P24" s="503"/>
      <c r="Q24" s="504"/>
      <c r="R24" s="281" t="s">
        <v>1264</v>
      </c>
      <c r="S24" s="281">
        <f t="shared" si="3"/>
        <v>0</v>
      </c>
      <c r="T24" s="521"/>
      <c r="V24" s="270"/>
      <c r="W24" s="270"/>
      <c r="X24" s="270"/>
      <c r="Y24" s="270"/>
      <c r="Z24" s="270"/>
      <c r="AA24" s="270"/>
      <c r="AB24" s="270"/>
      <c r="AC24" s="270"/>
      <c r="AD24" s="270"/>
      <c r="AE24" s="270"/>
      <c r="AF24" s="270"/>
      <c r="AG24" s="270"/>
      <c r="AH24" s="270"/>
      <c r="AI24" s="270"/>
      <c r="AV24" s="290"/>
    </row>
    <row r="25" spans="1:48" s="267" customFormat="1" ht="22.5" customHeight="1" x14ac:dyDescent="0.2">
      <c r="A25" s="254" t="str">
        <f>IF($J$40="Italiano","MUTAZIONE:",(IF($J$40="Español","MUTACIÓN:","MUTATION:")))</f>
        <v>MUTATION:</v>
      </c>
      <c r="B25" s="297"/>
      <c r="C25" s="281">
        <f>IF(B16="Stunty Superstar","ILEGAL",(IF(B25&lt;&gt;"",(IF(B16="Mercenaries",0,(IF(OR(B16="Brutal Blockers",B16="Bona Fide Big Guy"),40000,IF(B16="Legendary Linemen",30000,(IF(B25="Big Hand",30000,(IF(B25="Extra Arms",20000,(IF(B25="Two Heads",30000,(IF(B25="Very Long Legs",30000,0))))))))))))),0)))</f>
        <v>0</v>
      </c>
      <c r="D25" s="503"/>
      <c r="E25" s="504"/>
      <c r="F25" s="281" t="str">
        <f>IF(OR($B$3="Stunty Superstar",$B$3="Brutal Blockers",$B$3="Bona Fide Big Guy",$B$3="Mercenaries"),"ILEGAL",(IF(D25&lt;&gt;"",(IF($B$3="Legendary Linemen",70000,(IF(D25="Big Hand",30000,(IF(D25="Extra Arms",20000,(IF(D25="Two Heads",30000,(IF(D25="Very Long Legs",30000,"ILEGAL")))))))))),0)))</f>
        <v>ILEGAL</v>
      </c>
      <c r="G25" s="503"/>
      <c r="H25" s="504"/>
      <c r="I25" s="281" t="str">
        <f>IF(OR($B$3="Stunty Superstar",$B$3="Brutal Blockers",$B$3="Bona Fide Big Guy",$B$3="Mercenaries"),"ILEGAL",(IF(G25&lt;&gt;"",(IF($B$3="Legendary Linemen",110000,(IF(G25="Big Hand",30000,(IF(G25="Extra Arms",20000,(IF(G25="Two Heads",30000,(IF(G25="Very Long Legs",30000,0)))))))))),0)))</f>
        <v>ILEGAL</v>
      </c>
      <c r="J25" s="503"/>
      <c r="K25" s="504"/>
      <c r="L25" s="281" t="str">
        <f>IF(OR($B$3="Stunty Superstar",$B$3="Brutal Blockers",$B$3="Bona Fide Big Guy",$B$3="Mercenaries"),"ILEGAL",(IF(J25&lt;&gt;"",(IF($B$3="Legendary Linemen",150000,(IF(J25="Big Hand",30000,(IF(J25="Extra Arms",20000,(IF(J25="Two Heads",30000,(IF(J25="Very Long Legs",30000,0)))))))))),0)))</f>
        <v>ILEGAL</v>
      </c>
      <c r="M25" s="503"/>
      <c r="N25" s="504"/>
      <c r="O25" s="281" t="str">
        <f>IF(B16&lt;&gt;"Legendary Linemen","ILEGAL",(IF(M25&lt;&gt;"",190000,0)))</f>
        <v>ILEGAL</v>
      </c>
      <c r="P25" s="503"/>
      <c r="Q25" s="504"/>
      <c r="R25" s="281" t="str">
        <f>IF(B16&lt;&gt;"Legendary Linemen","ILEGAL",(IF(P25&lt;&gt;"",230000,0)))</f>
        <v>ILEGAL</v>
      </c>
      <c r="S25" s="281">
        <f t="shared" si="3"/>
        <v>0</v>
      </c>
      <c r="T25" s="521"/>
      <c r="V25" s="286" t="s">
        <v>1266</v>
      </c>
      <c r="W25" s="287">
        <f>SUM(Y25:AI25)</f>
        <v>0</v>
      </c>
      <c r="X25" s="287"/>
      <c r="Y25" s="287">
        <f>IF(K19="ILEGAL",0,K19)</f>
        <v>0</v>
      </c>
      <c r="Z25" s="287">
        <f>IF(M19="ILEGAL",0,M19)</f>
        <v>0</v>
      </c>
      <c r="AA25" s="287">
        <f>IF(O19="ILEGAL",0,O19)</f>
        <v>0</v>
      </c>
      <c r="AB25" s="287">
        <f>IF(Q19="ILEGAL",0,Q19)</f>
        <v>0</v>
      </c>
      <c r="AC25" s="287">
        <f>IF(S19="ILEGAL",0,S19)</f>
        <v>0</v>
      </c>
      <c r="AD25" s="287">
        <f>I19</f>
        <v>0</v>
      </c>
      <c r="AE25" s="287">
        <f>S21</f>
        <v>0</v>
      </c>
      <c r="AF25" s="287">
        <f>S22</f>
        <v>0</v>
      </c>
      <c r="AG25" s="287">
        <f>S23</f>
        <v>0</v>
      </c>
      <c r="AH25" s="287">
        <f>S24</f>
        <v>0</v>
      </c>
      <c r="AI25" s="288">
        <f>S25</f>
        <v>0</v>
      </c>
      <c r="AV25" s="290"/>
    </row>
    <row r="26" spans="1:48" s="267" customFormat="1" ht="15" customHeight="1" x14ac:dyDescent="0.2">
      <c r="A26" s="260"/>
      <c r="B26" s="289"/>
      <c r="C26" s="289"/>
      <c r="D26" s="289"/>
      <c r="E26" s="289"/>
      <c r="F26" s="289"/>
      <c r="G26" s="289"/>
      <c r="H26" s="289"/>
      <c r="I26" s="289"/>
      <c r="J26" s="289"/>
      <c r="K26" s="289"/>
      <c r="L26" s="289"/>
      <c r="M26" s="289"/>
      <c r="N26" s="289"/>
      <c r="O26" s="289"/>
      <c r="P26" s="289"/>
      <c r="Q26" s="289"/>
      <c r="R26" s="289"/>
      <c r="S26" s="289"/>
      <c r="T26" s="521"/>
      <c r="V26" s="279"/>
      <c r="W26" s="279"/>
      <c r="X26" s="279"/>
      <c r="Y26" s="279"/>
      <c r="Z26" s="279"/>
      <c r="AA26" s="279"/>
      <c r="AB26" s="279"/>
      <c r="AC26" s="279"/>
      <c r="AD26" s="279"/>
      <c r="AE26" s="279"/>
      <c r="AF26" s="279"/>
      <c r="AG26" s="279"/>
      <c r="AH26" s="279"/>
      <c r="AI26" s="279"/>
      <c r="AV26" s="290"/>
    </row>
    <row r="27" spans="1:48" ht="21.75" customHeight="1" x14ac:dyDescent="0.2">
      <c r="A27" s="523" t="str">
        <f>IF(Roster!$K$25="Italiano","MERCENARIO 3",(IF(Roster!$K$25="Español","MERCENARIO 3",(IF(Roster!$K$25="Français","MERCENAIRE 3","MERCENARY 3")))))</f>
        <v>MERCENARY 3</v>
      </c>
      <c r="B27" s="523"/>
      <c r="C27" s="523"/>
      <c r="D27" s="523"/>
      <c r="E27" s="523"/>
      <c r="F27" s="523"/>
      <c r="G27" s="523"/>
      <c r="H27" s="523"/>
      <c r="I27" s="523"/>
      <c r="J27" s="523"/>
      <c r="K27" s="523"/>
      <c r="L27" s="523"/>
      <c r="M27" s="523"/>
      <c r="N27" s="523"/>
      <c r="O27" s="523"/>
      <c r="P27" s="523"/>
      <c r="Q27" s="523"/>
      <c r="R27" s="523"/>
      <c r="S27" s="523"/>
      <c r="T27" s="521"/>
    </row>
    <row r="28" spans="1:48" s="267" customFormat="1" ht="22.5" customHeight="1" x14ac:dyDescent="0.2">
      <c r="A28" s="254" t="str">
        <f>IF(Roster!$K$25="Italiano","MERCENARIO 3",(IF(Roster!$K$25="Español","MERCENARIO 3",(IF(Roster!$K$25="Français","MERCENAIRE 3","MERCENARY 3")))))</f>
        <v>MERCENARY 3</v>
      </c>
      <c r="B28" s="254" t="str">
        <f>IF(Roster!$K$25="Italiano","TIPO",(IF(Roster!$K$25="Español","TIPO",(IF(Roster!$K$25="Deutsch","POSITION",(IF(Roster!$K$25="Français","POSTE","TYPE")))))))</f>
        <v>TYPE</v>
      </c>
      <c r="C28" s="254" t="str">
        <f>IF(Roster!$K$25="Español","MO",(IF(Roster!$K$25="Deutsch","BE",(IF(Roster!$K$25="Français","M","MA")))))</f>
        <v>MA</v>
      </c>
      <c r="D28" s="254" t="str">
        <f>IF(Roster!$K$25="Español","FU",(IF(Roster!$K$25="Français","F","ST")))</f>
        <v>ST</v>
      </c>
      <c r="E28" s="254" t="str">
        <f>IF(Roster!$K$25="Deutsch","GE","AG")</f>
        <v>AG</v>
      </c>
      <c r="F28" s="254" t="str">
        <f>IF(Roster!$K$25="Deutsch","WG",(IF(Roster!$K$25="Français","CP","PA")))</f>
        <v>PA</v>
      </c>
      <c r="G28" s="254" t="str">
        <f>IF(Roster!$K$25="Español","AR",(IF(Roster!$K$25="Deutsch","RW",(IF(Roster!$K$25="Français","AR","AV")))))</f>
        <v>AV</v>
      </c>
      <c r="H28" s="512" t="str">
        <f>IF(Roster!$K$25="Italiano","ABILITÀ",(IF(Roster!$K$25="Español","HABILIDADES",(IF(Roster!$K$25="Deutsch","FERTIGKEITEN",(IF(Roster!$K$25="Français","COMPÉTENCES","SKILLS")))))))</f>
        <v>SKILLS</v>
      </c>
      <c r="I28" s="513"/>
      <c r="J28" s="513"/>
      <c r="K28" s="513"/>
      <c r="L28" s="513"/>
      <c r="M28" s="513"/>
      <c r="N28" s="513"/>
      <c r="O28" s="513"/>
      <c r="P28" s="513"/>
      <c r="Q28" s="513"/>
      <c r="R28" s="514"/>
      <c r="S28" s="254" t="str">
        <f>IF(Roster!$K$25="Italiano","COSTO",(IF(Roster!$K$25="Español","PRECIO",(IF(Roster!$K$25="Deutsch","WERT",(IF(Roster!$K$25="Français","VALEUR","COST")))))))</f>
        <v>COST</v>
      </c>
      <c r="T28" s="521"/>
      <c r="V28" s="268" t="s">
        <v>261</v>
      </c>
      <c r="W28" s="269" t="s">
        <v>206</v>
      </c>
      <c r="X28" s="270"/>
      <c r="Y28" s="268" t="s">
        <v>1268</v>
      </c>
      <c r="Z28" s="271"/>
      <c r="AA28" s="271"/>
      <c r="AB28" s="269"/>
      <c r="AC28" s="270"/>
      <c r="AD28" s="270"/>
      <c r="AE28" s="270"/>
      <c r="AF28" s="268" t="s">
        <v>1273</v>
      </c>
      <c r="AG28" s="271"/>
      <c r="AH28" s="271"/>
      <c r="AI28" s="269"/>
      <c r="AK28" s="509" t="s">
        <v>1313</v>
      </c>
      <c r="AL28" s="510"/>
      <c r="AM28" s="510"/>
      <c r="AN28" s="510"/>
      <c r="AO28" s="511"/>
      <c r="AP28" s="509" t="s">
        <v>1314</v>
      </c>
      <c r="AQ28" s="510"/>
      <c r="AR28" s="510"/>
      <c r="AS28" s="510"/>
      <c r="AT28" s="511"/>
    </row>
    <row r="29" spans="1:48" s="267" customFormat="1" ht="30" customHeight="1" x14ac:dyDescent="0.2">
      <c r="A29" s="297"/>
      <c r="B29" s="297" t="s">
        <v>1267</v>
      </c>
      <c r="C29" s="272" t="str">
        <f>IF((VLOOKUP(B29,Y31:AD36,2,FALSE))+J32+(IF(AE29="G",-2,0))+(IF(OR(AE29="O",AE29="N"),-1,0))=0,"",(VLOOKUP(B29,Y31:AD36,2,FALSE))+J32+(IF(AE29="G",-2,0))+(IF(OR(AE29="O",AE29="N"),-1,0)))</f>
        <v/>
      </c>
      <c r="D29" s="272" t="str">
        <f>IF((VLOOKUP(B29,Y31:AD36,3,FALSE))+L32+(IF(AE29="G",3,0))+(IF(OR(AE29="O",AE29="N"),2,0))=0,"",(VLOOKUP(B29,Y31:AD36,3,FALSE))+L32+(IF(AE29="G",3,0))+(IF(OR(AE29="O",AE29="N"),2,0)))</f>
        <v/>
      </c>
      <c r="E29" s="272" t="str">
        <f>IF((VLOOKUP(B29,Y31:AD36,4,FALSE)+N32+(IF(AE29="J",1,0)))=0,"",(VLOOKUP(B29,Y31:AD36,4,FALSE)+N32+(IF(AE29="J",1,0))&amp;"+"))</f>
        <v/>
      </c>
      <c r="F29" s="272" t="str">
        <f>IF((VLOOKUP(B29,Y31:AD36,5,FALSE)+P32)=0,"",(VLOOKUP(B29,Y31:AD36,5,FALSE)+P32&amp;"+"))</f>
        <v/>
      </c>
      <c r="G29" s="272" t="str">
        <f>IF((VLOOKUP(B29,Y31:AD36,6,FALSE)+R32)=0,"",(VLOOKUP(B29,Y31:AD36,6,FALSE)+R32&amp;"+"))</f>
        <v/>
      </c>
      <c r="H29" s="515" t="str">
        <f>Y29&amp;(IF(Z29&lt;&gt;"",", ",""))&amp;Z29&amp;(IF(AA29&lt;&gt;"",", ",""))&amp;AA29&amp;(IF(AB29&lt;&gt;"",", ",""))&amp;AB29&amp;(IF(AF29&lt;&gt;"",", ",""))&amp;AF29&amp;(IF(AG29&lt;&gt;"",", ",""))&amp;AG29&amp;(IF(AH29&lt;&gt;"",", ",""))&amp;AH29&amp;(IF(AI29&lt;&gt;"",", ",""))&amp;AI29&amp;AK34</f>
        <v/>
      </c>
      <c r="I29" s="516"/>
      <c r="J29" s="516"/>
      <c r="K29" s="516"/>
      <c r="L29" s="516"/>
      <c r="M29" s="516"/>
      <c r="N29" s="516"/>
      <c r="O29" s="516"/>
      <c r="P29" s="516"/>
      <c r="Q29" s="516"/>
      <c r="R29" s="517"/>
      <c r="S29" s="272">
        <f>(VLOOKUP(B29,Y31:AI36,11,FALSE))+W38</f>
        <v>0</v>
      </c>
      <c r="T29" s="521"/>
      <c r="V29" s="273"/>
      <c r="W29" s="274">
        <v>0</v>
      </c>
      <c r="X29" s="259"/>
      <c r="Y29" s="275" t="str">
        <f>VLOOKUP(B29,Y31:AH36,7,FALSE)</f>
        <v/>
      </c>
      <c r="Z29" s="276" t="str">
        <f>VLOOKUP(B29,Y31:AH36,8,FALSE)</f>
        <v/>
      </c>
      <c r="AA29" s="276" t="str">
        <f>VLOOKUP(B29,Y31:AH36,9,FALSE)</f>
        <v/>
      </c>
      <c r="AB29" s="277" t="str">
        <f>VLOOKUP(B29,Y31:AH36,10,FALSE)</f>
        <v/>
      </c>
      <c r="AC29" s="270"/>
      <c r="AD29" s="270"/>
      <c r="AE29" s="270" t="str">
        <f>IFERROR((VLOOKUP(A32,R41:W55,2,FALSE)),"")</f>
        <v/>
      </c>
      <c r="AF29" s="275" t="str">
        <f>IFERROR((VLOOKUP(A32,R41:W55,3,FALSE)),"")</f>
        <v/>
      </c>
      <c r="AG29" s="276" t="str">
        <f>IFERROR((VLOOKUP(A32,R41:W55,4,FALSE)),"")</f>
        <v/>
      </c>
      <c r="AH29" s="276" t="str">
        <f>IFERROR((VLOOKUP(A32,R41:W55,5,FALSE)),"")</f>
        <v/>
      </c>
      <c r="AI29" s="277" t="str">
        <f>IFERROR((VLOOKUP(A32,R41:W55,6,FALSE)),"")</f>
        <v/>
      </c>
      <c r="AK29" s="278">
        <v>0</v>
      </c>
      <c r="AL29" s="279">
        <v>0</v>
      </c>
      <c r="AM29" s="279">
        <v>0</v>
      </c>
      <c r="AN29" s="279">
        <v>0</v>
      </c>
      <c r="AO29" s="274">
        <v>0</v>
      </c>
      <c r="AP29" s="278">
        <v>0</v>
      </c>
      <c r="AQ29" s="279">
        <v>0</v>
      </c>
      <c r="AR29" s="279">
        <v>0</v>
      </c>
      <c r="AS29" s="279">
        <v>0</v>
      </c>
      <c r="AT29" s="274">
        <v>0</v>
      </c>
    </row>
    <row r="30" spans="1:48" s="267" customFormat="1" ht="22.5" customHeight="1" x14ac:dyDescent="0.2">
      <c r="A30" s="522" t="str">
        <f>IF(BC8="Italiano","AVANZAMIENTO GIOCATORI",(IF(BC8="Español","MEJORAS DEL JUGADORE",(IF(BC8="Deutsch","SPIELERVERBESSERUNGEN",(IF(BC8="Français","AMÉLIORATIONS DE JOUEUR","PLAYER UPGRADES")))))))</f>
        <v>PLAYER UPGRADES</v>
      </c>
      <c r="B30" s="522"/>
      <c r="C30" s="522"/>
      <c r="D30" s="522"/>
      <c r="E30" s="522"/>
      <c r="F30" s="522"/>
      <c r="G30" s="522"/>
      <c r="H30" s="522"/>
      <c r="I30" s="522"/>
      <c r="J30" s="522"/>
      <c r="K30" s="522"/>
      <c r="L30" s="522"/>
      <c r="M30" s="522"/>
      <c r="N30" s="522"/>
      <c r="O30" s="522"/>
      <c r="P30" s="522"/>
      <c r="Q30" s="522"/>
      <c r="R30" s="522"/>
      <c r="S30" s="522"/>
      <c r="T30" s="521"/>
      <c r="V30" s="273" t="str">
        <f t="shared" ref="V30:W36" si="4">IF($B$29="Stunty Superstar",C43,(IF($B$29="Legendary Linemen",F43,(IF($B$29="Brutal Blockers",I43,(IF($B$29="Reliable Ringers",L43,(IF($B$29="Bona Fide Big Guy",O43,"")))))))))</f>
        <v/>
      </c>
      <c r="W30" s="274" t="str">
        <f t="shared" si="4"/>
        <v/>
      </c>
      <c r="X30" s="270"/>
      <c r="Y30" s="270"/>
      <c r="Z30" s="270"/>
      <c r="AA30" s="270"/>
      <c r="AB30" s="270"/>
      <c r="AC30" s="270"/>
      <c r="AD30" s="270"/>
      <c r="AE30" s="270"/>
      <c r="AF30" s="270"/>
      <c r="AG30" s="270"/>
      <c r="AH30" s="270"/>
      <c r="AI30" s="270"/>
      <c r="AK30" s="278">
        <v>1</v>
      </c>
      <c r="AL30" s="279">
        <v>0</v>
      </c>
      <c r="AM30" s="279">
        <f>IF(B29="Legendary Linemen",0,-1)</f>
        <v>-1</v>
      </c>
      <c r="AN30" s="279">
        <f>IF(B29="Brutal Blockers",0,-1)</f>
        <v>-1</v>
      </c>
      <c r="AO30" s="274">
        <v>1</v>
      </c>
      <c r="AP30" s="278">
        <f>IF(OR(B29="Legendary Linemen",B29="Bona Fide Big Guy"),20000,30000)</f>
        <v>30000</v>
      </c>
      <c r="AQ30" s="279">
        <v>0</v>
      </c>
      <c r="AR30" s="279">
        <f>IF(OR(B29="Stunty Superstar",B29="Bona Fide Big Guy"),40000,(IF(B29="Legendary Linemen",0,50000)))</f>
        <v>50000</v>
      </c>
      <c r="AS30" s="279">
        <f>IF(B29="Brutal Blockers",0,30000)</f>
        <v>30000</v>
      </c>
      <c r="AT30" s="274">
        <f>IF(B29="Stunty Superstar",30000,(IF(B29="Reliable Ringers",40000,20000)))</f>
        <v>20000</v>
      </c>
    </row>
    <row r="31" spans="1:48" s="267" customFormat="1" ht="22.5" customHeight="1" x14ac:dyDescent="0.2">
      <c r="A31" s="512" t="s">
        <v>1265</v>
      </c>
      <c r="B31" s="513"/>
      <c r="C31" s="513"/>
      <c r="D31" s="513"/>
      <c r="E31" s="513"/>
      <c r="F31" s="513"/>
      <c r="G31" s="513"/>
      <c r="H31" s="514"/>
      <c r="I31" s="254" t="str">
        <f>IF(Roster!$K$25="Italiano","COSTO",(IF(Roster!$K$25="Español","PRECIO",(IF(Roster!$K$25="Deutsch","WERT",(IF(Roster!$K$25="Français","VALEUR","COST")))))))</f>
        <v>COST</v>
      </c>
      <c r="J31" s="254" t="str">
        <f>IF(Roster!$K$25="Español","MO",(IF(Roster!$K$25="Deutsch","BE",(IF(Roster!$K$25="Français","M","MA")))))</f>
        <v>MA</v>
      </c>
      <c r="K31" s="254" t="str">
        <f>IF(Roster!$K$25="Italiano","COSTO",(IF(Roster!$K$25="Español","PRECIO",(IF(Roster!$K$25="Deutsch","WERT",(IF(Roster!$K$25="Français","VALEUR","COST")))))))</f>
        <v>COST</v>
      </c>
      <c r="L31" s="254" t="str">
        <f>IF(Roster!$K$25="Español","FU",(IF(Roster!$K$25="Français","F","ST")))</f>
        <v>ST</v>
      </c>
      <c r="M31" s="254" t="str">
        <f>IF(Roster!$K$25="Italiano","COSTO",(IF(Roster!$K$25="Español","PRECIO",(IF(Roster!$K$25="Deutsch","WERT",(IF(Roster!$K$25="Français","VALEUR","COST")))))))</f>
        <v>COST</v>
      </c>
      <c r="N31" s="254" t="str">
        <f>IF(Roster!$K$25="Deutsch","GE","AG")</f>
        <v>AG</v>
      </c>
      <c r="O31" s="254" t="str">
        <f>IF(Roster!$K$25="Italiano","COSTO",(IF(Roster!$K$25="Español","PRECIO",(IF(Roster!$K$25="Deutsch","WERT",(IF(Roster!$K$25="Français","VALEUR","COST")))))))</f>
        <v>COST</v>
      </c>
      <c r="P31" s="254" t="str">
        <f>IF(Roster!$K$25="Deutsch","WG",(IF(Roster!$K$25="Français","CP","PA")))</f>
        <v>PA</v>
      </c>
      <c r="Q31" s="254" t="str">
        <f>IF(Roster!$K$25="Italiano","COSTO",(IF(Roster!$K$25="Español","PRECIO",(IF(Roster!$K$25="Deutsch","WERT",(IF(Roster!$K$25="Français","VALEUR","COST")))))))</f>
        <v>COST</v>
      </c>
      <c r="R31" s="254" t="str">
        <f>IF(Roster!$K$25="Español","AR",(IF(Roster!$K$25="Deutsch","RW",(IF(Roster!$K$25="Français","AR","AV")))))</f>
        <v>AV</v>
      </c>
      <c r="S31" s="254" t="str">
        <f>IF(Roster!$K$25="Italiano","COSTO",(IF(Roster!$K$25="Español","PRECIO",(IF(Roster!$K$25="Deutsch","WERT",(IF(Roster!$K$25="Français","VALEUR","COST")))))))</f>
        <v>COST</v>
      </c>
      <c r="T31" s="521"/>
      <c r="U31" s="257"/>
      <c r="V31" s="273" t="str">
        <f t="shared" si="4"/>
        <v/>
      </c>
      <c r="W31" s="274" t="str">
        <f t="shared" si="4"/>
        <v/>
      </c>
      <c r="X31" s="270"/>
      <c r="Y31" s="268" t="s">
        <v>1267</v>
      </c>
      <c r="Z31" s="280">
        <v>0</v>
      </c>
      <c r="AA31" s="280">
        <v>0</v>
      </c>
      <c r="AB31" s="280">
        <v>0</v>
      </c>
      <c r="AC31" s="280">
        <v>0</v>
      </c>
      <c r="AD31" s="280">
        <v>0</v>
      </c>
      <c r="AE31" s="271" t="str">
        <f>""</f>
        <v/>
      </c>
      <c r="AF31" s="271" t="str">
        <f>""</f>
        <v/>
      </c>
      <c r="AG31" s="271" t="str">
        <f>""</f>
        <v/>
      </c>
      <c r="AH31" s="271" t="str">
        <f>""</f>
        <v/>
      </c>
      <c r="AI31" s="314">
        <v>0</v>
      </c>
      <c r="AK31" s="278">
        <v>2</v>
      </c>
      <c r="AL31" s="279">
        <v>0</v>
      </c>
      <c r="AM31" s="279">
        <f>IF(B29="Legendary Linemen",0,-2)</f>
        <v>-2</v>
      </c>
      <c r="AN31" s="279">
        <f>IF(B29="Brutal Blockers",0,-2)</f>
        <v>-2</v>
      </c>
      <c r="AO31" s="274">
        <v>2</v>
      </c>
      <c r="AP31" s="278">
        <f>IF(OR(B29="Stunty Superstar",B29="Reliable Ringers"),48000,(IF(B29="Legendary Linemen",40000,50000)))</f>
        <v>50000</v>
      </c>
      <c r="AQ31" s="279">
        <v>0</v>
      </c>
      <c r="AR31" s="279">
        <f>IF(OR(B29="Stunty Superstar",B29="Bona Fide Big Guy"),80000,(IF(B29="Legendary Linemen",0,100000)))</f>
        <v>100000</v>
      </c>
      <c r="AS31" s="279">
        <f>IF(B29="Brutal Blockers",0,48000)</f>
        <v>48000</v>
      </c>
      <c r="AT31" s="274">
        <f>IF(B29="Stunty Superstar",48000,(IF(B29="Reliable Ringers",80000,40000)))</f>
        <v>40000</v>
      </c>
    </row>
    <row r="32" spans="1:48" s="267" customFormat="1" ht="22.5" customHeight="1" x14ac:dyDescent="0.2">
      <c r="A32" s="518"/>
      <c r="B32" s="519"/>
      <c r="C32" s="519"/>
      <c r="D32" s="519"/>
      <c r="E32" s="519"/>
      <c r="F32" s="519"/>
      <c r="G32" s="519"/>
      <c r="H32" s="520"/>
      <c r="I32" s="281">
        <f>IFERROR((VLOOKUP(A32,V30:W36,2,FALSE)),0)</f>
        <v>0</v>
      </c>
      <c r="J32" s="297">
        <v>0</v>
      </c>
      <c r="K32" s="281">
        <f>IFERROR((VLOOKUP(J32,AK29:AT33,6,FALSE)),"ILEGAL")</f>
        <v>0</v>
      </c>
      <c r="L32" s="297">
        <v>0</v>
      </c>
      <c r="M32" s="281">
        <f>IFERROR((VLOOKUP(L32,AL29:AT33,6,FALSE)),"ILEGAL")</f>
        <v>0</v>
      </c>
      <c r="N32" s="297">
        <v>0</v>
      </c>
      <c r="O32" s="281">
        <f>IFERROR((VLOOKUP(N32,AM29:AT33,6,FALSE)),"ILEGAL")</f>
        <v>0</v>
      </c>
      <c r="P32" s="297">
        <v>0</v>
      </c>
      <c r="Q32" s="281">
        <f>IFERROR((VLOOKUP(P32,AN29:AT33,6,FALSE)),"ILEGAL")</f>
        <v>0</v>
      </c>
      <c r="R32" s="297">
        <v>0</v>
      </c>
      <c r="S32" s="281">
        <f>IFERROR((VLOOKUP(R32,AO29:AT33,6,FALSE)),"ILEGAL")</f>
        <v>0</v>
      </c>
      <c r="T32" s="521"/>
      <c r="V32" s="273" t="str">
        <f t="shared" si="4"/>
        <v/>
      </c>
      <c r="W32" s="274" t="str">
        <f t="shared" si="4"/>
        <v/>
      </c>
      <c r="X32" s="270"/>
      <c r="Y32" s="273" t="s">
        <v>1269</v>
      </c>
      <c r="Z32" s="279">
        <v>5</v>
      </c>
      <c r="AA32" s="279">
        <v>2</v>
      </c>
      <c r="AB32" s="279">
        <v>3</v>
      </c>
      <c r="AC32" s="279">
        <v>4</v>
      </c>
      <c r="AD32" s="279">
        <v>6</v>
      </c>
      <c r="AE32" s="282" t="str">
        <f>IF(((COUNTIF(AE29,"A"))+(COUNTIF(AE29,"B"))+(COUNTIF(AE29,"H"))+(COUNTIF(AE29,"I"))+(COUNTIF(AE29,"M")))=1,"Loner (5+)","Loner (4+)")</f>
        <v>Loner (4+)</v>
      </c>
      <c r="AF32" s="282" t="s">
        <v>272</v>
      </c>
      <c r="AG32" s="282" t="s">
        <v>1270</v>
      </c>
      <c r="AH32" s="282" t="s">
        <v>1271</v>
      </c>
      <c r="AI32" s="274">
        <v>30000</v>
      </c>
      <c r="AK32" s="278">
        <v>-1</v>
      </c>
      <c r="AL32" s="279">
        <v>-1</v>
      </c>
      <c r="AM32" s="279">
        <v>1</v>
      </c>
      <c r="AN32" s="279">
        <v>1</v>
      </c>
      <c r="AO32" s="274">
        <v>-1</v>
      </c>
      <c r="AP32" s="278">
        <v>-10000</v>
      </c>
      <c r="AQ32" s="279">
        <v>-10000</v>
      </c>
      <c r="AR32" s="279">
        <v>-10000</v>
      </c>
      <c r="AS32" s="279">
        <v>-10000</v>
      </c>
      <c r="AT32" s="274">
        <v>-10000</v>
      </c>
    </row>
    <row r="33" spans="1:46" s="267" customFormat="1" ht="22.5" customHeight="1" x14ac:dyDescent="0.2">
      <c r="A33" s="258" t="str">
        <f>IF(Roster!$K$25="Italiano","TIPO",(IF(Roster!$K$25="Español","TIPO",(IF(Roster!$K$25="Deutsch","POSITION",(IF(Roster!$K$25="Français","POSTE","TYPE")))))))</f>
        <v>TYPE</v>
      </c>
      <c r="B33" s="256" t="str">
        <f>IF($J$40="Italiano","AVANZAMENTO 1",(IF($J$40="Español","MEJORA 1",(IF($J$40="Deutsch","VERBES-SERUNG 1",(IF($J$40="Français","AMÉLIORATION 1","UPGRADE 1")))))))</f>
        <v>UPGRADE 1</v>
      </c>
      <c r="C33" s="255" t="str">
        <f>IF(Roster!$K$25="Italiano","COSTO",(IF(Roster!$K$25="Español","PRECIO",(IF(Roster!$K$25="Deutsch","WERT",(IF(Roster!$K$25="Français","VALEUR","COST")))))))</f>
        <v>COST</v>
      </c>
      <c r="D33" s="505" t="str">
        <f>IF($J$40="Italiano","AVANZAMENTO 2",(IF($J$40="Español","MEJORA 2",(IF($J$40="Deutsch","VERBES-SERUNG 2",(IF($J$40="Français","AMÉLIORATION 2","UPGRADE 2")))))))</f>
        <v>UPGRADE 2</v>
      </c>
      <c r="E33" s="506"/>
      <c r="F33" s="255" t="str">
        <f>IF(Roster!$K$25="Italiano","COSTO",(IF(Roster!$K$25="Español","PRECIO",(IF(Roster!$K$25="Deutsch","WERT",(IF(Roster!$K$25="Français","VALEUR","COST")))))))</f>
        <v>COST</v>
      </c>
      <c r="G33" s="505" t="str">
        <f>IF($J$40="Italiano","AVANZAMENTO 3",(IF($J$40="Español","MEJORA 3",(IF($J$40="Deutsch","VERBES-SERUNG 3",(IF($J$40="Français","AMÉLIORATION 3","UPGRADE 3")))))))</f>
        <v>UPGRADE 3</v>
      </c>
      <c r="H33" s="506"/>
      <c r="I33" s="254" t="str">
        <f>IF(Roster!$K$25="Italiano","COSTO",(IF(Roster!$K$25="Español","PRECIO",(IF(Roster!$K$25="Deutsch","WERT",(IF(Roster!$K$25="Français","VALEUR","COST")))))))</f>
        <v>COST</v>
      </c>
      <c r="J33" s="505" t="str">
        <f>IF($J$40="Italiano","AVANZAMENTO 4",(IF($J$40="Español","MEJORA 4",(IF($J$40="Deutsch","VERBES-SERUNG 4",(IF($J$40="Français","AMÉLIORATION 4","UPGRADE 4")))))))</f>
        <v>UPGRADE 4</v>
      </c>
      <c r="K33" s="506"/>
      <c r="L33" s="254" t="str">
        <f>IF(Roster!$K$25="Italiano","COSTO",(IF(Roster!$K$25="Español","PRECIO",(IF(Roster!$K$25="Deutsch","WERT",(IF(Roster!$K$25="Français","VALEUR","COST")))))))</f>
        <v>COST</v>
      </c>
      <c r="M33" s="505" t="str">
        <f>IF($J$40="Italiano","AVANZAMENTO 5",(IF($J$40="Español","MEJORA 5",(IF($J$40="Deutsch","VERBES-SERUNG 5",(IF($J$40="Français","AMÉLIORATION 5","UPGRADE 5")))))))</f>
        <v>UPGRADE 5</v>
      </c>
      <c r="N33" s="506"/>
      <c r="O33" s="254" t="str">
        <f>IF(Roster!$K$25="Italiano","COSTO",(IF(Roster!$K$25="Español","PRECIO",(IF(Roster!$K$25="Deutsch","WERT",(IF(Roster!$K$25="Français","VALEUR","COST")))))))</f>
        <v>COST</v>
      </c>
      <c r="P33" s="505" t="str">
        <f>IF($J$40="Italiano","AVANZAMENTO 6",(IF($J$40="Español","MEJORA 6",(IF($J$40="Deutsch","VERBES-SERUNG 6",(IF($J$40="Français","AMÉLIORATION 6","UPGRADE 6")))))))</f>
        <v>UPGRADE 6</v>
      </c>
      <c r="Q33" s="506"/>
      <c r="R33" s="254" t="str">
        <f>IF(Roster!$K$25="Italiano","COSTO",(IF(Roster!$K$25="Español","PRECIO",(IF(Roster!$K$25="Deutsch","WERT",(IF(Roster!$K$25="Français","VALEUR","COST")))))))</f>
        <v>COST</v>
      </c>
      <c r="S33" s="254" t="s">
        <v>1266</v>
      </c>
      <c r="T33" s="521"/>
      <c r="V33" s="273" t="str">
        <f t="shared" si="4"/>
        <v/>
      </c>
      <c r="W33" s="274" t="str">
        <f t="shared" si="4"/>
        <v/>
      </c>
      <c r="X33" s="270"/>
      <c r="Y33" s="273" t="s">
        <v>1272</v>
      </c>
      <c r="Z33" s="279">
        <v>6</v>
      </c>
      <c r="AA33" s="279">
        <v>3</v>
      </c>
      <c r="AB33" s="279">
        <v>3</v>
      </c>
      <c r="AC33" s="279">
        <v>4</v>
      </c>
      <c r="AD33" s="279">
        <v>9</v>
      </c>
      <c r="AE33" s="282" t="str">
        <f>IF(((COUNTIF(AE29,"A"))+(COUNTIF(AE29,"B"))+(COUNTIF(AE29,"H"))+(COUNTIF(AE29,"I"))+(COUNTIF(AE29,"M")))=1,"Loner (5+)","Loner (4+)")</f>
        <v>Loner (4+)</v>
      </c>
      <c r="AF33" s="282" t="str">
        <f>""</f>
        <v/>
      </c>
      <c r="AG33" s="282" t="str">
        <f>""</f>
        <v/>
      </c>
      <c r="AH33" s="282" t="str">
        <f>""</f>
        <v/>
      </c>
      <c r="AI33" s="274">
        <v>50000</v>
      </c>
      <c r="AK33" s="283">
        <v>-2</v>
      </c>
      <c r="AL33" s="284">
        <f>IF(B29="Stunty Superstar",0,-2)</f>
        <v>-2</v>
      </c>
      <c r="AM33" s="284">
        <v>2</v>
      </c>
      <c r="AN33" s="284">
        <v>2</v>
      </c>
      <c r="AO33" s="285">
        <v>-2</v>
      </c>
      <c r="AP33" s="283">
        <v>-20000</v>
      </c>
      <c r="AQ33" s="284">
        <v>-20000</v>
      </c>
      <c r="AR33" s="284">
        <v>-20000</v>
      </c>
      <c r="AS33" s="284">
        <v>-20000</v>
      </c>
      <c r="AT33" s="285">
        <v>-20000</v>
      </c>
    </row>
    <row r="34" spans="1:46" s="267" customFormat="1" ht="22.5" customHeight="1" x14ac:dyDescent="0.2">
      <c r="A34" s="253" t="str">
        <f>IF($J$40="Italiano","GENERALE:",(IF($J$40="Français","GÉNÉRALE:","GENERAL:")))</f>
        <v>GENERAL:</v>
      </c>
      <c r="B34" s="297"/>
      <c r="C34" s="281">
        <f>IF(B34&lt;&gt;"",(IF(B29="Legendary Linemen",20000,(IF(B29="Reliable Ringers",30000,(IF(B29="Mercenaries",0,40000)))))),0)</f>
        <v>0</v>
      </c>
      <c r="D34" s="503"/>
      <c r="E34" s="504"/>
      <c r="F34" s="281" t="str">
        <f>IF(B29&lt;&gt;"Legendary Linemen","ILEGAL",(IF(D34&lt;&gt;"",50000,0)))</f>
        <v>ILEGAL</v>
      </c>
      <c r="G34" s="503"/>
      <c r="H34" s="504"/>
      <c r="I34" s="281" t="str">
        <f>IF(B29&lt;&gt;"Legendary Linemen","ILEGAL",(IF(G34&lt;&gt;"",80000,0)))</f>
        <v>ILEGAL</v>
      </c>
      <c r="J34" s="503"/>
      <c r="K34" s="504"/>
      <c r="L34" s="281" t="str">
        <f>IF(B29&lt;&gt;"Legendary Linemen","ILEGAL",(IF(J34&lt;&gt;"",110000,0)))</f>
        <v>ILEGAL</v>
      </c>
      <c r="M34" s="503"/>
      <c r="N34" s="504"/>
      <c r="O34" s="281" t="str">
        <f>IF(B29&lt;&gt;"Legendary Linemen","ILEGAL",(IF(M34&lt;&gt;"",140000,0)))</f>
        <v>ILEGAL</v>
      </c>
      <c r="P34" s="503"/>
      <c r="Q34" s="504"/>
      <c r="R34" s="281" t="str">
        <f>IF(B29&lt;&gt;"Legendary Linemen","ILEGAL",(IF(P34&lt;&gt;"",170000,0)))</f>
        <v>ILEGAL</v>
      </c>
      <c r="S34" s="281">
        <f>SUM(C34,F34,I34,L34,O34,R34)</f>
        <v>0</v>
      </c>
      <c r="T34" s="521"/>
      <c r="V34" s="273" t="str">
        <f t="shared" si="4"/>
        <v/>
      </c>
      <c r="W34" s="274" t="str">
        <f t="shared" si="4"/>
        <v/>
      </c>
      <c r="X34" s="270"/>
      <c r="Y34" s="273" t="s">
        <v>1274</v>
      </c>
      <c r="Z34" s="279">
        <v>4</v>
      </c>
      <c r="AA34" s="279">
        <v>4</v>
      </c>
      <c r="AB34" s="279">
        <v>4</v>
      </c>
      <c r="AC34" s="279">
        <v>6</v>
      </c>
      <c r="AD34" s="279">
        <v>9</v>
      </c>
      <c r="AE34" s="282" t="str">
        <f>IF(((COUNTIF(AE29,"A"))+(COUNTIF(AE29,"B"))+(COUNTIF(AE29,"H"))+(COUNTIF(AE29,"I"))+(COUNTIF(AE29,"M")))=1,"Loner (5+)","Loner (4+)")</f>
        <v>Loner (4+)</v>
      </c>
      <c r="AF34" s="282" t="str">
        <f>IF(OR(AE29="H",AE29="M"),"Mighty Blow (+2)","")</f>
        <v/>
      </c>
      <c r="AG34" s="282" t="str">
        <f>""</f>
        <v/>
      </c>
      <c r="AH34" s="282" t="str">
        <f>""</f>
        <v/>
      </c>
      <c r="AI34" s="274">
        <v>70000</v>
      </c>
      <c r="AK34" s="27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7" customFormat="1" ht="22.5" customHeight="1" x14ac:dyDescent="0.2">
      <c r="A35" s="253" t="str">
        <f>IF($J$40="Italiano","FORZA:",(IF($J$40="Español","FUERZA:",(IF($J$40="Français","FORCE:","STRENGTH:")))))</f>
        <v>STRENGTH:</v>
      </c>
      <c r="B35" s="297"/>
      <c r="C35" s="281">
        <f>IF(B35&lt;&gt;"",(IF(B29="Stunty Superstar",0,(IF(B29="Reliable Ringers",50000,(IF(B29="Mercenaries",0,30000)))))),0)</f>
        <v>0</v>
      </c>
      <c r="D35" s="503"/>
      <c r="E35" s="504"/>
      <c r="F35" s="281" t="str">
        <f>IF($B$3&lt;&gt;"Brutal Blockers",(IF($B$3&lt;&gt;"Bona Fide Big Guy","ILEGAL",(IF(D35&lt;&gt;"",70000,0)))),(IF(D35&lt;&gt;"",70000,0)))</f>
        <v>ILEGAL</v>
      </c>
      <c r="G35" s="503"/>
      <c r="H35" s="504"/>
      <c r="I35" s="281" t="str">
        <f>IF($B$3&lt;&gt;"Brutal Blockers",(IF($B$3&lt;&gt;"Bona Fide Big Guy","ILEGAL",(IF(G35&lt;&gt;"",110000,0)))),(IF(G35&lt;&gt;"",110000,0)))</f>
        <v>ILEGAL</v>
      </c>
      <c r="J35" s="503"/>
      <c r="K35" s="504"/>
      <c r="L35" s="281" t="str">
        <f>IF($B$3&lt;&gt;"Brutal Blockers",(IF($B$3&lt;&gt;"Bona Fide Big Guy","ILEGAL",(IF(J35&lt;&gt;"",150000,0)))),(IF(J35&lt;&gt;"",150000,0)))</f>
        <v>ILEGAL</v>
      </c>
      <c r="M35" s="503"/>
      <c r="N35" s="504"/>
      <c r="O35" s="281" t="str">
        <f>IF($B$3&lt;&gt;"Brutal Blockers",(IF($B$3&lt;&gt;"Bona Fide Big Guy","ILEGAL",(IF(M35&lt;&gt;"",190000,0)))),(IF(M35&lt;&gt;"",190000,0)))</f>
        <v>ILEGAL</v>
      </c>
      <c r="P35" s="503"/>
      <c r="Q35" s="504"/>
      <c r="R35" s="281" t="str">
        <f>IF($B$3&lt;&gt;"Brutal Blockers",(IF($B$3&lt;&gt;"Bona Fide Big Guy","ILEGAL",(IF(P35&lt;&gt;"",230000,0)))),(IF(P35&lt;&gt;"",230000,0)))</f>
        <v>ILEGAL</v>
      </c>
      <c r="S35" s="281">
        <f t="shared" ref="S35:S38" si="5">SUM(C35,F35,I35,L35,O35,R35)</f>
        <v>0</v>
      </c>
      <c r="T35" s="521"/>
      <c r="V35" s="273" t="str">
        <f t="shared" si="4"/>
        <v/>
      </c>
      <c r="W35" s="274" t="str">
        <f t="shared" si="4"/>
        <v/>
      </c>
      <c r="X35" s="270"/>
      <c r="Y35" s="273" t="s">
        <v>1263</v>
      </c>
      <c r="Z35" s="279">
        <v>6</v>
      </c>
      <c r="AA35" s="279">
        <v>3</v>
      </c>
      <c r="AB35" s="279">
        <v>2</v>
      </c>
      <c r="AC35" s="279">
        <v>3</v>
      </c>
      <c r="AD35" s="279">
        <v>8</v>
      </c>
      <c r="AE35" s="282" t="str">
        <f>IF(((COUNTIF(AE29,"A"))+(COUNTIF(AE29,"B"))+(COUNTIF(AE29,"H"))+(COUNTIF(AE29,"I"))+(COUNTIF(AE29,"M")))=1,"Loner (5+)","Loner (4+)")</f>
        <v>Loner (4+)</v>
      </c>
      <c r="AF35" s="282" t="str">
        <f>""</f>
        <v/>
      </c>
      <c r="AG35" s="282" t="str">
        <f>""</f>
        <v/>
      </c>
      <c r="AH35" s="282" t="str">
        <f>""</f>
        <v/>
      </c>
      <c r="AI35" s="274">
        <v>70000</v>
      </c>
    </row>
    <row r="36" spans="1:46" s="267" customFormat="1" ht="22.5" customHeight="1" x14ac:dyDescent="0.2">
      <c r="A36" s="253" t="str">
        <f>IF($J$40="Italiano","AGILITÀ:",(IF($J$40="Español","AGILIDAD:",(IF($J$40="Deutsch","AGILITÄT:",(IF($J$40="Français","AGILITÉ:","AGILITY:")))))))</f>
        <v>AGILITY:</v>
      </c>
      <c r="B36" s="297"/>
      <c r="C36" s="281">
        <f>IF(B36&lt;&gt;"",(IF(B29="Stunty Superstar",10000,(IF(B29="Brutal Blockers",40000,(IF(OR(B29="Mercenaries",B29="Bona Fide Big Guy"),0,30000)))))),0)</f>
        <v>0</v>
      </c>
      <c r="D36" s="503"/>
      <c r="E36" s="504"/>
      <c r="F36" s="281" t="str">
        <f>IF($B$3&lt;&gt;"Stunty Superstar",(IF($B$3&lt;&gt;"Reliable Ringers","ILEGAL",(IF(D36&lt;&gt;"",70000,0)))),(IF(D36&lt;&gt;"",30000,0)))</f>
        <v>ILEGAL</v>
      </c>
      <c r="G36" s="503"/>
      <c r="H36" s="504"/>
      <c r="I36" s="281" t="str">
        <f>IF($B$3&lt;&gt;"Stunty Superstar",(IF($B$3&lt;&gt;"Reliable Ringers","ILEGAL",(IF(G36&lt;&gt;"",110000,0)))),(IF(G36&lt;&gt;"",50000,0)))</f>
        <v>ILEGAL</v>
      </c>
      <c r="J36" s="503"/>
      <c r="K36" s="504"/>
      <c r="L36" s="281" t="str">
        <f>IF($B$3&lt;&gt;"Stunty Superstar",(IF($B$3&lt;&gt;"Reliable Ringers","ILEGAL",(IF(J36&lt;&gt;"",150000,0)))),(IF(J36&lt;&gt;"",70000,0)))</f>
        <v>ILEGAL</v>
      </c>
      <c r="M36" s="503"/>
      <c r="N36" s="504"/>
      <c r="O36" s="281" t="str">
        <f>IF($B$3&lt;&gt;"Stunty Superstar",(IF($B$3&lt;&gt;"Reliable Ringers","ILEGAL",(IF(M36&lt;&gt;"",190000,0)))),(IF(M36&lt;&gt;"",90000,0)))</f>
        <v>ILEGAL</v>
      </c>
      <c r="P36" s="503"/>
      <c r="Q36" s="504"/>
      <c r="R36" s="281" t="str">
        <f>IF($B$3&lt;&gt;"Stunty Superstar",(IF($B$3&lt;&gt;"Reliable Ringers","ILEGAL",(IF(P36&lt;&gt;"",230000,0)))),(IF(P36&lt;&gt;"",110000,0)))</f>
        <v>ILEGAL</v>
      </c>
      <c r="S36" s="281">
        <f t="shared" si="5"/>
        <v>0</v>
      </c>
      <c r="T36" s="521"/>
      <c r="V36" s="275" t="str">
        <f t="shared" si="4"/>
        <v/>
      </c>
      <c r="W36" s="285" t="str">
        <f t="shared" si="4"/>
        <v/>
      </c>
      <c r="X36" s="270"/>
      <c r="Y36" s="275" t="s">
        <v>1275</v>
      </c>
      <c r="Z36" s="284">
        <v>4</v>
      </c>
      <c r="AA36" s="284">
        <v>5</v>
      </c>
      <c r="AB36" s="284">
        <v>4</v>
      </c>
      <c r="AC36" s="284">
        <v>5</v>
      </c>
      <c r="AD36" s="284">
        <v>9</v>
      </c>
      <c r="AE36" s="276" t="str">
        <f>IF(((COUNTIF(AE29,"A"))+(COUNTIF(AE29,"B"))+(COUNTIF(AE29,"H"))+(COUNTIF(AE29,"I"))+(COUNTIF(AE29,"M")))=1,"Loner (5+)","Loner (4+)")</f>
        <v>Loner (4+)</v>
      </c>
      <c r="AF36" s="276" t="str">
        <f>IF(OR(AE29="J",AE29="K",AE29="L",AE29="M",AE29="N"),"","Bone Head")</f>
        <v>Bone Head</v>
      </c>
      <c r="AG36" s="276" t="str">
        <f>IF(OR(AE29="H",AE29="M"),"Mighty Blow (+2)","Mighty Blow (+1)")</f>
        <v>Mighty Blow (+1)</v>
      </c>
      <c r="AH36" s="276" t="str">
        <f>IF(OR(AE29="K",AE29="L"),"","Throw Team Mate")</f>
        <v>Throw Team Mate</v>
      </c>
      <c r="AI36" s="285">
        <v>130000</v>
      </c>
    </row>
    <row r="37" spans="1:46" s="267" customFormat="1" ht="22.5" customHeight="1" x14ac:dyDescent="0.2">
      <c r="A37" s="253" t="str">
        <f>IF($J$40="Español","PASE:",(IF($J$40="Français","PASSER:","PASS:")))</f>
        <v>PASS:</v>
      </c>
      <c r="B37" s="297"/>
      <c r="C37" s="281">
        <f>IF(B37&lt;&gt;"",(IF(B29="Mercenaries",0,(IF(OR(B29="Reliable Ringers",B29="Bona Fide Big Guy"),30000,20000)))),0)</f>
        <v>0</v>
      </c>
      <c r="D37" s="503"/>
      <c r="E37" s="504"/>
      <c r="F37" s="281" t="s">
        <v>1264</v>
      </c>
      <c r="G37" s="503"/>
      <c r="H37" s="504"/>
      <c r="I37" s="281" t="s">
        <v>1264</v>
      </c>
      <c r="J37" s="503"/>
      <c r="K37" s="504"/>
      <c r="L37" s="281" t="s">
        <v>1264</v>
      </c>
      <c r="M37" s="503"/>
      <c r="N37" s="504"/>
      <c r="O37" s="281" t="s">
        <v>1264</v>
      </c>
      <c r="P37" s="503"/>
      <c r="Q37" s="504"/>
      <c r="R37" s="281" t="s">
        <v>1264</v>
      </c>
      <c r="S37" s="281">
        <f t="shared" si="5"/>
        <v>0</v>
      </c>
      <c r="T37" s="521"/>
      <c r="V37" s="270"/>
      <c r="W37" s="270"/>
      <c r="X37" s="270"/>
      <c r="Y37" s="270"/>
      <c r="Z37" s="270"/>
      <c r="AA37" s="270"/>
      <c r="AB37" s="270"/>
      <c r="AC37" s="270"/>
      <c r="AD37" s="270"/>
      <c r="AE37" s="270"/>
      <c r="AF37" s="270"/>
      <c r="AG37" s="270"/>
      <c r="AH37" s="270"/>
      <c r="AI37" s="270"/>
    </row>
    <row r="38" spans="1:46" s="267" customFormat="1" ht="22.5" customHeight="1" x14ac:dyDescent="0.2">
      <c r="A38" s="254" t="str">
        <f>IF($J$40="Italiano","MUTAZIONE:",(IF($J$40="Español","MUTACIÓN:","MUTATION:")))</f>
        <v>MUTATION:</v>
      </c>
      <c r="B38" s="297"/>
      <c r="C38" s="281">
        <f>IF(B29="Stunty Superstar","ILEGAL",(IF(B38&lt;&gt;"",(IF(B29="Mercenaries",0,(IF(OR(B29="Brutal Blockers",B29="Bona Fide Big Guy"),40000,IF(B29="Legendary Linemen",30000,(IF(B38="Big Hand",30000,(IF(B38="Extra Arms",20000,(IF(B38="Two Heads",30000,(IF(B38="Very Long Legs",30000,0))))))))))))),0)))</f>
        <v>0</v>
      </c>
      <c r="D38" s="503"/>
      <c r="E38" s="504"/>
      <c r="F38" s="281" t="str">
        <f>IF(OR($B$3="Stunty Superstar",$B$3="Brutal Blockers",$B$3="Bona Fide Big Guy",$B$3="Mercenaries"),"ILEGAL",(IF(D38&lt;&gt;"",(IF($B$3="Legendary Linemen",70000,(IF(D38="Big Hand",30000,(IF(D38="Extra Arms",20000,(IF(D38="Two Heads",30000,(IF(D38="Very Long Legs",30000,"ILEGAL")))))))))),0)))</f>
        <v>ILEGAL</v>
      </c>
      <c r="G38" s="503"/>
      <c r="H38" s="504"/>
      <c r="I38" s="281" t="str">
        <f>IF(OR($B$3="Stunty Superstar",$B$3="Brutal Blockers",$B$3="Bona Fide Big Guy",$B$3="Mercenaries"),"ILEGAL",(IF(G38&lt;&gt;"",(IF($B$3="Legendary Linemen",110000,(IF(G38="Big Hand",30000,(IF(G38="Extra Arms",20000,(IF(G38="Two Heads",30000,(IF(G38="Very Long Legs",30000,0)))))))))),0)))</f>
        <v>ILEGAL</v>
      </c>
      <c r="J38" s="503"/>
      <c r="K38" s="504"/>
      <c r="L38" s="281" t="str">
        <f>IF(OR($B$3="Stunty Superstar",$B$3="Brutal Blockers",$B$3="Bona Fide Big Guy",$B$3="Mercenaries"),"ILEGAL",(IF(J38&lt;&gt;"",(IF($B$3="Legendary Linemen",150000,(IF(J38="Big Hand",30000,(IF(J38="Extra Arms",20000,(IF(J38="Two Heads",30000,(IF(J38="Very Long Legs",30000,0)))))))))),0)))</f>
        <v>ILEGAL</v>
      </c>
      <c r="M38" s="503"/>
      <c r="N38" s="504"/>
      <c r="O38" s="281" t="str">
        <f>IF(B29&lt;&gt;"Legendary Linemen","ILEGAL",(IF(M38&lt;&gt;"",190000,0)))</f>
        <v>ILEGAL</v>
      </c>
      <c r="P38" s="503"/>
      <c r="Q38" s="504"/>
      <c r="R38" s="281" t="str">
        <f>IF(B29&lt;&gt;"Legendary Linemen","ILEGAL",(IF(P38&lt;&gt;"",230000,0)))</f>
        <v>ILEGAL</v>
      </c>
      <c r="S38" s="281">
        <f t="shared" si="5"/>
        <v>0</v>
      </c>
      <c r="T38" s="521"/>
      <c r="V38" s="286" t="s">
        <v>1266</v>
      </c>
      <c r="W38" s="287">
        <f>SUM(Y38:AI38)</f>
        <v>0</v>
      </c>
      <c r="X38" s="287"/>
      <c r="Y38" s="287">
        <f>IF(K32="ILEGAL",0,K32)</f>
        <v>0</v>
      </c>
      <c r="Z38" s="287">
        <f>IF(M32="ILEGAL",0,M32)</f>
        <v>0</v>
      </c>
      <c r="AA38" s="287">
        <f>IF(O32="ILEGAL",0,O32)</f>
        <v>0</v>
      </c>
      <c r="AB38" s="287">
        <f>IF(Q32="ILEGAL",0,Q32)</f>
        <v>0</v>
      </c>
      <c r="AC38" s="287">
        <f>IF(S32="ILEGAL",0,S32)</f>
        <v>0</v>
      </c>
      <c r="AD38" s="287">
        <f>I32</f>
        <v>0</v>
      </c>
      <c r="AE38" s="287">
        <f>S34</f>
        <v>0</v>
      </c>
      <c r="AF38" s="287">
        <f>S35</f>
        <v>0</v>
      </c>
      <c r="AG38" s="287">
        <f>S36</f>
        <v>0</v>
      </c>
      <c r="AH38" s="287">
        <f>S37</f>
        <v>0</v>
      </c>
      <c r="AI38" s="288">
        <f>S38</f>
        <v>0</v>
      </c>
    </row>
    <row r="39" spans="1:46" ht="15" customHeight="1" x14ac:dyDescent="0.2">
      <c r="A39" s="521"/>
      <c r="B39" s="521"/>
      <c r="C39" s="521"/>
      <c r="D39" s="521"/>
      <c r="E39" s="521"/>
      <c r="F39" s="521"/>
      <c r="G39" s="521"/>
      <c r="H39" s="521"/>
      <c r="I39" s="521"/>
      <c r="J39" s="521"/>
      <c r="K39" s="521"/>
      <c r="L39" s="521"/>
      <c r="M39" s="521"/>
      <c r="N39" s="521"/>
      <c r="O39" s="521"/>
      <c r="P39" s="521"/>
      <c r="Q39" s="521"/>
      <c r="R39" s="521"/>
      <c r="S39" s="521"/>
      <c r="T39" s="521"/>
      <c r="W39" s="265"/>
      <c r="X39" s="265"/>
      <c r="Y39" s="265"/>
    </row>
    <row r="40" spans="1:46" ht="12.75" hidden="1" customHeight="1" x14ac:dyDescent="0.2">
      <c r="W40" s="265"/>
      <c r="X40" s="265"/>
      <c r="Y40" s="265"/>
    </row>
    <row r="41" spans="1:46" ht="12.75" hidden="1" customHeight="1" x14ac:dyDescent="0.2">
      <c r="C41" s="507" t="s">
        <v>1276</v>
      </c>
      <c r="D41" s="508"/>
      <c r="F41" s="507" t="s">
        <v>1277</v>
      </c>
      <c r="G41" s="508"/>
      <c r="I41" s="507" t="s">
        <v>1278</v>
      </c>
      <c r="J41" s="508"/>
      <c r="L41" s="507" t="s">
        <v>1279</v>
      </c>
      <c r="M41" s="508"/>
      <c r="N41" s="291"/>
      <c r="O41" s="507" t="s">
        <v>1280</v>
      </c>
      <c r="P41" s="508"/>
      <c r="R41" s="282" t="s">
        <v>1281</v>
      </c>
      <c r="S41" s="282" t="s">
        <v>197</v>
      </c>
      <c r="T41" s="282" t="s">
        <v>1282</v>
      </c>
      <c r="U41" s="282" t="s">
        <v>1283</v>
      </c>
      <c r="V41" s="282" t="str">
        <f>""</f>
        <v/>
      </c>
      <c r="W41" s="282" t="str">
        <f>""</f>
        <v/>
      </c>
      <c r="X41" s="282" t="str">
        <f>""</f>
        <v/>
      </c>
      <c r="Y41" s="265"/>
    </row>
    <row r="42" spans="1:46" ht="12.75" hidden="1" customHeight="1" x14ac:dyDescent="0.2">
      <c r="A42" s="292"/>
      <c r="B42" s="293"/>
      <c r="C42" s="273"/>
      <c r="D42" s="274">
        <v>0</v>
      </c>
      <c r="E42" s="279"/>
      <c r="F42" s="273"/>
      <c r="G42" s="274">
        <v>0</v>
      </c>
      <c r="H42" s="279"/>
      <c r="I42" s="273"/>
      <c r="J42" s="274">
        <v>0</v>
      </c>
      <c r="K42" s="279"/>
      <c r="L42" s="273"/>
      <c r="M42" s="274">
        <v>0</v>
      </c>
      <c r="N42" s="279"/>
      <c r="O42" s="273"/>
      <c r="P42" s="274">
        <v>0</v>
      </c>
      <c r="R42" s="282" t="s">
        <v>1284</v>
      </c>
      <c r="S42" s="282" t="s">
        <v>1285</v>
      </c>
      <c r="T42" s="282" t="s">
        <v>1286</v>
      </c>
      <c r="U42" s="282" t="s">
        <v>1283</v>
      </c>
      <c r="V42" s="282" t="str">
        <f>""</f>
        <v/>
      </c>
      <c r="W42" s="282" t="str">
        <f>""</f>
        <v/>
      </c>
      <c r="X42" s="282" t="str">
        <f>""</f>
        <v/>
      </c>
      <c r="Y42" s="265"/>
    </row>
    <row r="43" spans="1:46" ht="12.75" hidden="1" customHeight="1" x14ac:dyDescent="0.2">
      <c r="A43" s="292"/>
      <c r="B43" s="274"/>
      <c r="C43" s="273" t="str">
        <f>IF(Roster!BV2&lt;&gt;"SylvanianSpotlight",(IF(Roster!BV2&lt;&gt;"ElvenKingdomsLeague",(IF(Roster!BV2&lt;&gt;"Favouredof","Dirty Player (+1), Sneaky Git, Loner (5+)","")),"")),"")</f>
        <v>Dirty Player (+1), Sneaky Git, Loner (5+)</v>
      </c>
      <c r="D43" s="274">
        <v>50000</v>
      </c>
      <c r="E43" s="279"/>
      <c r="F43" s="273" t="s">
        <v>1281</v>
      </c>
      <c r="G43" s="274">
        <v>70000</v>
      </c>
      <c r="H43" s="279"/>
      <c r="I43" s="273" t="str">
        <f>IF(Roster!BV2&lt;&gt;"Favouredof",(IF(Roster!BV2&lt;&gt;"ElvenKingdomsLeague",(IF(Roster!BV2&lt;&gt;"SylvanianSpotlight",(IF(Roster!BV2&lt;&gt;"UnderworldChallenge","Dirty Player (+1), Sneaky Git, Loner (5+)","")),"")),"")),"")</f>
        <v>Dirty Player (+1), Sneaky Git, Loner (5+)</v>
      </c>
      <c r="J43" s="274">
        <v>70000</v>
      </c>
      <c r="K43" s="279"/>
      <c r="L43" s="273" t="str">
        <f>IF(Roster!BV2&lt;&gt;"LustrianSuperleague",(IF(Roster!BV2&lt;&gt;"BadlandsBrawl",(IF(Roster!BV2&lt;&gt;"OldWorldClassicWorldsEdgeSuperleague",(IF(Roster!BV2&lt;&gt;"OldWorldClassic",(IF(Roster!BV2&lt;&gt;"LustrianSuperleagueOldWorldClassic",(IF(Roster!BV2&lt;&gt;"BadlandsBrawlOldWorldClassic","Hypnotic Gaze, Loner (5+)","")),"")),"")),"")),"")),"")</f>
        <v/>
      </c>
      <c r="M43" s="274">
        <v>70000</v>
      </c>
      <c r="N43" s="279"/>
      <c r="O43" s="273" t="s">
        <v>1288</v>
      </c>
      <c r="P43" s="274">
        <v>-10000</v>
      </c>
      <c r="R43" s="282" t="s">
        <v>1289</v>
      </c>
      <c r="S43" s="282" t="s">
        <v>1290</v>
      </c>
      <c r="T43" s="282" t="s">
        <v>455</v>
      </c>
      <c r="U43" s="282" t="s">
        <v>1291</v>
      </c>
      <c r="V43" s="282" t="str">
        <f>""</f>
        <v/>
      </c>
      <c r="W43" s="282" t="str">
        <f>""</f>
        <v/>
      </c>
      <c r="X43" s="282" t="str">
        <f>""</f>
        <v/>
      </c>
      <c r="Y43" s="265"/>
    </row>
    <row r="44" spans="1:46" ht="12.75" hidden="1" customHeight="1" x14ac:dyDescent="0.2">
      <c r="A44" s="292"/>
      <c r="B44" s="274"/>
      <c r="C44" s="273"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
      </c>
      <c r="D44" s="274">
        <v>80000</v>
      </c>
      <c r="E44" s="294"/>
      <c r="F44" s="273" t="str">
        <f>IF(Roster!BV2&lt;&gt;"LustrianSuperleague",(IF(Roster!BV2&lt;&gt;"ElvenKingdomsLeague","Dirty Player (+2), Sneaky Git, Loner (5+)","")),"")</f>
        <v/>
      </c>
      <c r="G44" s="274">
        <v>90000</v>
      </c>
      <c r="H44" s="294"/>
      <c r="I44" s="273"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
      </c>
      <c r="J44" s="274">
        <v>100000</v>
      </c>
      <c r="K44" s="294"/>
      <c r="L44" s="273"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
      </c>
      <c r="M44" s="274">
        <v>20000</v>
      </c>
      <c r="N44" s="294"/>
      <c r="O44" s="273" t="str">
        <f>IF(Roster!BV2&lt;&gt;"LustrianSuperleague",(IF(Roster!BV2&lt;&gt;"ElvenKingdomsLeague",(IF(Roster!BV2&lt;&gt;"SylvanianSpotlight","Frenzy, Unchannelled Fury, Horns, -Throw Team Mate, -Bone Head","")),"")),"")</f>
        <v/>
      </c>
      <c r="P44" s="274">
        <v>20000</v>
      </c>
      <c r="R44" s="282" t="s">
        <v>1292</v>
      </c>
      <c r="S44" s="282" t="s">
        <v>1294</v>
      </c>
      <c r="T44" s="282" t="s">
        <v>1295</v>
      </c>
      <c r="U44" s="282" t="s">
        <v>1291</v>
      </c>
      <c r="V44" s="282" t="str">
        <f>""</f>
        <v/>
      </c>
      <c r="W44" s="282" t="str">
        <f>""</f>
        <v/>
      </c>
      <c r="X44" s="282" t="str">
        <f>""</f>
        <v/>
      </c>
      <c r="Y44" s="265"/>
    </row>
    <row r="45" spans="1:46" ht="12.75" hidden="1" customHeight="1" x14ac:dyDescent="0.2">
      <c r="A45" s="292"/>
      <c r="B45" s="274"/>
      <c r="C45" s="273" t="str">
        <f>IF(Roster!BV2&lt;&gt;"LustrianSuperleague",(IF(Roster!BV2&lt;&gt;"ElvenKingdomsLeague",(IF(Roster!BV2&lt;&gt;"Favouredof","Bombardier, Secret Weapon","")),"")),"")</f>
        <v/>
      </c>
      <c r="D45" s="274">
        <v>40000</v>
      </c>
      <c r="E45" s="279"/>
      <c r="F45" s="273" t="str">
        <f>IF(Roster!BV2&lt;&gt;"LustrianSuperleague",(IF(Roster!BV2&lt;&gt;"ElvenKingdomsLeague","Bombardier, Secret Weapon","")),"")</f>
        <v/>
      </c>
      <c r="G45" s="274">
        <v>40000</v>
      </c>
      <c r="H45" s="279"/>
      <c r="I45" s="273" t="str">
        <f>IF(Roster!BV2&lt;&gt;"ElvenKingdomsLeague",(IF(Roster!BV2&lt;&gt;"UnderworldChallenge","Mighty Blow (+2), Loner (5+)","")),"")</f>
        <v>Mighty Blow (+2), Loner (5+)</v>
      </c>
      <c r="J45" s="274">
        <v>70000</v>
      </c>
      <c r="K45" s="279"/>
      <c r="L45" s="273" t="str">
        <f>""</f>
        <v/>
      </c>
      <c r="M45" s="274">
        <v>0</v>
      </c>
      <c r="N45" s="279"/>
      <c r="O45" s="295" t="str">
        <f>IF(Roster!BV2&lt;&gt;"OldWorldClassicWorldsEdgeSuperleague",(IF(Roster!BV2&lt;&gt;"ElvenKingdomsLeague",(IF(Roster!BV2&lt;&gt;"HalflingThimbleCupOldWorldClassic",(IF(Roster!BV2&lt;&gt;"OldWorldClassic","Frenzy, Animal Savagery, Claw, Prehensile Tail, -Throw Team Mate, -Bone Head","")),"")),"")),"")</f>
        <v>Frenzy, Animal Savagery, Claw, Prehensile Tail, -Throw Team Mate, -Bone Head</v>
      </c>
      <c r="P45" s="274">
        <v>20000</v>
      </c>
      <c r="R45" s="282" t="s">
        <v>1298</v>
      </c>
      <c r="S45" s="282" t="s">
        <v>1299</v>
      </c>
      <c r="T45" s="282" t="s">
        <v>1300</v>
      </c>
      <c r="U45" s="282" t="s">
        <v>1301</v>
      </c>
      <c r="V45" s="282" t="s">
        <v>1291</v>
      </c>
      <c r="W45" s="282" t="str">
        <f>""</f>
        <v/>
      </c>
      <c r="X45" s="282" t="str">
        <f>""</f>
        <v/>
      </c>
      <c r="Y45" s="265"/>
    </row>
    <row r="46" spans="1:46" ht="12.75" hidden="1" customHeight="1" x14ac:dyDescent="0.2">
      <c r="A46" s="292"/>
      <c r="B46" s="274"/>
      <c r="C46" s="273" t="str">
        <f>IF(Roster!BV2&lt;&gt;"ElvenKingdomsLeague",(IF(Roster!BV2&lt;&gt;"Favouredof","Stab, Secret Weapon","")),"")</f>
        <v>Stab, Secret Weapon</v>
      </c>
      <c r="D46" s="274">
        <v>20000</v>
      </c>
      <c r="E46" s="279"/>
      <c r="F46" s="273" t="str">
        <f>IF(Roster!BV2&lt;&gt;"Favouredof","Stab, Secret Weapon","")</f>
        <v>Stab, Secret Weapon</v>
      </c>
      <c r="G46" s="274">
        <v>20000</v>
      </c>
      <c r="H46" s="279"/>
      <c r="I46" s="273" t="str">
        <f>IF(Roster!BV2&lt;&gt;"ElvenKingdomsLeague",(IF(Roster!BV2&lt;&gt;"Favouredof","Stab, Secret Weapon","")),"")</f>
        <v>Stab, Secret Weapon</v>
      </c>
      <c r="J46" s="274">
        <v>20000</v>
      </c>
      <c r="K46" s="279"/>
      <c r="L46" s="273" t="str">
        <f>""</f>
        <v/>
      </c>
      <c r="M46" s="274">
        <v>0</v>
      </c>
      <c r="N46" s="279"/>
      <c r="O46" s="273" t="s">
        <v>1302</v>
      </c>
      <c r="P46" s="274">
        <v>50000</v>
      </c>
      <c r="R46" s="282" t="s">
        <v>1303</v>
      </c>
      <c r="S46" s="282" t="s">
        <v>1304</v>
      </c>
      <c r="T46" s="282" t="s">
        <v>1303</v>
      </c>
      <c r="U46" s="282" t="str">
        <f>""</f>
        <v/>
      </c>
      <c r="V46" s="282" t="str">
        <f>""</f>
        <v/>
      </c>
      <c r="W46" s="282" t="str">
        <f>""</f>
        <v/>
      </c>
      <c r="X46" s="282" t="str">
        <f>""</f>
        <v/>
      </c>
      <c r="Y46" s="265"/>
    </row>
    <row r="47" spans="1:46" ht="12.75" hidden="1" customHeight="1" x14ac:dyDescent="0.2">
      <c r="A47" s="292"/>
      <c r="B47" s="274"/>
      <c r="C47" s="273" t="str">
        <f>IF(Roster!BV2&lt;&gt;"ElvenKingdomsLeague",(IF(Roster!BV2&lt;&gt;"Favouredof","Chainsaw, No Hands, Secret Weapon","")),"")</f>
        <v>Chainsaw, No Hands, Secret Weapon</v>
      </c>
      <c r="D47" s="274">
        <v>70000</v>
      </c>
      <c r="E47" s="267"/>
      <c r="F47" s="273" t="s">
        <v>1298</v>
      </c>
      <c r="G47" s="274">
        <v>70000</v>
      </c>
      <c r="H47" s="267"/>
      <c r="I47" s="273" t="str">
        <f>IF(Roster!BV2&lt;&gt;"LustrianSuperleague",(IF(Roster!BV2&lt;&gt;"ElvenKingdomsLeague",(IF(Roster!BV2&lt;&gt;"HalflingThimbleCupOldWorldClassic",(IF(Roster!BV2&lt;&gt;"OldWorldClassic",(IF(Roster!BV2&lt;&gt;"LustrianSuperleagueOldWorldClassic","Ball &amp; Chain, Secret Weapon, No Hands, +2ST, -1MA","")),"")),"")),"")),"")</f>
        <v/>
      </c>
      <c r="J47" s="274">
        <v>90000</v>
      </c>
      <c r="K47" s="267"/>
      <c r="L47" s="273" t="str">
        <f>""</f>
        <v/>
      </c>
      <c r="M47" s="274">
        <v>0</v>
      </c>
      <c r="N47" s="267"/>
      <c r="O47" s="273" t="str">
        <f>IF(Roster!BV2&lt;&gt;"SylvanianSpotlight",(IF(Roster!BV2&lt;&gt;"ElvenKingdomsLeague","Ball &amp; Chain, No hands, Really Stupid, Secret Weapon, +2ST, -Bone Head, -1MA","")),"")</f>
        <v>Ball &amp; Chain, No hands, Really Stupid, Secret Weapon, +2ST, -Bone Head, -1MA</v>
      </c>
      <c r="P47" s="274">
        <v>80000</v>
      </c>
      <c r="R47" s="282" t="s">
        <v>1307</v>
      </c>
      <c r="S47" s="282" t="s">
        <v>196</v>
      </c>
      <c r="T47" s="282" t="s">
        <v>1308</v>
      </c>
      <c r="U47" s="282" t="s">
        <v>1291</v>
      </c>
      <c r="V47" s="282" t="s">
        <v>1301</v>
      </c>
      <c r="W47" s="282" t="str">
        <f>""</f>
        <v/>
      </c>
      <c r="X47" s="282" t="str">
        <f>"+3ST, -2MA"</f>
        <v>+3ST, -2MA</v>
      </c>
      <c r="Y47" s="265"/>
    </row>
    <row r="48" spans="1:46" ht="12.75" hidden="1" customHeight="1" x14ac:dyDescent="0.2">
      <c r="A48" s="292"/>
      <c r="B48" s="274"/>
      <c r="C48" s="273" t="str">
        <f>IF(Roster!BV2&lt;&gt;"OldWorldClassic",(IF(Roster!BV2&lt;&gt;"ElvenKingdomsLeague",(IF(Roster!BV2&lt;&gt;"Favouredof",(IF(Roster!BV2&lt;&gt;"OldWorldClassicWorldsEdgeSuperleague","Pogo Stick","")),"")),"")),"")</f>
        <v>Pogo Stick</v>
      </c>
      <c r="D48" s="274">
        <v>50000</v>
      </c>
      <c r="E48" s="296"/>
      <c r="F48" s="273" t="str">
        <f>""</f>
        <v/>
      </c>
      <c r="G48" s="274">
        <v>0</v>
      </c>
      <c r="H48" s="296"/>
      <c r="I48" s="273"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
      </c>
      <c r="J48" s="274">
        <v>70000</v>
      </c>
      <c r="K48" s="296"/>
      <c r="L48" s="273" t="str">
        <f>""</f>
        <v/>
      </c>
      <c r="M48" s="274">
        <v>0</v>
      </c>
      <c r="N48" s="296"/>
      <c r="O48" s="273" t="str">
        <f>""</f>
        <v/>
      </c>
      <c r="P48" s="274">
        <v>0</v>
      </c>
      <c r="R48" s="282" t="s">
        <v>1305</v>
      </c>
      <c r="S48" s="282" t="s">
        <v>1309</v>
      </c>
      <c r="T48" s="282" t="s">
        <v>1308</v>
      </c>
      <c r="U48" s="282" t="s">
        <v>1291</v>
      </c>
      <c r="V48" s="282" t="s">
        <v>1301</v>
      </c>
      <c r="W48" s="282" t="str">
        <f>""</f>
        <v/>
      </c>
      <c r="X48" s="282" t="str">
        <f>"+2ST, -1MA"</f>
        <v>+2ST, -1MA</v>
      </c>
      <c r="Y48" s="265"/>
    </row>
    <row r="49" spans="1:25" ht="12.75" hidden="1" customHeight="1" x14ac:dyDescent="0.2">
      <c r="A49" s="292"/>
      <c r="B49" s="274"/>
      <c r="C49" s="275"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
      </c>
      <c r="D49" s="285">
        <v>70000</v>
      </c>
      <c r="E49" s="296"/>
      <c r="F49" s="275" t="str">
        <f>""</f>
        <v/>
      </c>
      <c r="G49" s="285">
        <v>0</v>
      </c>
      <c r="H49" s="296"/>
      <c r="I49" s="275" t="str">
        <f>""</f>
        <v/>
      </c>
      <c r="J49" s="285">
        <v>0</v>
      </c>
      <c r="K49" s="296"/>
      <c r="L49" s="275" t="str">
        <f>""</f>
        <v/>
      </c>
      <c r="M49" s="285">
        <v>0</v>
      </c>
      <c r="N49" s="296"/>
      <c r="O49" s="275" t="str">
        <f>""</f>
        <v/>
      </c>
      <c r="P49" s="285">
        <v>0</v>
      </c>
      <c r="R49" s="282" t="s">
        <v>1296</v>
      </c>
      <c r="S49" s="282" t="s">
        <v>1310</v>
      </c>
      <c r="T49" s="282" t="str">
        <f>""</f>
        <v/>
      </c>
      <c r="U49" s="282" t="str">
        <f>""</f>
        <v/>
      </c>
      <c r="V49" s="282" t="str">
        <f>""</f>
        <v/>
      </c>
      <c r="W49" s="282" t="str">
        <f>""</f>
        <v/>
      </c>
      <c r="X49" s="282" t="str">
        <f>""</f>
        <v/>
      </c>
      <c r="Y49" s="265"/>
    </row>
    <row r="50" spans="1:25" ht="12.75" hidden="1" customHeight="1" x14ac:dyDescent="0.2">
      <c r="A50" s="292"/>
      <c r="D50" s="267"/>
      <c r="E50" s="267"/>
      <c r="F50" s="267"/>
      <c r="G50" s="267"/>
      <c r="H50" s="267"/>
      <c r="R50" s="282" t="s">
        <v>1287</v>
      </c>
      <c r="S50" s="282" t="s">
        <v>1311</v>
      </c>
      <c r="T50" s="282" t="s">
        <v>1312</v>
      </c>
      <c r="U50" s="282" t="str">
        <f>""</f>
        <v/>
      </c>
      <c r="V50" s="282" t="str">
        <f>""</f>
        <v/>
      </c>
      <c r="W50" s="282" t="str">
        <f>""</f>
        <v/>
      </c>
      <c r="X50" s="282" t="str">
        <f>""</f>
        <v/>
      </c>
      <c r="Y50" s="265"/>
    </row>
    <row r="51" spans="1:25" ht="12.75" hidden="1" customHeight="1" x14ac:dyDescent="0.2">
      <c r="A51" s="292"/>
      <c r="Q51" s="267"/>
      <c r="R51" s="282" t="s">
        <v>1288</v>
      </c>
      <c r="S51" s="282" t="s">
        <v>1315</v>
      </c>
      <c r="T51" s="282" t="s">
        <v>1316</v>
      </c>
      <c r="U51" s="282" t="s">
        <v>1317</v>
      </c>
      <c r="V51" s="282" t="s">
        <v>1318</v>
      </c>
      <c r="W51" s="282" t="s">
        <v>579</v>
      </c>
      <c r="X51" s="282" t="str">
        <f>" -Bone Head, +1AG"</f>
        <v xml:space="preserve"> -Bone Head, +1AG</v>
      </c>
      <c r="Y51" s="265"/>
    </row>
    <row r="52" spans="1:25" ht="12.75" hidden="1" customHeight="1" x14ac:dyDescent="0.2">
      <c r="A52" s="292"/>
      <c r="Q52" s="267"/>
      <c r="R52" s="282" t="s">
        <v>1293</v>
      </c>
      <c r="S52" s="282" t="s">
        <v>1319</v>
      </c>
      <c r="T52" s="282" t="s">
        <v>388</v>
      </c>
      <c r="U52" s="282" t="s">
        <v>1320</v>
      </c>
      <c r="V52" s="282" t="s">
        <v>315</v>
      </c>
      <c r="W52" s="282" t="str">
        <f>""</f>
        <v/>
      </c>
      <c r="X52" s="282" t="str">
        <f>"-Throw Team Mate, -Bone Head"</f>
        <v>-Throw Team Mate, -Bone Head</v>
      </c>
      <c r="Y52" s="265"/>
    </row>
    <row r="53" spans="1:25" ht="12.75" hidden="1" customHeight="1" x14ac:dyDescent="0.2">
      <c r="A53" s="292"/>
      <c r="Q53" s="267"/>
      <c r="R53" s="282" t="s">
        <v>1297</v>
      </c>
      <c r="S53" s="282" t="s">
        <v>1321</v>
      </c>
      <c r="T53" s="282" t="s">
        <v>388</v>
      </c>
      <c r="U53" s="282" t="s">
        <v>1322</v>
      </c>
      <c r="V53" s="282" t="s">
        <v>1323</v>
      </c>
      <c r="W53" s="282" t="s">
        <v>1324</v>
      </c>
      <c r="X53" s="282" t="str">
        <f>"-Throw Team Mate, -Bone Head"</f>
        <v>-Throw Team Mate, -Bone Head</v>
      </c>
      <c r="Y53" s="265"/>
    </row>
    <row r="54" spans="1:25" ht="12.75" hidden="1" customHeight="1" x14ac:dyDescent="0.2">
      <c r="A54" s="292"/>
      <c r="Q54" s="267"/>
      <c r="R54" s="282" t="s">
        <v>1302</v>
      </c>
      <c r="S54" s="282" t="s">
        <v>200</v>
      </c>
      <c r="T54" s="282" t="str">
        <f>""</f>
        <v/>
      </c>
      <c r="U54" s="282" t="str">
        <f>""</f>
        <v/>
      </c>
      <c r="V54" s="282" t="str">
        <f>""</f>
        <v/>
      </c>
      <c r="W54" s="282" t="str">
        <f>""</f>
        <v/>
      </c>
      <c r="X54" s="282" t="str">
        <f>"-Bone Head"</f>
        <v>-Bone Head</v>
      </c>
      <c r="Y54" s="265"/>
    </row>
    <row r="55" spans="1:25" ht="12.75" hidden="1" customHeight="1" x14ac:dyDescent="0.2">
      <c r="A55" s="239"/>
      <c r="R55" s="282" t="s">
        <v>1306</v>
      </c>
      <c r="S55" s="282" t="s">
        <v>1325</v>
      </c>
      <c r="T55" s="282" t="s">
        <v>1308</v>
      </c>
      <c r="U55" s="282" t="s">
        <v>1326</v>
      </c>
      <c r="V55" s="282" t="s">
        <v>1318</v>
      </c>
      <c r="W55" s="282" t="s">
        <v>1291</v>
      </c>
      <c r="X55" s="282" t="str">
        <f>"+2ST, -Bone Head, -1MA"</f>
        <v>+2ST, -Bone Head, -1MA</v>
      </c>
      <c r="Y55" s="265"/>
    </row>
    <row r="56" spans="1:25" ht="12.75" hidden="1" customHeight="1" x14ac:dyDescent="0.2">
      <c r="A56" s="239"/>
      <c r="S56" s="266" t="str">
        <f>""</f>
        <v/>
      </c>
      <c r="T56" s="291"/>
      <c r="U56" s="282"/>
      <c r="W56" s="265"/>
      <c r="X56" s="265"/>
      <c r="Y56" s="265"/>
    </row>
    <row r="57" spans="1:25" ht="12.75" hidden="1" customHeight="1" x14ac:dyDescent="0.2">
      <c r="T57" s="291"/>
      <c r="U57" s="291"/>
      <c r="V57" s="266" t="str">
        <f>""</f>
        <v/>
      </c>
    </row>
    <row r="58" spans="1:25" ht="12.75" hidden="1" customHeight="1" x14ac:dyDescent="0.2">
      <c r="T58" s="291"/>
      <c r="U58" s="282"/>
    </row>
    <row r="59" spans="1:25" ht="12.75" hidden="1" customHeight="1" x14ac:dyDescent="0.2">
      <c r="A59" s="239"/>
    </row>
    <row r="61" spans="1:25" ht="12.75" hidden="1" customHeight="1" x14ac:dyDescent="0.2">
      <c r="A61" s="239"/>
    </row>
    <row r="62" spans="1:25" ht="12.75" hidden="1" customHeight="1" x14ac:dyDescent="0.2">
      <c r="A62" s="239"/>
    </row>
    <row r="63" spans="1:25" ht="12.75" hidden="1" customHeight="1" x14ac:dyDescent="0.2">
      <c r="A63" s="239"/>
    </row>
    <row r="64" spans="1:25" ht="12.75" hidden="1" customHeight="1" x14ac:dyDescent="0.2">
      <c r="A64" s="239"/>
    </row>
    <row r="66" spans="1:1" ht="12.75" hidden="1" customHeight="1" x14ac:dyDescent="0.2">
      <c r="A66" s="239"/>
    </row>
    <row r="67" spans="1:1" ht="12.75" hidden="1" customHeight="1" x14ac:dyDescent="0.2">
      <c r="A67" s="239"/>
    </row>
    <row r="68" spans="1:1" ht="12.75" hidden="1" customHeight="1" x14ac:dyDescent="0.2">
      <c r="A68" s="239"/>
    </row>
    <row r="69" spans="1:1" ht="12.75" hidden="1" customHeight="1" x14ac:dyDescent="0.2">
      <c r="A69" s="239"/>
    </row>
    <row r="70" spans="1:1" ht="12.75" hidden="1" customHeight="1" x14ac:dyDescent="0.2">
      <c r="A70" s="239"/>
    </row>
  </sheetData>
  <sheetProtection algorithmName="SHA-512" hashValue="4A4blBWo44Bm9vBWxePh5g22MHFQ+v6XZeUUDgA/Cb8LvNOjIcKW2WH1GDIwA/FuetKMz/FMKyY52NbLnuVWQA==" saltValue="HFnlhhBEtSJV6PI1E5FajQ==" spinCount="100000" sheet="1" objects="1" scenarios="1"/>
  <mergeCells count="121">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D25:E25"/>
    <mergeCell ref="G25:H25"/>
    <mergeCell ref="J25:K25"/>
    <mergeCell ref="M25:N25"/>
    <mergeCell ref="P25:Q25"/>
    <mergeCell ref="H28:R28"/>
    <mergeCell ref="H29:R29"/>
    <mergeCell ref="A31:H31"/>
    <mergeCell ref="A32:H32"/>
    <mergeCell ref="D23:E23"/>
    <mergeCell ref="G23:H23"/>
    <mergeCell ref="J23:K23"/>
    <mergeCell ref="M23:N23"/>
    <mergeCell ref="P23:Q23"/>
    <mergeCell ref="D24:E24"/>
    <mergeCell ref="G24:H24"/>
    <mergeCell ref="J24:K24"/>
    <mergeCell ref="M24:N24"/>
    <mergeCell ref="P24:Q24"/>
    <mergeCell ref="M20:N20"/>
    <mergeCell ref="P20:Q20"/>
    <mergeCell ref="D21:E21"/>
    <mergeCell ref="G21:H21"/>
    <mergeCell ref="J21:K21"/>
    <mergeCell ref="M21:N21"/>
    <mergeCell ref="P21:Q21"/>
    <mergeCell ref="D22:E22"/>
    <mergeCell ref="G22:H22"/>
    <mergeCell ref="J22:K22"/>
    <mergeCell ref="M22:N22"/>
    <mergeCell ref="P22:Q22"/>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s>
  <dataValidations count="19">
    <dataValidation type="list" allowBlank="1" showInputMessage="1" showErrorMessage="1" sqref="A6" xr:uid="{11332487-EE9E-453E-971F-90072F147E21}">
      <formula1>$V$3:$V$10</formula1>
    </dataValidation>
    <dataValidation type="list" allowBlank="1" showInputMessage="1" showErrorMessage="1" sqref="B3 B29 B16" xr:uid="{8231D62E-D268-40D2-8DD7-080DE96D246E}">
      <formula1>$Y$5:$Y$10</formula1>
    </dataValidation>
    <dataValidation type="list" allowBlank="1" showInputMessage="1" showErrorMessage="1" sqref="A19:H19" xr:uid="{29E5F4E5-6034-413B-A47D-ACF302E1D7EC}">
      <formula1>$V$16:$V$23</formula1>
    </dataValidation>
    <dataValidation type="list" allowBlank="1" showInputMessage="1" showErrorMessage="1" sqref="A32:H32" xr:uid="{C304A5AD-260A-4122-91EC-76AF107B4035}">
      <formula1>$V$29:$V$36</formula1>
    </dataValidation>
    <dataValidation type="list" allowBlank="1" showInputMessage="1" showErrorMessage="1" sqref="R6 R19 R32" xr:uid="{F08F7831-1929-42FF-AFB1-C48BBC6934E4}">
      <formula1>$AO$3:$AO$7</formula1>
    </dataValidation>
    <dataValidation type="list" allowBlank="1" showInputMessage="1" showErrorMessage="1" sqref="P6 P19 P32" xr:uid="{43F352E4-094C-45E6-B627-0F0432F2D689}">
      <formula1>$AN$3:$AN$7</formula1>
    </dataValidation>
    <dataValidation type="list" allowBlank="1" showInputMessage="1" showErrorMessage="1" sqref="N6 N19 N32" xr:uid="{2BEAF64E-390D-44AC-AA79-D8AD5E78BEBA}">
      <formula1>$AM$3:$AM$7</formula1>
    </dataValidation>
    <dataValidation type="list" allowBlank="1" showInputMessage="1" showErrorMessage="1" sqref="L6 L19 L32" xr:uid="{508BBF9F-767E-4C69-A699-17AB09F83886}">
      <formula1>$AL$3:$AL$7</formula1>
    </dataValidation>
    <dataValidation type="list" allowBlank="1" showInputMessage="1" showErrorMessage="1" sqref="J6 J19 J32" xr:uid="{5EC89003-C067-4C49-8D5F-DABA729423E4}">
      <formula1>$AK$3:$AK$7</formula1>
    </dataValidation>
    <dataValidation type="list" allowBlank="1" showInputMessage="1" showErrorMessage="1" sqref="P8 M34 J34 G34 D34 B34 P34 M8 J8 G8 D21 B21 P21 M21 J21 G21" xr:uid="{B655A4F0-BA99-4B5F-8B45-91A2D4F38770}">
      <formula1>$C$50:$C$62</formula1>
    </dataValidation>
    <dataValidation type="list" allowBlank="1" showInputMessage="1" showErrorMessage="1" sqref="P9 M35 J35 G35 D35 B35 P35 M9 J9 G9 D9 B22 P22 M22 J22 G22 D22" xr:uid="{FF2427D3-D89D-45C7-8717-A084D02700D7}">
      <formula1>$I$50:$I$62</formula1>
    </dataValidation>
    <dataValidation type="list" allowBlank="1" showInputMessage="1" showErrorMessage="1" sqref="P10 M36 J36 G36 D36 B36 P36 M10 J10 G10 D10 B23 P23 M23 J23 G23 D23" xr:uid="{0747C71F-A885-4C28-A9BC-637F87F9D8AB}">
      <formula1>$E$50:$E$62</formula1>
    </dataValidation>
    <dataValidation type="list" allowBlank="1" showInputMessage="1" showErrorMessage="1" sqref="P11 M37 J37 G37 D37 B37 P37 M11 J11 G11 D11 B24 P24 M24 J24 G24 D24" xr:uid="{EB44EA5B-C384-49B1-A99B-D41E4A5480D1}">
      <formula1>$G$50:$G$62</formula1>
    </dataValidation>
    <dataValidation type="list" allowBlank="1" showInputMessage="1" showErrorMessage="1" sqref="P12:P13 M38 J38 G38 D38 B38 P38 M12:M13 J12:J13 G12:G13 D12:D13 P25:P26 M25:M26 J25:J26 G25:G26 D25:D26 B25:B26 B13" xr:uid="{24A8102A-8F18-4EDD-94C9-6B2FDB0C77DE}">
      <formula1>$K$50:$K$62</formula1>
    </dataValidation>
    <dataValidation type="list" allowBlank="1" showInputMessage="1" showErrorMessage="1" sqref="B8 D8:E8" xr:uid="{21B4D83D-A786-470D-AFBE-AB7970FEE504}">
      <formula1>$AV$1:$AV$13</formula1>
    </dataValidation>
    <dataValidation type="list" allowBlank="1" showInputMessage="1" showErrorMessage="1" sqref="B9" xr:uid="{59B5471F-BDDF-4E11-BA92-89F8774CD333}">
      <formula1>$BB$1:$BB$13</formula1>
    </dataValidation>
    <dataValidation type="list" allowBlank="1" showInputMessage="1" showErrorMessage="1" sqref="B10" xr:uid="{8C95291B-D12F-4BFF-BC62-749F002329FF}">
      <formula1>$AX$1:$AX$13</formula1>
    </dataValidation>
    <dataValidation type="list" allowBlank="1" showInputMessage="1" showErrorMessage="1" sqref="B11" xr:uid="{5C19906B-B6E8-4B08-A97D-39E41A939566}">
      <formula1>$AZ$1:$AZ$13</formula1>
    </dataValidation>
    <dataValidation type="list" allowBlank="1" showInputMessage="1" showErrorMessage="1" sqref="B12" xr:uid="{368669E6-5243-4A27-8044-DF75C600BD75}">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H1000"/>
  <sheetViews>
    <sheetView showGridLines="0" zoomScaleNormal="100" workbookViewId="0"/>
  </sheetViews>
  <sheetFormatPr defaultColWidth="0" defaultRowHeight="15" customHeight="1" zeroHeight="1" x14ac:dyDescent="0.2"/>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x14ac:dyDescent="0.2">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x14ac:dyDescent="0.2">
      <c r="A2" s="30"/>
      <c r="B2" s="558"/>
      <c r="C2" s="167"/>
      <c r="D2" s="167"/>
      <c r="E2" s="167"/>
      <c r="F2" s="167"/>
      <c r="G2" s="167"/>
      <c r="H2" s="167"/>
      <c r="I2" s="167"/>
      <c r="J2" s="167"/>
      <c r="K2" s="167"/>
      <c r="L2" s="167"/>
      <c r="M2" s="167"/>
      <c r="N2" s="167"/>
      <c r="O2" s="167"/>
      <c r="P2" s="30"/>
      <c r="Q2" s="531" t="str">
        <f>IF(Roster!$A$2=0,"","#"&amp;Roster!$A$2)</f>
        <v>#1</v>
      </c>
      <c r="R2" s="167"/>
      <c r="S2" s="167"/>
      <c r="T2" s="167"/>
      <c r="U2" s="167"/>
      <c r="V2" s="167"/>
      <c r="W2" s="167"/>
      <c r="X2" s="167"/>
      <c r="Y2" s="167"/>
      <c r="Z2" s="167"/>
      <c r="AA2" s="167"/>
      <c r="AB2" s="167"/>
      <c r="AC2" s="167"/>
      <c r="AD2" s="167"/>
      <c r="AE2" s="30"/>
      <c r="AF2" s="531" t="str">
        <f>IF(Roster!$A$3=0,"","#"&amp;Roster!$A$3)</f>
        <v>#2</v>
      </c>
      <c r="AG2" s="167"/>
      <c r="AH2" s="167"/>
      <c r="AI2" s="167"/>
      <c r="AJ2" s="167"/>
      <c r="AK2" s="167"/>
      <c r="AL2" s="167"/>
      <c r="AM2" s="167"/>
      <c r="AN2" s="167"/>
      <c r="AO2" s="167"/>
      <c r="AP2" s="167"/>
      <c r="AQ2" s="167"/>
      <c r="AR2" s="167"/>
      <c r="AS2" s="167"/>
      <c r="AT2" s="30"/>
      <c r="AU2" s="531" t="str">
        <f>IF(Roster!$A$4=0,"","#"&amp;Roster!$A$4)</f>
        <v>#3</v>
      </c>
      <c r="AV2" s="167"/>
      <c r="AW2" s="167"/>
      <c r="AX2" s="167"/>
      <c r="AY2" s="167"/>
      <c r="AZ2" s="167"/>
      <c r="BA2" s="167"/>
      <c r="BB2" s="167"/>
      <c r="BC2" s="167"/>
      <c r="BD2" s="167"/>
      <c r="BE2" s="167"/>
      <c r="BF2" s="167"/>
      <c r="BG2" s="167"/>
      <c r="BH2" s="167"/>
    </row>
    <row r="3" spans="1:60" ht="15" customHeight="1" x14ac:dyDescent="0.25">
      <c r="A3" s="30"/>
      <c r="B3" s="499"/>
      <c r="C3" s="524" t="str">
        <f>IF(Roster!$K$24=0,Roster!$D$24,Roster!$K$24)</f>
        <v>HEAD COACH</v>
      </c>
      <c r="D3" s="484"/>
      <c r="E3" s="484"/>
      <c r="F3" s="484"/>
      <c r="G3" s="484"/>
      <c r="H3" s="484"/>
      <c r="I3" s="484"/>
      <c r="J3" s="484"/>
      <c r="K3" s="484"/>
      <c r="L3" s="484"/>
      <c r="M3" s="484"/>
      <c r="N3" s="485"/>
      <c r="O3" s="167"/>
      <c r="P3" s="30"/>
      <c r="Q3" s="499"/>
      <c r="R3" s="524" t="str">
        <f>IF(Roster!$B$2=0,"",Roster!$B$2)</f>
        <v/>
      </c>
      <c r="S3" s="484"/>
      <c r="T3" s="484"/>
      <c r="U3" s="484"/>
      <c r="V3" s="484"/>
      <c r="W3" s="484"/>
      <c r="X3" s="484"/>
      <c r="Y3" s="484"/>
      <c r="Z3" s="484"/>
      <c r="AA3" s="484"/>
      <c r="AB3" s="484"/>
      <c r="AC3" s="485"/>
      <c r="AD3" s="167"/>
      <c r="AE3" s="30"/>
      <c r="AF3" s="499"/>
      <c r="AG3" s="524" t="str">
        <f>IF(Roster!$B$3=0,"",Roster!$B$3)</f>
        <v/>
      </c>
      <c r="AH3" s="484"/>
      <c r="AI3" s="484"/>
      <c r="AJ3" s="484"/>
      <c r="AK3" s="484"/>
      <c r="AL3" s="484"/>
      <c r="AM3" s="484"/>
      <c r="AN3" s="484"/>
      <c r="AO3" s="484"/>
      <c r="AP3" s="484"/>
      <c r="AQ3" s="484"/>
      <c r="AR3" s="485"/>
      <c r="AS3" s="167"/>
      <c r="AT3" s="30"/>
      <c r="AU3" s="499"/>
      <c r="AV3" s="524" t="str">
        <f>IF(Roster!$B$4=0,"",Roster!$B$4)</f>
        <v/>
      </c>
      <c r="AW3" s="484"/>
      <c r="AX3" s="484"/>
      <c r="AY3" s="484"/>
      <c r="AZ3" s="484"/>
      <c r="BA3" s="484"/>
      <c r="BB3" s="484"/>
      <c r="BC3" s="484"/>
      <c r="BD3" s="484"/>
      <c r="BE3" s="484"/>
      <c r="BF3" s="484"/>
      <c r="BG3" s="485"/>
      <c r="BH3" s="167"/>
    </row>
    <row r="4" spans="1:60" ht="11.25" customHeight="1" x14ac:dyDescent="0.2">
      <c r="A4" s="30"/>
      <c r="B4" s="499"/>
      <c r="C4" s="530" t="str">
        <f>IF(Roster!$K$21="SPONSORS",Roster!$K$23,Roster!$K$23&amp;"; Sponsor: "&amp;Roster!$K$21)</f>
        <v>Amazon</v>
      </c>
      <c r="D4" s="484"/>
      <c r="E4" s="484"/>
      <c r="F4" s="484"/>
      <c r="G4" s="484"/>
      <c r="H4" s="484"/>
      <c r="I4" s="484"/>
      <c r="J4" s="484"/>
      <c r="K4" s="484"/>
      <c r="L4" s="484"/>
      <c r="M4" s="484"/>
      <c r="N4" s="485"/>
      <c r="O4" s="168"/>
      <c r="P4" s="30"/>
      <c r="Q4" s="500"/>
      <c r="R4" s="530" t="str">
        <f>IF(Roster!$D$2=0,"",Roster!$D$2)</f>
        <v/>
      </c>
      <c r="S4" s="484"/>
      <c r="T4" s="484"/>
      <c r="U4" s="484"/>
      <c r="V4" s="484"/>
      <c r="W4" s="484"/>
      <c r="X4" s="484"/>
      <c r="Y4" s="484"/>
      <c r="Z4" s="484"/>
      <c r="AA4" s="484"/>
      <c r="AB4" s="484"/>
      <c r="AC4" s="485"/>
      <c r="AD4" s="168"/>
      <c r="AE4" s="30"/>
      <c r="AF4" s="500"/>
      <c r="AG4" s="530" t="str">
        <f>IF(Roster!$D$3=0,"",Roster!$D$3)</f>
        <v/>
      </c>
      <c r="AH4" s="484"/>
      <c r="AI4" s="484"/>
      <c r="AJ4" s="484"/>
      <c r="AK4" s="484"/>
      <c r="AL4" s="484"/>
      <c r="AM4" s="484"/>
      <c r="AN4" s="484"/>
      <c r="AO4" s="484"/>
      <c r="AP4" s="484"/>
      <c r="AQ4" s="484"/>
      <c r="AR4" s="485"/>
      <c r="AS4" s="168"/>
      <c r="AT4" s="30"/>
      <c r="AU4" s="500"/>
      <c r="AV4" s="530" t="str">
        <f>IF(Roster!$D$4=0,"",Roster!$D$4)</f>
        <v/>
      </c>
      <c r="AW4" s="484"/>
      <c r="AX4" s="484"/>
      <c r="AY4" s="484"/>
      <c r="AZ4" s="484"/>
      <c r="BA4" s="484"/>
      <c r="BB4" s="484"/>
      <c r="BC4" s="484"/>
      <c r="BD4" s="484"/>
      <c r="BE4" s="484"/>
      <c r="BF4" s="484"/>
      <c r="BG4" s="485"/>
      <c r="BH4" s="168"/>
    </row>
    <row r="5" spans="1:60" ht="11.25" customHeight="1" x14ac:dyDescent="0.2">
      <c r="A5" s="30"/>
      <c r="B5" s="500"/>
      <c r="C5" s="169"/>
      <c r="D5" s="530" t="str">
        <f>IF(Roster!$D$32=0,"",Roster!$D$32)</f>
        <v>TEAM VALUE</v>
      </c>
      <c r="E5" s="484"/>
      <c r="F5" s="485"/>
      <c r="G5" s="170"/>
      <c r="H5" s="530" t="str">
        <f>IF(Roster!$D$26=0,"",Roster!$D$26)</f>
        <v>TEAM NAME</v>
      </c>
      <c r="I5" s="484"/>
      <c r="J5" s="485"/>
      <c r="K5" s="170"/>
      <c r="L5" s="530" t="str">
        <f>IF(Roster!$AE$21=0,"",Roster!$AE$21)</f>
        <v>TOTAL REROLLS</v>
      </c>
      <c r="M5" s="484"/>
      <c r="N5" s="485"/>
      <c r="O5" s="167"/>
      <c r="P5" s="30"/>
      <c r="Q5" s="171" t="str">
        <f>IF(Roster!$K$1=0,"",Roster!$K$1)</f>
        <v>MA</v>
      </c>
      <c r="R5" s="170"/>
      <c r="S5" s="543"/>
      <c r="T5" s="543"/>
      <c r="U5" s="543"/>
      <c r="V5" s="543"/>
      <c r="W5" s="543"/>
      <c r="X5" s="543"/>
      <c r="Y5" s="543"/>
      <c r="Z5" s="543"/>
      <c r="AA5" s="543"/>
      <c r="AB5" s="543"/>
      <c r="AC5" s="543"/>
      <c r="AD5" s="167"/>
      <c r="AE5" s="30"/>
      <c r="AF5" s="171" t="str">
        <f>IF(Roster!$K$1=0,"",Roster!$K$1)</f>
        <v>MA</v>
      </c>
      <c r="AG5" s="170"/>
      <c r="AH5" s="543"/>
      <c r="AI5" s="543"/>
      <c r="AJ5" s="543"/>
      <c r="AK5" s="543"/>
      <c r="AL5" s="543"/>
      <c r="AM5" s="543"/>
      <c r="AN5" s="543"/>
      <c r="AO5" s="543"/>
      <c r="AP5" s="543"/>
      <c r="AQ5" s="543"/>
      <c r="AR5" s="543"/>
      <c r="AS5" s="167"/>
      <c r="AT5" s="30"/>
      <c r="AU5" s="171" t="str">
        <f>IF(Roster!$K$1=0,"",Roster!$K$1)</f>
        <v>MA</v>
      </c>
      <c r="AV5" s="170"/>
      <c r="AW5" s="543"/>
      <c r="AX5" s="543"/>
      <c r="AY5" s="543"/>
      <c r="AZ5" s="543"/>
      <c r="BA5" s="543"/>
      <c r="BB5" s="543"/>
      <c r="BC5" s="543"/>
      <c r="BD5" s="543"/>
      <c r="BE5" s="543"/>
      <c r="BF5" s="543"/>
      <c r="BG5" s="543"/>
      <c r="BH5" s="167"/>
    </row>
    <row r="6" spans="1:60" ht="37.5" customHeight="1" x14ac:dyDescent="0.2">
      <c r="A6" s="30"/>
      <c r="B6" s="559" t="str">
        <f>IF(Roster!$K$22=0,"",Roster!$K$22)</f>
        <v>STADIUM</v>
      </c>
      <c r="C6" s="172"/>
      <c r="D6" s="557">
        <f>Roster!$K$32</f>
        <v>0</v>
      </c>
      <c r="E6" s="484"/>
      <c r="F6" s="485"/>
      <c r="G6" s="170"/>
      <c r="H6" s="557" t="str">
        <f>IF(Roster!$K$26=0,"",Roster!$K$26)</f>
        <v/>
      </c>
      <c r="I6" s="484"/>
      <c r="J6" s="485"/>
      <c r="K6" s="170"/>
      <c r="L6" s="557">
        <f>Roster!$AJ$22</f>
        <v>0</v>
      </c>
      <c r="M6" s="484"/>
      <c r="N6" s="485"/>
      <c r="O6" s="167"/>
      <c r="P6" s="30"/>
      <c r="Q6" s="173" t="str">
        <f>IF(Roster!$K$2=0,"",Roster!$K$2)</f>
        <v/>
      </c>
      <c r="R6" s="170"/>
      <c r="S6" s="543"/>
      <c r="T6" s="543"/>
      <c r="U6" s="543"/>
      <c r="V6" s="543"/>
      <c r="W6" s="543"/>
      <c r="X6" s="543"/>
      <c r="Y6" s="543"/>
      <c r="Z6" s="543"/>
      <c r="AA6" s="543"/>
      <c r="AB6" s="543"/>
      <c r="AC6" s="543"/>
      <c r="AD6" s="167"/>
      <c r="AE6" s="30"/>
      <c r="AF6" s="173" t="str">
        <f>IF(Roster!$K$3=0,"",Roster!$K$3)</f>
        <v/>
      </c>
      <c r="AG6" s="170"/>
      <c r="AH6" s="543"/>
      <c r="AI6" s="543"/>
      <c r="AJ6" s="543"/>
      <c r="AK6" s="543"/>
      <c r="AL6" s="543"/>
      <c r="AM6" s="543"/>
      <c r="AN6" s="543"/>
      <c r="AO6" s="543"/>
      <c r="AP6" s="543"/>
      <c r="AQ6" s="543"/>
      <c r="AR6" s="543"/>
      <c r="AS6" s="167"/>
      <c r="AT6" s="30"/>
      <c r="AU6" s="173" t="str">
        <f>IF(Roster!$K$4=0,"",Roster!$K$4)</f>
        <v/>
      </c>
      <c r="AV6" s="170"/>
      <c r="AW6" s="543"/>
      <c r="AX6" s="543"/>
      <c r="AY6" s="543"/>
      <c r="AZ6" s="543"/>
      <c r="BA6" s="543"/>
      <c r="BB6" s="543"/>
      <c r="BC6" s="543"/>
      <c r="BD6" s="543"/>
      <c r="BE6" s="543"/>
      <c r="BF6" s="543"/>
      <c r="BG6" s="543"/>
      <c r="BH6" s="167"/>
    </row>
    <row r="7" spans="1:60" ht="11.25" customHeight="1" x14ac:dyDescent="0.2">
      <c r="A7" s="30"/>
      <c r="B7" s="499"/>
      <c r="C7" s="171"/>
      <c r="D7" s="530" t="str">
        <f>IF(Roster!$S$22=0,"",Roster!$S$22)</f>
        <v>APOTHECARY</v>
      </c>
      <c r="E7" s="484"/>
      <c r="F7" s="485"/>
      <c r="G7" s="170"/>
      <c r="H7" s="530" t="str">
        <f>IF(Roster!$S$23=0,"",Roster!$S$23)</f>
        <v>CHEERLEADERS</v>
      </c>
      <c r="I7" s="484"/>
      <c r="J7" s="485"/>
      <c r="K7" s="170"/>
      <c r="L7" s="530" t="str">
        <f>IF(Roster!$S$24=0,"",Roster!$S$24)</f>
        <v>ASSISTANT COACHES</v>
      </c>
      <c r="M7" s="484"/>
      <c r="N7" s="485"/>
      <c r="O7" s="167"/>
      <c r="P7" s="30"/>
      <c r="Q7" s="171" t="str">
        <f>IF(Roster!$L$1=0,"",Roster!$L$1)</f>
        <v>ST</v>
      </c>
      <c r="R7" s="170"/>
      <c r="S7" s="543"/>
      <c r="T7" s="543"/>
      <c r="U7" s="543"/>
      <c r="V7" s="543"/>
      <c r="W7" s="543"/>
      <c r="X7" s="543"/>
      <c r="Y7" s="543"/>
      <c r="Z7" s="543"/>
      <c r="AA7" s="543"/>
      <c r="AB7" s="543"/>
      <c r="AC7" s="543"/>
      <c r="AD7" s="167"/>
      <c r="AE7" s="30"/>
      <c r="AF7" s="171" t="str">
        <f>IF(Roster!$L$1=0,"",Roster!$L$1)</f>
        <v>ST</v>
      </c>
      <c r="AG7" s="170"/>
      <c r="AH7" s="543"/>
      <c r="AI7" s="543"/>
      <c r="AJ7" s="543"/>
      <c r="AK7" s="543"/>
      <c r="AL7" s="543"/>
      <c r="AM7" s="543"/>
      <c r="AN7" s="543"/>
      <c r="AO7" s="543"/>
      <c r="AP7" s="543"/>
      <c r="AQ7" s="543"/>
      <c r="AR7" s="543"/>
      <c r="AS7" s="167"/>
      <c r="AT7" s="30"/>
      <c r="AU7" s="171" t="str">
        <f>IF(Roster!$L$1=0,"",Roster!$L$1)</f>
        <v>ST</v>
      </c>
      <c r="AV7" s="170"/>
      <c r="AW7" s="543"/>
      <c r="AX7" s="543"/>
      <c r="AY7" s="543"/>
      <c r="AZ7" s="543"/>
      <c r="BA7" s="543"/>
      <c r="BB7" s="543"/>
      <c r="BC7" s="543"/>
      <c r="BD7" s="543"/>
      <c r="BE7" s="543"/>
      <c r="BF7" s="543"/>
      <c r="BG7" s="543"/>
      <c r="BH7" s="167"/>
    </row>
    <row r="8" spans="1:60" ht="37.5" customHeight="1" x14ac:dyDescent="0.2">
      <c r="A8" s="30"/>
      <c r="B8" s="499"/>
      <c r="C8" s="174"/>
      <c r="D8" s="557">
        <f>Roster!$X$22</f>
        <v>0</v>
      </c>
      <c r="E8" s="484"/>
      <c r="F8" s="485"/>
      <c r="G8" s="170"/>
      <c r="H8" s="557">
        <f>Roster!$X$23</f>
        <v>0</v>
      </c>
      <c r="I8" s="484"/>
      <c r="J8" s="485"/>
      <c r="K8" s="170"/>
      <c r="L8" s="557">
        <f>Roster!$X$24</f>
        <v>0</v>
      </c>
      <c r="M8" s="484"/>
      <c r="N8" s="485"/>
      <c r="O8" s="167"/>
      <c r="P8" s="30"/>
      <c r="Q8" s="173" t="str">
        <f>IF(Roster!$L$2=0,"",Roster!$L$2)</f>
        <v/>
      </c>
      <c r="R8" s="170"/>
      <c r="S8" s="543"/>
      <c r="T8" s="543"/>
      <c r="U8" s="543"/>
      <c r="V8" s="543"/>
      <c r="W8" s="543"/>
      <c r="X8" s="543"/>
      <c r="Y8" s="543"/>
      <c r="Z8" s="543"/>
      <c r="AA8" s="543"/>
      <c r="AB8" s="543"/>
      <c r="AC8" s="543"/>
      <c r="AD8" s="167"/>
      <c r="AE8" s="30"/>
      <c r="AF8" s="173" t="str">
        <f>IF(Roster!$L$3=0,"",Roster!$L$3)</f>
        <v/>
      </c>
      <c r="AG8" s="170"/>
      <c r="AH8" s="543"/>
      <c r="AI8" s="543"/>
      <c r="AJ8" s="543"/>
      <c r="AK8" s="543"/>
      <c r="AL8" s="543"/>
      <c r="AM8" s="543"/>
      <c r="AN8" s="543"/>
      <c r="AO8" s="543"/>
      <c r="AP8" s="543"/>
      <c r="AQ8" s="543"/>
      <c r="AR8" s="543"/>
      <c r="AS8" s="167"/>
      <c r="AT8" s="30"/>
      <c r="AU8" s="173" t="str">
        <f>IF(Roster!$L$4=0,"",Roster!$L$4)</f>
        <v/>
      </c>
      <c r="AV8" s="170"/>
      <c r="AW8" s="543"/>
      <c r="AX8" s="543"/>
      <c r="AY8" s="543"/>
      <c r="AZ8" s="543"/>
      <c r="BA8" s="543"/>
      <c r="BB8" s="543"/>
      <c r="BC8" s="543"/>
      <c r="BD8" s="543"/>
      <c r="BE8" s="543"/>
      <c r="BF8" s="543"/>
      <c r="BG8" s="543"/>
      <c r="BH8" s="167"/>
    </row>
    <row r="9" spans="1:60" ht="11.25" customHeight="1" x14ac:dyDescent="0.2">
      <c r="A9" s="30"/>
      <c r="B9" s="499"/>
      <c r="C9" s="169"/>
      <c r="D9" s="530" t="str">
        <f>IF(Roster!$S$25=0,"",Roster!$S$25)</f>
        <v>BLOODWEISER KEGS</v>
      </c>
      <c r="E9" s="484"/>
      <c r="F9" s="485"/>
      <c r="G9" s="170"/>
      <c r="H9" s="530" t="str">
        <f>IF(Roster!$S$29=0,"",Roster!$S$29)</f>
        <v>BRIBES</v>
      </c>
      <c r="I9" s="484"/>
      <c r="J9" s="485"/>
      <c r="K9" s="170"/>
      <c r="L9" s="530" t="str">
        <f>IF(Roster!$S$30=0,"",Roster!$S$30)</f>
        <v>MASTER CHEF</v>
      </c>
      <c r="M9" s="484"/>
      <c r="N9" s="485"/>
      <c r="O9" s="167"/>
      <c r="P9" s="30"/>
      <c r="Q9" s="171" t="str">
        <f>IF(Roster!$M$1=0,"",Roster!$M$1)</f>
        <v>AG</v>
      </c>
      <c r="R9" s="170"/>
      <c r="S9" s="543"/>
      <c r="T9" s="543"/>
      <c r="U9" s="543"/>
      <c r="V9" s="543"/>
      <c r="W9" s="543"/>
      <c r="X9" s="543"/>
      <c r="Y9" s="543"/>
      <c r="Z9" s="543"/>
      <c r="AA9" s="543"/>
      <c r="AB9" s="543"/>
      <c r="AC9" s="543"/>
      <c r="AD9" s="167"/>
      <c r="AE9" s="30"/>
      <c r="AF9" s="171" t="str">
        <f>IF(Roster!$M$1=0,"",Roster!$M$1)</f>
        <v>AG</v>
      </c>
      <c r="AG9" s="170"/>
      <c r="AH9" s="543"/>
      <c r="AI9" s="543"/>
      <c r="AJ9" s="543"/>
      <c r="AK9" s="543"/>
      <c r="AL9" s="543"/>
      <c r="AM9" s="543"/>
      <c r="AN9" s="543"/>
      <c r="AO9" s="543"/>
      <c r="AP9" s="543"/>
      <c r="AQ9" s="543"/>
      <c r="AR9" s="543"/>
      <c r="AS9" s="167"/>
      <c r="AT9" s="30"/>
      <c r="AU9" s="171" t="str">
        <f>IF(Roster!$M$1=0,"",Roster!$M$1)</f>
        <v>AG</v>
      </c>
      <c r="AV9" s="170"/>
      <c r="AW9" s="543"/>
      <c r="AX9" s="543"/>
      <c r="AY9" s="543"/>
      <c r="AZ9" s="543"/>
      <c r="BA9" s="543"/>
      <c r="BB9" s="543"/>
      <c r="BC9" s="543"/>
      <c r="BD9" s="543"/>
      <c r="BE9" s="543"/>
      <c r="BF9" s="543"/>
      <c r="BG9" s="543"/>
      <c r="BH9" s="167"/>
    </row>
    <row r="10" spans="1:60" ht="37.5" customHeight="1" x14ac:dyDescent="0.2">
      <c r="A10" s="30"/>
      <c r="B10" s="499"/>
      <c r="C10" s="174"/>
      <c r="D10" s="557">
        <f>Roster!$X$25</f>
        <v>0</v>
      </c>
      <c r="E10" s="484"/>
      <c r="F10" s="485"/>
      <c r="G10" s="170"/>
      <c r="H10" s="557">
        <f>Roster!$X$29</f>
        <v>0</v>
      </c>
      <c r="I10" s="484"/>
      <c r="J10" s="485"/>
      <c r="K10" s="170"/>
      <c r="L10" s="557">
        <f>Roster!$X$30</f>
        <v>0</v>
      </c>
      <c r="M10" s="484"/>
      <c r="N10" s="485"/>
      <c r="O10" s="167"/>
      <c r="P10" s="30"/>
      <c r="Q10" s="173" t="str">
        <f>IF(Roster!$M$2=0&amp;"+","",Roster!$M$2)</f>
        <v/>
      </c>
      <c r="R10" s="170"/>
      <c r="S10" s="543"/>
      <c r="T10" s="543"/>
      <c r="U10" s="543"/>
      <c r="V10" s="543"/>
      <c r="W10" s="543"/>
      <c r="X10" s="543"/>
      <c r="Y10" s="543"/>
      <c r="Z10" s="543"/>
      <c r="AA10" s="543"/>
      <c r="AB10" s="543"/>
      <c r="AC10" s="543"/>
      <c r="AD10" s="167"/>
      <c r="AE10" s="30"/>
      <c r="AF10" s="173" t="str">
        <f>IF(Roster!$M$3=0&amp;"+","",Roster!$M$3)</f>
        <v/>
      </c>
      <c r="AG10" s="170"/>
      <c r="AH10" s="543"/>
      <c r="AI10" s="543"/>
      <c r="AJ10" s="543"/>
      <c r="AK10" s="543"/>
      <c r="AL10" s="543"/>
      <c r="AM10" s="543"/>
      <c r="AN10" s="543"/>
      <c r="AO10" s="543"/>
      <c r="AP10" s="543"/>
      <c r="AQ10" s="543"/>
      <c r="AR10" s="543"/>
      <c r="AS10" s="167"/>
      <c r="AT10" s="30"/>
      <c r="AU10" s="173" t="str">
        <f>IF(Roster!$M$4=0&amp;"+","",Roster!$M$4)</f>
        <v/>
      </c>
      <c r="AV10" s="170"/>
      <c r="AW10" s="543"/>
      <c r="AX10" s="543"/>
      <c r="AY10" s="543"/>
      <c r="AZ10" s="543"/>
      <c r="BA10" s="543"/>
      <c r="BB10" s="543"/>
      <c r="BC10" s="543"/>
      <c r="BD10" s="543"/>
      <c r="BE10" s="543"/>
      <c r="BF10" s="543"/>
      <c r="BG10" s="543"/>
      <c r="BH10" s="167"/>
    </row>
    <row r="11" spans="1:60" ht="11.25" customHeight="1" x14ac:dyDescent="0.2">
      <c r="A11" s="30"/>
      <c r="B11" s="499"/>
      <c r="C11" s="171"/>
      <c r="D11" s="554" t="str">
        <f>IF(Roster!$S$31=0,"",Roster!$S$31)</f>
        <v>RIOTOUS ROOKIES</v>
      </c>
      <c r="E11" s="484"/>
      <c r="F11" s="485"/>
      <c r="G11" s="175"/>
      <c r="H11" s="554" t="str">
        <f>IF(Roster!$AE$25=0,"",Roster!$AE$25)</f>
        <v>WIZARDS</v>
      </c>
      <c r="I11" s="484"/>
      <c r="J11" s="485"/>
      <c r="K11" s="175"/>
      <c r="L11" s="530" t="str">
        <f>IF(Roster!$AE$24=0,"",Roster!$AE$24)</f>
        <v>WEATHER MAGE</v>
      </c>
      <c r="M11" s="484"/>
      <c r="N11" s="485"/>
      <c r="O11" s="176"/>
      <c r="P11" s="30"/>
      <c r="Q11" s="171" t="str">
        <f>IF(Roster!$N$1=0,"",Roster!$N$1)</f>
        <v>PA</v>
      </c>
      <c r="R11" s="170"/>
      <c r="S11" s="543"/>
      <c r="T11" s="543"/>
      <c r="U11" s="543"/>
      <c r="V11" s="543"/>
      <c r="W11" s="543"/>
      <c r="X11" s="543"/>
      <c r="Y11" s="543"/>
      <c r="Z11" s="543"/>
      <c r="AA11" s="543"/>
      <c r="AB11" s="543"/>
      <c r="AC11" s="543"/>
      <c r="AD11" s="176"/>
      <c r="AE11" s="30"/>
      <c r="AF11" s="171" t="str">
        <f>IF(Roster!$N$1=0,"",Roster!$N$1)</f>
        <v>PA</v>
      </c>
      <c r="AG11" s="170"/>
      <c r="AH11" s="543"/>
      <c r="AI11" s="543"/>
      <c r="AJ11" s="543"/>
      <c r="AK11" s="543"/>
      <c r="AL11" s="543"/>
      <c r="AM11" s="543"/>
      <c r="AN11" s="543"/>
      <c r="AO11" s="543"/>
      <c r="AP11" s="543"/>
      <c r="AQ11" s="543"/>
      <c r="AR11" s="543"/>
      <c r="AS11" s="176"/>
      <c r="AT11" s="30"/>
      <c r="AU11" s="171" t="str">
        <f>IF(Roster!$N$1=0,"",Roster!$N$1)</f>
        <v>PA</v>
      </c>
      <c r="AV11" s="170"/>
      <c r="AW11" s="543"/>
      <c r="AX11" s="543"/>
      <c r="AY11" s="543"/>
      <c r="AZ11" s="543"/>
      <c r="BA11" s="543"/>
      <c r="BB11" s="543"/>
      <c r="BC11" s="543"/>
      <c r="BD11" s="543"/>
      <c r="BE11" s="543"/>
      <c r="BF11" s="543"/>
      <c r="BG11" s="543"/>
      <c r="BH11" s="176"/>
    </row>
    <row r="12" spans="1:60" ht="6" customHeight="1" x14ac:dyDescent="0.2">
      <c r="A12" s="30"/>
      <c r="B12" s="499"/>
      <c r="C12" s="172"/>
      <c r="D12" s="547">
        <f>Roster!$X$31</f>
        <v>0</v>
      </c>
      <c r="E12" s="548"/>
      <c r="F12" s="549"/>
      <c r="G12" s="177"/>
      <c r="H12" s="547">
        <f>Roster!$AJ$25</f>
        <v>0</v>
      </c>
      <c r="I12" s="548"/>
      <c r="J12" s="549"/>
      <c r="K12" s="177"/>
      <c r="L12" s="547">
        <f>Roster!$AJ$24</f>
        <v>0</v>
      </c>
      <c r="M12" s="548"/>
      <c r="N12" s="549"/>
      <c r="O12" s="178"/>
      <c r="P12" s="30"/>
      <c r="Q12" s="532" t="str">
        <f>IF(Roster!$N$2=0&amp;"+","",Roster!$N$2)</f>
        <v/>
      </c>
      <c r="R12" s="170"/>
      <c r="S12" s="543"/>
      <c r="T12" s="543"/>
      <c r="U12" s="543"/>
      <c r="V12" s="543"/>
      <c r="W12" s="543"/>
      <c r="X12" s="543"/>
      <c r="Y12" s="543"/>
      <c r="Z12" s="543"/>
      <c r="AA12" s="543"/>
      <c r="AB12" s="543"/>
      <c r="AC12" s="543"/>
      <c r="AD12" s="178"/>
      <c r="AE12" s="30"/>
      <c r="AF12" s="532" t="str">
        <f>IF(Roster!$N$3=0&amp;"+","",Roster!$N$3)</f>
        <v/>
      </c>
      <c r="AG12" s="170"/>
      <c r="AH12" s="543"/>
      <c r="AI12" s="543"/>
      <c r="AJ12" s="543"/>
      <c r="AK12" s="543"/>
      <c r="AL12" s="543"/>
      <c r="AM12" s="543"/>
      <c r="AN12" s="543"/>
      <c r="AO12" s="543"/>
      <c r="AP12" s="543"/>
      <c r="AQ12" s="543"/>
      <c r="AR12" s="543"/>
      <c r="AS12" s="178"/>
      <c r="AT12" s="30"/>
      <c r="AU12" s="532" t="str">
        <f>IF(Roster!$N$4=0&amp;"+","",Roster!$N$4)</f>
        <v/>
      </c>
      <c r="AV12" s="170"/>
      <c r="AW12" s="543"/>
      <c r="AX12" s="543"/>
      <c r="AY12" s="543"/>
      <c r="AZ12" s="543"/>
      <c r="BA12" s="543"/>
      <c r="BB12" s="543"/>
      <c r="BC12" s="543"/>
      <c r="BD12" s="543"/>
      <c r="BE12" s="543"/>
      <c r="BF12" s="543"/>
      <c r="BG12" s="543"/>
      <c r="BH12" s="178"/>
    </row>
    <row r="13" spans="1:60" ht="4.5" customHeight="1" x14ac:dyDescent="0.2">
      <c r="A13" s="30"/>
      <c r="B13" s="499"/>
      <c r="C13" s="172"/>
      <c r="D13" s="550"/>
      <c r="E13" s="396"/>
      <c r="F13" s="551"/>
      <c r="G13" s="177"/>
      <c r="H13" s="550"/>
      <c r="I13" s="396"/>
      <c r="J13" s="551"/>
      <c r="K13" s="177"/>
      <c r="L13" s="550"/>
      <c r="M13" s="396"/>
      <c r="N13" s="551"/>
      <c r="O13" s="178"/>
      <c r="P13" s="30"/>
      <c r="Q13" s="499"/>
      <c r="R13" s="170"/>
      <c r="S13" s="167"/>
      <c r="T13" s="177"/>
      <c r="U13" s="167"/>
      <c r="V13" s="177"/>
      <c r="W13" s="167"/>
      <c r="X13" s="177"/>
      <c r="Y13" s="167"/>
      <c r="Z13" s="177"/>
      <c r="AA13" s="167"/>
      <c r="AB13" s="177"/>
      <c r="AC13" s="167"/>
      <c r="AD13" s="178"/>
      <c r="AE13" s="30"/>
      <c r="AF13" s="499"/>
      <c r="AG13" s="170"/>
      <c r="AH13" s="167"/>
      <c r="AI13" s="177"/>
      <c r="AJ13" s="167"/>
      <c r="AK13" s="177"/>
      <c r="AL13" s="167"/>
      <c r="AM13" s="177"/>
      <c r="AN13" s="167"/>
      <c r="AO13" s="177"/>
      <c r="AP13" s="167"/>
      <c r="AQ13" s="177"/>
      <c r="AR13" s="167"/>
      <c r="AS13" s="178"/>
      <c r="AT13" s="30"/>
      <c r="AU13" s="499"/>
      <c r="AV13" s="170"/>
      <c r="AW13" s="167"/>
      <c r="AX13" s="177"/>
      <c r="AY13" s="167"/>
      <c r="AZ13" s="177"/>
      <c r="BA13" s="167"/>
      <c r="BB13" s="177"/>
      <c r="BC13" s="167"/>
      <c r="BD13" s="177"/>
      <c r="BE13" s="167"/>
      <c r="BF13" s="177"/>
      <c r="BG13" s="167"/>
      <c r="BH13" s="178"/>
    </row>
    <row r="14" spans="1:60" ht="11.25" customHeight="1" x14ac:dyDescent="0.2">
      <c r="A14" s="30"/>
      <c r="B14" s="499"/>
      <c r="C14" s="172"/>
      <c r="D14" s="550"/>
      <c r="E14" s="396"/>
      <c r="F14" s="551"/>
      <c r="G14" s="177"/>
      <c r="H14" s="550"/>
      <c r="I14" s="396"/>
      <c r="J14" s="551"/>
      <c r="K14" s="177"/>
      <c r="L14" s="550"/>
      <c r="M14" s="396"/>
      <c r="N14" s="551"/>
      <c r="O14" s="178"/>
      <c r="P14" s="30"/>
      <c r="Q14" s="499"/>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499"/>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499"/>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x14ac:dyDescent="0.2">
      <c r="A15" s="30"/>
      <c r="B15" s="499"/>
      <c r="C15" s="172"/>
      <c r="D15" s="550"/>
      <c r="E15" s="396"/>
      <c r="F15" s="551"/>
      <c r="G15" s="172"/>
      <c r="H15" s="550"/>
      <c r="I15" s="396"/>
      <c r="J15" s="551"/>
      <c r="K15" s="172"/>
      <c r="L15" s="550"/>
      <c r="M15" s="396"/>
      <c r="N15" s="551"/>
      <c r="O15" s="178"/>
      <c r="P15" s="30"/>
      <c r="Q15" s="499"/>
      <c r="R15" s="172"/>
      <c r="S15" s="180" t="str">
        <f>IF(Roster!$AD$2=0,"",Roster!$AD$2)</f>
        <v/>
      </c>
      <c r="T15" s="172"/>
      <c r="U15" s="180" t="str">
        <f>IF((SUM(W15,Y15,AA15))=0,"",(SUM(W15,Y15,AA15)))</f>
        <v/>
      </c>
      <c r="V15" s="172"/>
      <c r="W15" s="180" t="str">
        <f>IF(Roster!$AG$2=0,"",Roster!$AG$2)</f>
        <v/>
      </c>
      <c r="X15" s="172"/>
      <c r="Y15" s="180" t="str">
        <f>IF(Roster!$AH$2=0,"",Roster!$AH$2)</f>
        <v/>
      </c>
      <c r="Z15" s="172"/>
      <c r="AA15" s="180" t="str">
        <f>IF(Roster!$AI$2=0,"",Roster!$AI$2)</f>
        <v/>
      </c>
      <c r="AB15" s="172"/>
      <c r="AC15" s="180" t="str">
        <f>IF(Roster!$AC$2=0,"",Roster!$AC$2)</f>
        <v/>
      </c>
      <c r="AD15" s="178"/>
      <c r="AE15" s="30"/>
      <c r="AF15" s="499"/>
      <c r="AG15" s="172"/>
      <c r="AH15" s="180" t="str">
        <f>IF(Roster!$AD$3=0,"",Roster!$AD$3)</f>
        <v/>
      </c>
      <c r="AI15" s="172"/>
      <c r="AJ15" s="180" t="str">
        <f>IF((SUM(AL15,AN15,AP15))=0,"",(SUM(AL15,AN15,AP15)))</f>
        <v/>
      </c>
      <c r="AK15" s="172"/>
      <c r="AL15" s="180" t="str">
        <f>IF(Roster!$AG$3=0,"",Roster!$AG$3)</f>
        <v/>
      </c>
      <c r="AM15" s="172"/>
      <c r="AN15" s="180" t="str">
        <f>IF(Roster!$AH$3=0,"",Roster!$AH$3)</f>
        <v/>
      </c>
      <c r="AO15" s="172"/>
      <c r="AP15" s="180" t="str">
        <f>IF(Roster!$AI$3=0,"",Roster!$AI$3)</f>
        <v/>
      </c>
      <c r="AQ15" s="172"/>
      <c r="AR15" s="180" t="str">
        <f>IF(Roster!$AC$3=0,"",Roster!$AC$3)</f>
        <v/>
      </c>
      <c r="AS15" s="178"/>
      <c r="AT15" s="30"/>
      <c r="AU15" s="499"/>
      <c r="AV15" s="172"/>
      <c r="AW15" s="180" t="str">
        <f>IF(Roster!$AD$4=0,"",Roster!$AD$4)</f>
        <v/>
      </c>
      <c r="AX15" s="172"/>
      <c r="AY15" s="180" t="str">
        <f>IF((SUM(BA15,BC15,BE15))=0,"",(SUM(BA15,BC15,BE15)))</f>
        <v/>
      </c>
      <c r="AZ15" s="172"/>
      <c r="BA15" s="180" t="str">
        <f>IF(Roster!$AG$4=0,"",Roster!$AG$4)</f>
        <v/>
      </c>
      <c r="BB15" s="172"/>
      <c r="BC15" s="180" t="str">
        <f>IF(Roster!$AH$4=0,"",Roster!$AH$4)</f>
        <v/>
      </c>
      <c r="BD15" s="172"/>
      <c r="BE15" s="180" t="str">
        <f>IF(Roster!$AI$4=0,"",Roster!$AI$4)</f>
        <v/>
      </c>
      <c r="BF15" s="172"/>
      <c r="BG15" s="180" t="str">
        <f>IF(Roster!$AC$4=0,"",Roster!$AC$4)</f>
        <v/>
      </c>
      <c r="BH15" s="178"/>
    </row>
    <row r="16" spans="1:60" ht="4.5" customHeight="1" x14ac:dyDescent="0.2">
      <c r="A16" s="30"/>
      <c r="B16" s="499"/>
      <c r="C16" s="172"/>
      <c r="D16" s="552"/>
      <c r="E16" s="553"/>
      <c r="F16" s="371"/>
      <c r="G16" s="172"/>
      <c r="H16" s="552"/>
      <c r="I16" s="553"/>
      <c r="J16" s="371"/>
      <c r="K16" s="172"/>
      <c r="L16" s="552"/>
      <c r="M16" s="553"/>
      <c r="N16" s="371"/>
      <c r="O16" s="178"/>
      <c r="P16" s="30"/>
      <c r="Q16" s="500"/>
      <c r="R16" s="172"/>
      <c r="S16" s="181"/>
      <c r="T16" s="172"/>
      <c r="U16" s="181"/>
      <c r="V16" s="172"/>
      <c r="W16" s="181"/>
      <c r="X16" s="172"/>
      <c r="Y16" s="181"/>
      <c r="Z16" s="172"/>
      <c r="AA16" s="181"/>
      <c r="AB16" s="172"/>
      <c r="AC16" s="181"/>
      <c r="AD16" s="178"/>
      <c r="AE16" s="30"/>
      <c r="AF16" s="500"/>
      <c r="AG16" s="172"/>
      <c r="AH16" s="181"/>
      <c r="AI16" s="172"/>
      <c r="AJ16" s="181"/>
      <c r="AK16" s="172"/>
      <c r="AL16" s="181"/>
      <c r="AM16" s="172"/>
      <c r="AN16" s="181"/>
      <c r="AO16" s="172"/>
      <c r="AP16" s="181"/>
      <c r="AQ16" s="172"/>
      <c r="AR16" s="181"/>
      <c r="AS16" s="178"/>
      <c r="AT16" s="30"/>
      <c r="AU16" s="500"/>
      <c r="AV16" s="172"/>
      <c r="AW16" s="181"/>
      <c r="AX16" s="172"/>
      <c r="AY16" s="181"/>
      <c r="AZ16" s="172"/>
      <c r="BA16" s="181"/>
      <c r="BB16" s="172"/>
      <c r="BC16" s="181"/>
      <c r="BD16" s="172"/>
      <c r="BE16" s="181"/>
      <c r="BF16" s="172"/>
      <c r="BG16" s="181"/>
      <c r="BH16" s="178"/>
    </row>
    <row r="17" spans="1:60" ht="11.25" customHeight="1" x14ac:dyDescent="0.2">
      <c r="A17" s="30"/>
      <c r="B17" s="499"/>
      <c r="C17" s="171"/>
      <c r="D17" s="530" t="str">
        <f>IF(Roster!$S$26=0,"",Roster!$S$26)</f>
        <v>SPECIAL CARD</v>
      </c>
      <c r="E17" s="484"/>
      <c r="F17" s="485"/>
      <c r="G17" s="171"/>
      <c r="H17" s="554" t="str">
        <f>IF(Roster!$AE$26=0,"",Roster!$AE$26)</f>
        <v>(IN)FAMOUS COACHES</v>
      </c>
      <c r="I17" s="484"/>
      <c r="J17" s="485"/>
      <c r="K17" s="171"/>
      <c r="L17" s="554" t="str">
        <f>IF(Roster!$AE$27=0,"",Roster!$AE$27)</f>
        <v>(IN)FAMOUS COACHES</v>
      </c>
      <c r="M17" s="484"/>
      <c r="N17" s="485"/>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x14ac:dyDescent="0.2">
      <c r="A18" s="30"/>
      <c r="B18" s="499"/>
      <c r="C18" s="172"/>
      <c r="D18" s="547">
        <f>Roster!$X$26</f>
        <v>0</v>
      </c>
      <c r="E18" s="548"/>
      <c r="F18" s="549"/>
      <c r="G18" s="172"/>
      <c r="H18" s="547">
        <f>Roster!$AJ$26</f>
        <v>0</v>
      </c>
      <c r="I18" s="548"/>
      <c r="J18" s="549"/>
      <c r="K18" s="172"/>
      <c r="L18" s="547">
        <f>Roster!$AJ$27</f>
        <v>0</v>
      </c>
      <c r="M18" s="548"/>
      <c r="N18" s="549"/>
      <c r="O18" s="182"/>
      <c r="P18" s="30"/>
      <c r="Q18" s="532" t="str">
        <f>IF(Roster!$O$2=0&amp;"+","",Roster!$O$2)</f>
        <v/>
      </c>
      <c r="R18" s="172"/>
      <c r="S18" s="180" t="str">
        <f>IF(Roster!$AE$2=0,"",Roster!$AE$2)</f>
        <v/>
      </c>
      <c r="T18" s="172"/>
      <c r="U18" s="180" t="str">
        <f>IF(Roster!$AF$2=0,"",Roster!$AF$2)</f>
        <v/>
      </c>
      <c r="V18" s="172"/>
      <c r="W18" s="180" t="str">
        <f>IF(Roster!$AB$2=0,"",Roster!$AB$2)</f>
        <v/>
      </c>
      <c r="X18" s="172"/>
      <c r="Y18" s="180" t="str">
        <f>IF(Roster!$AJ$2=0,"",Roster!$AJ$2)</f>
        <v/>
      </c>
      <c r="Z18" s="172"/>
      <c r="AA18" s="180" t="str">
        <f>IF(Roster!$AK$2=0,"",Roster!$AK$2)</f>
        <v/>
      </c>
      <c r="AB18" s="172"/>
      <c r="AC18" s="180" t="str">
        <f>IF(Roster!$AA$2=0,"",Roster!$AA$2)</f>
        <v/>
      </c>
      <c r="AD18" s="182"/>
      <c r="AE18" s="30"/>
      <c r="AF18" s="532" t="str">
        <f>IF(Roster!$O$3=0&amp;"+","",Roster!$O$3)</f>
        <v/>
      </c>
      <c r="AG18" s="172"/>
      <c r="AH18" s="180" t="str">
        <f>IF(Roster!$AE$3=0,"",Roster!$AE$3)</f>
        <v/>
      </c>
      <c r="AI18" s="172"/>
      <c r="AJ18" s="180" t="str">
        <f>IF(Roster!$AF$3=0,"",Roster!$AF$3)</f>
        <v/>
      </c>
      <c r="AK18" s="172"/>
      <c r="AL18" s="180" t="str">
        <f>IF(Roster!$AB$3=0,"",Roster!$AB$3)</f>
        <v/>
      </c>
      <c r="AM18" s="172"/>
      <c r="AN18" s="180" t="str">
        <f>IF(Roster!$AJ$3=0,"",Roster!$AJ$3)</f>
        <v/>
      </c>
      <c r="AO18" s="172"/>
      <c r="AP18" s="180" t="str">
        <f>IF(Roster!$AK$3=0,"",Roster!$AK$3)</f>
        <v/>
      </c>
      <c r="AQ18" s="172"/>
      <c r="AR18" s="180" t="str">
        <f>IF(Roster!$AA$3=0,"",Roster!$AA$3)</f>
        <v/>
      </c>
      <c r="AS18" s="182"/>
      <c r="AT18" s="30"/>
      <c r="AU18" s="532" t="str">
        <f>IF(Roster!$O$4=0&amp;"+","",Roster!$O$4)</f>
        <v/>
      </c>
      <c r="AV18" s="172"/>
      <c r="AW18" s="180" t="str">
        <f>IF(Roster!$AE$4=0,"",Roster!$AE$4)</f>
        <v/>
      </c>
      <c r="AX18" s="172"/>
      <c r="AY18" s="180" t="str">
        <f>IF(Roster!$AF$4=0,"",Roster!$AF$4)</f>
        <v/>
      </c>
      <c r="AZ18" s="172"/>
      <c r="BA18" s="180" t="str">
        <f>IF(Roster!$AB$4=0,"",Roster!$AB$4)</f>
        <v/>
      </c>
      <c r="BB18" s="172"/>
      <c r="BC18" s="180" t="str">
        <f>IF(Roster!$AJ$4=0,"",Roster!$AJ$4)</f>
        <v/>
      </c>
      <c r="BD18" s="172"/>
      <c r="BE18" s="180" t="str">
        <f>IF(Roster!$AK$4=0,"",Roster!$AK$4)</f>
        <v/>
      </c>
      <c r="BF18" s="172"/>
      <c r="BG18" s="180" t="str">
        <f>IF(Roster!$AA$4=0,"",Roster!$AA$4)</f>
        <v/>
      </c>
      <c r="BH18" s="182"/>
    </row>
    <row r="19" spans="1:60" ht="4.5" customHeight="1" x14ac:dyDescent="0.2">
      <c r="A19" s="30"/>
      <c r="B19" s="499"/>
      <c r="C19" s="172"/>
      <c r="D19" s="550"/>
      <c r="E19" s="396"/>
      <c r="F19" s="551"/>
      <c r="G19" s="172"/>
      <c r="H19" s="550"/>
      <c r="I19" s="396"/>
      <c r="J19" s="551"/>
      <c r="K19" s="172"/>
      <c r="L19" s="550"/>
      <c r="M19" s="396"/>
      <c r="N19" s="551"/>
      <c r="O19" s="182"/>
      <c r="P19" s="30"/>
      <c r="Q19" s="499"/>
      <c r="R19" s="172"/>
      <c r="S19" s="172"/>
      <c r="T19" s="172"/>
      <c r="U19" s="172"/>
      <c r="V19" s="172"/>
      <c r="W19" s="172"/>
      <c r="X19" s="172"/>
      <c r="Y19" s="172"/>
      <c r="Z19" s="172"/>
      <c r="AA19" s="172"/>
      <c r="AB19" s="172"/>
      <c r="AC19" s="178"/>
      <c r="AD19" s="182"/>
      <c r="AE19" s="30"/>
      <c r="AF19" s="499"/>
      <c r="AG19" s="172"/>
      <c r="AH19" s="172"/>
      <c r="AI19" s="172"/>
      <c r="AJ19" s="172"/>
      <c r="AK19" s="172"/>
      <c r="AL19" s="172"/>
      <c r="AM19" s="172"/>
      <c r="AN19" s="172"/>
      <c r="AO19" s="172"/>
      <c r="AP19" s="172"/>
      <c r="AQ19" s="172"/>
      <c r="AR19" s="178"/>
      <c r="AS19" s="182"/>
      <c r="AT19" s="30"/>
      <c r="AU19" s="499"/>
      <c r="AV19" s="172"/>
      <c r="AW19" s="172"/>
      <c r="AX19" s="172"/>
      <c r="AY19" s="172"/>
      <c r="AZ19" s="172"/>
      <c r="BA19" s="172"/>
      <c r="BB19" s="172"/>
      <c r="BC19" s="172"/>
      <c r="BD19" s="172"/>
      <c r="BE19" s="172"/>
      <c r="BF19" s="172"/>
      <c r="BG19" s="178"/>
      <c r="BH19" s="182"/>
    </row>
    <row r="20" spans="1:60" ht="11.25" customHeight="1" x14ac:dyDescent="0.2">
      <c r="A20" s="30"/>
      <c r="B20" s="499"/>
      <c r="C20" s="172"/>
      <c r="D20" s="550"/>
      <c r="E20" s="396"/>
      <c r="F20" s="551"/>
      <c r="G20" s="176"/>
      <c r="H20" s="550"/>
      <c r="I20" s="396"/>
      <c r="J20" s="551"/>
      <c r="K20" s="176"/>
      <c r="L20" s="550"/>
      <c r="M20" s="396"/>
      <c r="N20" s="551"/>
      <c r="O20" s="182"/>
      <c r="P20" s="30"/>
      <c r="Q20" s="499"/>
      <c r="R20" s="172"/>
      <c r="S20" s="529" t="str">
        <f>IF(Roster!$K$25="Italiano","ABILITÀ &amp; TRATTI",(IF(Roster!$K$25="Español","HABILIDADES Y RASGOS","SKILLS &amp; TRAITS")))</f>
        <v>SKILLS &amp; TRAITS</v>
      </c>
      <c r="T20" s="484"/>
      <c r="U20" s="484"/>
      <c r="V20" s="484"/>
      <c r="W20" s="484"/>
      <c r="X20" s="484"/>
      <c r="Y20" s="484"/>
      <c r="Z20" s="484"/>
      <c r="AA20" s="484"/>
      <c r="AB20" s="484"/>
      <c r="AC20" s="485"/>
      <c r="AD20" s="182"/>
      <c r="AE20" s="30"/>
      <c r="AF20" s="499"/>
      <c r="AG20" s="172"/>
      <c r="AH20" s="529" t="str">
        <f>IF(Roster!$K$25="Italiano","ABILITÀ &amp; TRATTI",(IF(Roster!$K$25="Español","HABILIDADES Y RASGOS","SKILLS &amp; TRAITS")))</f>
        <v>SKILLS &amp; TRAITS</v>
      </c>
      <c r="AI20" s="484"/>
      <c r="AJ20" s="484"/>
      <c r="AK20" s="484"/>
      <c r="AL20" s="484"/>
      <c r="AM20" s="484"/>
      <c r="AN20" s="484"/>
      <c r="AO20" s="484"/>
      <c r="AP20" s="484"/>
      <c r="AQ20" s="484"/>
      <c r="AR20" s="485"/>
      <c r="AS20" s="182"/>
      <c r="AT20" s="30"/>
      <c r="AU20" s="499"/>
      <c r="AV20" s="172"/>
      <c r="AW20" s="529" t="str">
        <f>IF(Roster!$K$25="Italiano","ABILITÀ &amp; TRATTI",(IF(Roster!$K$25="Español","HABILIDADES Y RASGOS","SKILLS &amp; TRAITS")))</f>
        <v>SKILLS &amp; TRAITS</v>
      </c>
      <c r="AX20" s="484"/>
      <c r="AY20" s="484"/>
      <c r="AZ20" s="484"/>
      <c r="BA20" s="484"/>
      <c r="BB20" s="484"/>
      <c r="BC20" s="484"/>
      <c r="BD20" s="484"/>
      <c r="BE20" s="484"/>
      <c r="BF20" s="484"/>
      <c r="BG20" s="485"/>
      <c r="BH20" s="182"/>
    </row>
    <row r="21" spans="1:60" ht="6.75" customHeight="1" x14ac:dyDescent="0.2">
      <c r="A21" s="30"/>
      <c r="B21" s="499"/>
      <c r="C21" s="172"/>
      <c r="D21" s="552"/>
      <c r="E21" s="553"/>
      <c r="F21" s="371"/>
      <c r="G21" s="183"/>
      <c r="H21" s="552"/>
      <c r="I21" s="553"/>
      <c r="J21" s="371"/>
      <c r="K21" s="183"/>
      <c r="L21" s="552"/>
      <c r="M21" s="553"/>
      <c r="N21" s="371"/>
      <c r="O21" s="182"/>
      <c r="P21" s="30"/>
      <c r="Q21" s="500"/>
      <c r="R21" s="172"/>
      <c r="S21" s="533" t="str">
        <f>IF(Roster!$P$2=0&amp;BF2,"",Roster!$P$2)</f>
        <v/>
      </c>
      <c r="T21" s="534"/>
      <c r="U21" s="534"/>
      <c r="V21" s="534"/>
      <c r="W21" s="534"/>
      <c r="X21" s="534"/>
      <c r="Y21" s="534"/>
      <c r="Z21" s="534"/>
      <c r="AA21" s="534"/>
      <c r="AB21" s="534"/>
      <c r="AC21" s="535"/>
      <c r="AD21" s="182"/>
      <c r="AE21" s="30"/>
      <c r="AF21" s="500"/>
      <c r="AG21" s="172"/>
      <c r="AH21" s="533" t="str">
        <f>IF(Roster!$P$3=0&amp;BF3,"",Roster!$P$3)</f>
        <v/>
      </c>
      <c r="AI21" s="534"/>
      <c r="AJ21" s="534"/>
      <c r="AK21" s="534"/>
      <c r="AL21" s="534"/>
      <c r="AM21" s="534"/>
      <c r="AN21" s="534"/>
      <c r="AO21" s="534"/>
      <c r="AP21" s="534"/>
      <c r="AQ21" s="534"/>
      <c r="AR21" s="535"/>
      <c r="AS21" s="182"/>
      <c r="AT21" s="30"/>
      <c r="AU21" s="500"/>
      <c r="AV21" s="172"/>
      <c r="AW21" s="533" t="str">
        <f>IF(Roster!$P$4=0&amp;BF4,"",Roster!$P$4)</f>
        <v/>
      </c>
      <c r="AX21" s="534"/>
      <c r="AY21" s="534"/>
      <c r="AZ21" s="534"/>
      <c r="BA21" s="534"/>
      <c r="BB21" s="534"/>
      <c r="BC21" s="534"/>
      <c r="BD21" s="534"/>
      <c r="BE21" s="534"/>
      <c r="BF21" s="534"/>
      <c r="BG21" s="535"/>
      <c r="BH21" s="182"/>
    </row>
    <row r="22" spans="1:60" ht="11.25" customHeight="1" x14ac:dyDescent="0.2">
      <c r="A22" s="30"/>
      <c r="B22" s="499"/>
      <c r="C22" s="169"/>
      <c r="D22" s="554" t="str">
        <f>IF(Roster!$AE$28=0,"",Roster!$AE$28)</f>
        <v>BIASED REFEREE</v>
      </c>
      <c r="E22" s="484"/>
      <c r="F22" s="485"/>
      <c r="G22" s="183"/>
      <c r="H22" s="554" t="str">
        <f>IF(Roster!$AE$29=0,"",Roster!$AE$29)</f>
        <v>OTHER INDUCEMENTS</v>
      </c>
      <c r="I22" s="484"/>
      <c r="J22" s="485"/>
      <c r="K22" s="183"/>
      <c r="L22" s="530" t="str">
        <f>IF(Roster!$AE$31=0,"",Roster!$AE$31)</f>
        <v>WANDERING APO</v>
      </c>
      <c r="M22" s="484"/>
      <c r="N22" s="485"/>
      <c r="O22" s="183"/>
      <c r="P22" s="30"/>
      <c r="Q22" s="171" t="str">
        <f>IF(Roster!$AO$1=0,"",Roster!$AO$1)</f>
        <v>COST</v>
      </c>
      <c r="R22" s="171"/>
      <c r="S22" s="536"/>
      <c r="T22" s="537"/>
      <c r="U22" s="537"/>
      <c r="V22" s="537"/>
      <c r="W22" s="537"/>
      <c r="X22" s="537"/>
      <c r="Y22" s="537"/>
      <c r="Z22" s="537"/>
      <c r="AA22" s="537"/>
      <c r="AB22" s="537"/>
      <c r="AC22" s="538"/>
      <c r="AD22" s="183"/>
      <c r="AE22" s="30"/>
      <c r="AF22" s="171" t="str">
        <f>IF(Roster!$AO$1=0,"",Roster!$AO$1)</f>
        <v>COST</v>
      </c>
      <c r="AG22" s="171"/>
      <c r="AH22" s="536"/>
      <c r="AI22" s="537"/>
      <c r="AJ22" s="537"/>
      <c r="AK22" s="537"/>
      <c r="AL22" s="537"/>
      <c r="AM22" s="537"/>
      <c r="AN22" s="537"/>
      <c r="AO22" s="537"/>
      <c r="AP22" s="537"/>
      <c r="AQ22" s="537"/>
      <c r="AR22" s="538"/>
      <c r="AS22" s="183"/>
      <c r="AT22" s="30"/>
      <c r="AU22" s="171" t="str">
        <f>IF(Roster!$AO$1=0,"",Roster!$AO$1)</f>
        <v>COST</v>
      </c>
      <c r="AV22" s="171"/>
      <c r="AW22" s="536"/>
      <c r="AX22" s="537"/>
      <c r="AY22" s="537"/>
      <c r="AZ22" s="537"/>
      <c r="BA22" s="537"/>
      <c r="BB22" s="537"/>
      <c r="BC22" s="537"/>
      <c r="BD22" s="537"/>
      <c r="BE22" s="537"/>
      <c r="BF22" s="537"/>
      <c r="BG22" s="538"/>
      <c r="BH22" s="183"/>
    </row>
    <row r="23" spans="1:60" ht="34.5" customHeight="1" x14ac:dyDescent="0.2">
      <c r="A23" s="30"/>
      <c r="B23" s="500"/>
      <c r="C23" s="184"/>
      <c r="D23" s="555">
        <f>Roster!$AJ$28</f>
        <v>0</v>
      </c>
      <c r="E23" s="484"/>
      <c r="F23" s="485"/>
      <c r="G23" s="183"/>
      <c r="H23" s="555">
        <f>Roster!$AJ$29</f>
        <v>0</v>
      </c>
      <c r="I23" s="484"/>
      <c r="J23" s="485"/>
      <c r="K23" s="183"/>
      <c r="L23" s="555">
        <f>Roster!$AJ$31</f>
        <v>0</v>
      </c>
      <c r="M23" s="484"/>
      <c r="N23" s="485"/>
      <c r="O23" s="183"/>
      <c r="P23" s="30"/>
      <c r="Q23" s="185" t="str">
        <f>IF(Roster!$AO$2=0,"",Roster!$AO$2)</f>
        <v/>
      </c>
      <c r="R23" s="186"/>
      <c r="S23" s="539"/>
      <c r="T23" s="540"/>
      <c r="U23" s="540"/>
      <c r="V23" s="540"/>
      <c r="W23" s="540"/>
      <c r="X23" s="540"/>
      <c r="Y23" s="540"/>
      <c r="Z23" s="540"/>
      <c r="AA23" s="540"/>
      <c r="AB23" s="540"/>
      <c r="AC23" s="541"/>
      <c r="AD23" s="183"/>
      <c r="AE23" s="30"/>
      <c r="AF23" s="185" t="str">
        <f>IF(Roster!$AO$3=0,"",Roster!$AO$3)</f>
        <v/>
      </c>
      <c r="AG23" s="186"/>
      <c r="AH23" s="539"/>
      <c r="AI23" s="540"/>
      <c r="AJ23" s="540"/>
      <c r="AK23" s="540"/>
      <c r="AL23" s="540"/>
      <c r="AM23" s="540"/>
      <c r="AN23" s="540"/>
      <c r="AO23" s="540"/>
      <c r="AP23" s="540"/>
      <c r="AQ23" s="540"/>
      <c r="AR23" s="541"/>
      <c r="AS23" s="183"/>
      <c r="AT23" s="30"/>
      <c r="AU23" s="185" t="str">
        <f>IF(Roster!$AO$4=0,"",Roster!$AO$4)</f>
        <v/>
      </c>
      <c r="AV23" s="186"/>
      <c r="AW23" s="539"/>
      <c r="AX23" s="540"/>
      <c r="AY23" s="540"/>
      <c r="AZ23" s="540"/>
      <c r="BA23" s="540"/>
      <c r="BB23" s="540"/>
      <c r="BC23" s="540"/>
      <c r="BD23" s="540"/>
      <c r="BE23" s="540"/>
      <c r="BF23" s="540"/>
      <c r="BG23" s="541"/>
      <c r="BH23" s="183"/>
    </row>
    <row r="24" spans="1:60" ht="4.5" customHeight="1" x14ac:dyDescent="0.2">
      <c r="A24" s="30"/>
      <c r="B24" s="556"/>
      <c r="C24" s="484"/>
      <c r="D24" s="484"/>
      <c r="E24" s="484"/>
      <c r="F24" s="484"/>
      <c r="G24" s="484"/>
      <c r="H24" s="484"/>
      <c r="I24" s="484"/>
      <c r="J24" s="484"/>
      <c r="K24" s="484"/>
      <c r="L24" s="484"/>
      <c r="M24" s="484"/>
      <c r="N24" s="485"/>
      <c r="O24" s="183"/>
      <c r="P24" s="30"/>
      <c r="Q24" s="556"/>
      <c r="R24" s="484"/>
      <c r="S24" s="484"/>
      <c r="T24" s="484"/>
      <c r="U24" s="484"/>
      <c r="V24" s="484"/>
      <c r="W24" s="484"/>
      <c r="X24" s="484"/>
      <c r="Y24" s="484"/>
      <c r="Z24" s="484"/>
      <c r="AA24" s="484"/>
      <c r="AB24" s="484"/>
      <c r="AC24" s="485"/>
      <c r="AD24" s="183"/>
      <c r="AE24" s="30"/>
      <c r="AF24" s="556"/>
      <c r="AG24" s="484"/>
      <c r="AH24" s="484"/>
      <c r="AI24" s="484"/>
      <c r="AJ24" s="484"/>
      <c r="AK24" s="484"/>
      <c r="AL24" s="484"/>
      <c r="AM24" s="484"/>
      <c r="AN24" s="484"/>
      <c r="AO24" s="484"/>
      <c r="AP24" s="484"/>
      <c r="AQ24" s="484"/>
      <c r="AR24" s="485"/>
      <c r="AS24" s="183"/>
      <c r="AT24" s="30"/>
      <c r="AU24" s="167"/>
      <c r="AV24" s="167"/>
      <c r="AW24" s="167"/>
      <c r="AX24" s="167"/>
      <c r="AY24" s="167"/>
      <c r="AZ24" s="167"/>
      <c r="BA24" s="167"/>
      <c r="BB24" s="167"/>
      <c r="BC24" s="167"/>
      <c r="BD24" s="167"/>
      <c r="BE24" s="167"/>
      <c r="BF24" s="167"/>
      <c r="BG24" s="183"/>
      <c r="BH24" s="183"/>
    </row>
    <row r="25" spans="1:60" ht="11.25"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x14ac:dyDescent="0.2">
      <c r="A26" s="30"/>
      <c r="B26" s="531" t="str">
        <f>IF(Roster!$A$5=0,"","#"&amp;Roster!$A$5)</f>
        <v>#4</v>
      </c>
      <c r="C26" s="167"/>
      <c r="D26" s="167"/>
      <c r="E26" s="167"/>
      <c r="F26" s="167"/>
      <c r="G26" s="167"/>
      <c r="H26" s="167"/>
      <c r="I26" s="167"/>
      <c r="J26" s="167"/>
      <c r="K26" s="167"/>
      <c r="L26" s="167"/>
      <c r="M26" s="167"/>
      <c r="N26" s="167"/>
      <c r="O26" s="167"/>
      <c r="P26" s="30"/>
      <c r="Q26" s="531" t="str">
        <f>IF(Roster!$A$6=0,"","#"&amp;Roster!$A$6)</f>
        <v>#5</v>
      </c>
      <c r="R26" s="167"/>
      <c r="S26" s="167"/>
      <c r="T26" s="167"/>
      <c r="U26" s="167"/>
      <c r="V26" s="167"/>
      <c r="W26" s="167"/>
      <c r="X26" s="167"/>
      <c r="Y26" s="167"/>
      <c r="Z26" s="167"/>
      <c r="AA26" s="167"/>
      <c r="AB26" s="167"/>
      <c r="AC26" s="167"/>
      <c r="AD26" s="167"/>
      <c r="AE26" s="30"/>
      <c r="AF26" s="531" t="str">
        <f>IF(Roster!$A$7=0,"","#"&amp;Roster!$A$7)</f>
        <v>#6</v>
      </c>
      <c r="AG26" s="167"/>
      <c r="AH26" s="167"/>
      <c r="AI26" s="167"/>
      <c r="AJ26" s="167"/>
      <c r="AK26" s="167"/>
      <c r="AL26" s="167"/>
      <c r="AM26" s="167"/>
      <c r="AN26" s="167"/>
      <c r="AO26" s="167"/>
      <c r="AP26" s="167"/>
      <c r="AQ26" s="167"/>
      <c r="AR26" s="167"/>
      <c r="AS26" s="167"/>
      <c r="AT26" s="30"/>
      <c r="AU26" s="531" t="str">
        <f>IF(Roster!$A$8=0,"","#"&amp;Roster!$A$8)</f>
        <v>#7</v>
      </c>
      <c r="AV26" s="167"/>
      <c r="AW26" s="167"/>
      <c r="AX26" s="167"/>
      <c r="AY26" s="167"/>
      <c r="AZ26" s="167"/>
      <c r="BA26" s="167"/>
      <c r="BB26" s="167"/>
      <c r="BC26" s="167"/>
      <c r="BD26" s="167"/>
      <c r="BE26" s="167"/>
      <c r="BF26" s="167"/>
      <c r="BG26" s="167"/>
      <c r="BH26" s="167"/>
    </row>
    <row r="27" spans="1:60" ht="15" customHeight="1" x14ac:dyDescent="0.25">
      <c r="A27" s="30"/>
      <c r="B27" s="499"/>
      <c r="C27" s="524" t="str">
        <f>IF(Roster!$B$5=0,"",Roster!$B$5)</f>
        <v/>
      </c>
      <c r="D27" s="484"/>
      <c r="E27" s="484"/>
      <c r="F27" s="484"/>
      <c r="G27" s="484"/>
      <c r="H27" s="484"/>
      <c r="I27" s="484"/>
      <c r="J27" s="484"/>
      <c r="K27" s="484"/>
      <c r="L27" s="484"/>
      <c r="M27" s="484"/>
      <c r="N27" s="485"/>
      <c r="O27" s="167"/>
      <c r="P27" s="30"/>
      <c r="Q27" s="499"/>
      <c r="R27" s="524" t="str">
        <f>IF(Roster!$B$6=0,"",Roster!$B$6)</f>
        <v/>
      </c>
      <c r="S27" s="484"/>
      <c r="T27" s="484"/>
      <c r="U27" s="484"/>
      <c r="V27" s="484"/>
      <c r="W27" s="484"/>
      <c r="X27" s="484"/>
      <c r="Y27" s="484"/>
      <c r="Z27" s="484"/>
      <c r="AA27" s="484"/>
      <c r="AB27" s="484"/>
      <c r="AC27" s="485"/>
      <c r="AD27" s="167"/>
      <c r="AE27" s="30"/>
      <c r="AF27" s="499"/>
      <c r="AG27" s="524" t="str">
        <f>IF(Roster!$B$7=0,"",Roster!$B$7)</f>
        <v/>
      </c>
      <c r="AH27" s="484"/>
      <c r="AI27" s="484"/>
      <c r="AJ27" s="484"/>
      <c r="AK27" s="484"/>
      <c r="AL27" s="484"/>
      <c r="AM27" s="484"/>
      <c r="AN27" s="484"/>
      <c r="AO27" s="484"/>
      <c r="AP27" s="484"/>
      <c r="AQ27" s="484"/>
      <c r="AR27" s="485"/>
      <c r="AS27" s="167"/>
      <c r="AT27" s="30"/>
      <c r="AU27" s="499"/>
      <c r="AV27" s="524" t="str">
        <f>IF(Roster!$B$8=0,"",Roster!$B$8)</f>
        <v/>
      </c>
      <c r="AW27" s="484"/>
      <c r="AX27" s="484"/>
      <c r="AY27" s="484"/>
      <c r="AZ27" s="484"/>
      <c r="BA27" s="484"/>
      <c r="BB27" s="484"/>
      <c r="BC27" s="484"/>
      <c r="BD27" s="484"/>
      <c r="BE27" s="484"/>
      <c r="BF27" s="484"/>
      <c r="BG27" s="485"/>
      <c r="BH27" s="167"/>
    </row>
    <row r="28" spans="1:60" ht="11.25" customHeight="1" x14ac:dyDescent="0.2">
      <c r="A28" s="30"/>
      <c r="B28" s="500"/>
      <c r="C28" s="530" t="str">
        <f>IF(Roster!$D$5=0,"",Roster!$D$5)</f>
        <v/>
      </c>
      <c r="D28" s="484"/>
      <c r="E28" s="484"/>
      <c r="F28" s="484"/>
      <c r="G28" s="484"/>
      <c r="H28" s="484"/>
      <c r="I28" s="484"/>
      <c r="J28" s="484"/>
      <c r="K28" s="484"/>
      <c r="L28" s="484"/>
      <c r="M28" s="484"/>
      <c r="N28" s="485"/>
      <c r="O28" s="168"/>
      <c r="P28" s="30"/>
      <c r="Q28" s="500"/>
      <c r="R28" s="530" t="str">
        <f>IF(Roster!$D$6=0,"",Roster!$D$6)</f>
        <v/>
      </c>
      <c r="S28" s="484"/>
      <c r="T28" s="484"/>
      <c r="U28" s="484"/>
      <c r="V28" s="484"/>
      <c r="W28" s="484"/>
      <c r="X28" s="484"/>
      <c r="Y28" s="484"/>
      <c r="Z28" s="484"/>
      <c r="AA28" s="484"/>
      <c r="AB28" s="484"/>
      <c r="AC28" s="485"/>
      <c r="AD28" s="168"/>
      <c r="AE28" s="30"/>
      <c r="AF28" s="500"/>
      <c r="AG28" s="530" t="str">
        <f>IF(Roster!$D$7=0,"",Roster!$D$7)</f>
        <v/>
      </c>
      <c r="AH28" s="484"/>
      <c r="AI28" s="484"/>
      <c r="AJ28" s="484"/>
      <c r="AK28" s="484"/>
      <c r="AL28" s="484"/>
      <c r="AM28" s="484"/>
      <c r="AN28" s="484"/>
      <c r="AO28" s="484"/>
      <c r="AP28" s="484"/>
      <c r="AQ28" s="484"/>
      <c r="AR28" s="485"/>
      <c r="AS28" s="168"/>
      <c r="AT28" s="30"/>
      <c r="AU28" s="500"/>
      <c r="AV28" s="530" t="str">
        <f>IF(Roster!$D$8=0,"",Roster!$D$8)</f>
        <v/>
      </c>
      <c r="AW28" s="484"/>
      <c r="AX28" s="484"/>
      <c r="AY28" s="484"/>
      <c r="AZ28" s="484"/>
      <c r="BA28" s="484"/>
      <c r="BB28" s="484"/>
      <c r="BC28" s="484"/>
      <c r="BD28" s="484"/>
      <c r="BE28" s="484"/>
      <c r="BF28" s="484"/>
      <c r="BG28" s="485"/>
      <c r="BH28" s="168"/>
    </row>
    <row r="29" spans="1:60" ht="11.25" customHeight="1" x14ac:dyDescent="0.2">
      <c r="A29" s="30"/>
      <c r="B29" s="171" t="str">
        <f>IF(Roster!$K$1=0,"",Roster!$K$1)</f>
        <v>MA</v>
      </c>
      <c r="C29" s="170"/>
      <c r="D29" s="543"/>
      <c r="E29" s="543"/>
      <c r="F29" s="543"/>
      <c r="G29" s="543"/>
      <c r="H29" s="543"/>
      <c r="I29" s="543"/>
      <c r="J29" s="543"/>
      <c r="K29" s="543"/>
      <c r="L29" s="543"/>
      <c r="M29" s="543"/>
      <c r="N29" s="543"/>
      <c r="O29" s="167"/>
      <c r="P29" s="30"/>
      <c r="Q29" s="171" t="str">
        <f>IF(Roster!$K$1=0,"",Roster!$K$1)</f>
        <v>MA</v>
      </c>
      <c r="R29" s="170"/>
      <c r="S29" s="543"/>
      <c r="T29" s="543"/>
      <c r="U29" s="543"/>
      <c r="V29" s="543"/>
      <c r="W29" s="543"/>
      <c r="X29" s="543"/>
      <c r="Y29" s="543"/>
      <c r="Z29" s="543"/>
      <c r="AA29" s="543"/>
      <c r="AB29" s="543"/>
      <c r="AC29" s="543"/>
      <c r="AD29" s="167"/>
      <c r="AE29" s="30"/>
      <c r="AF29" s="171" t="str">
        <f>IF(Roster!$K$1=0,"",Roster!$K$1)</f>
        <v>MA</v>
      </c>
      <c r="AG29" s="170"/>
      <c r="AH29" s="543"/>
      <c r="AI29" s="543"/>
      <c r="AJ29" s="543"/>
      <c r="AK29" s="543"/>
      <c r="AL29" s="543"/>
      <c r="AM29" s="543"/>
      <c r="AN29" s="543"/>
      <c r="AO29" s="543"/>
      <c r="AP29" s="543"/>
      <c r="AQ29" s="543"/>
      <c r="AR29" s="543"/>
      <c r="AS29" s="167"/>
      <c r="AT29" s="30"/>
      <c r="AU29" s="171" t="str">
        <f>IF(Roster!$K$1=0,"",Roster!$K$1)</f>
        <v>MA</v>
      </c>
      <c r="AV29" s="170"/>
      <c r="AW29" s="543"/>
      <c r="AX29" s="543"/>
      <c r="AY29" s="543"/>
      <c r="AZ29" s="543"/>
      <c r="BA29" s="543"/>
      <c r="BB29" s="543"/>
      <c r="BC29" s="543"/>
      <c r="BD29" s="543"/>
      <c r="BE29" s="543"/>
      <c r="BF29" s="543"/>
      <c r="BG29" s="543"/>
      <c r="BH29" s="167"/>
    </row>
    <row r="30" spans="1:60" ht="37.5" customHeight="1" x14ac:dyDescent="0.2">
      <c r="A30" s="30"/>
      <c r="B30" s="173" t="str">
        <f>IF(Roster!$K$5=0,"",Roster!$K$5)</f>
        <v/>
      </c>
      <c r="C30" s="170"/>
      <c r="D30" s="543"/>
      <c r="E30" s="543"/>
      <c r="F30" s="543"/>
      <c r="G30" s="543"/>
      <c r="H30" s="543"/>
      <c r="I30" s="543"/>
      <c r="J30" s="543"/>
      <c r="K30" s="543"/>
      <c r="L30" s="543"/>
      <c r="M30" s="543"/>
      <c r="N30" s="543"/>
      <c r="O30" s="167"/>
      <c r="P30" s="30"/>
      <c r="Q30" s="173" t="str">
        <f>IF(Roster!$K$6=0,"",Roster!$K$6)</f>
        <v/>
      </c>
      <c r="R30" s="170"/>
      <c r="S30" s="543"/>
      <c r="T30" s="543"/>
      <c r="U30" s="543"/>
      <c r="V30" s="543"/>
      <c r="W30" s="543"/>
      <c r="X30" s="543"/>
      <c r="Y30" s="543"/>
      <c r="Z30" s="543"/>
      <c r="AA30" s="543"/>
      <c r="AB30" s="543"/>
      <c r="AC30" s="543"/>
      <c r="AD30" s="167"/>
      <c r="AE30" s="30"/>
      <c r="AF30" s="173" t="str">
        <f>IF(Roster!$K$7=0,"",Roster!$K$7)</f>
        <v/>
      </c>
      <c r="AG30" s="170"/>
      <c r="AH30" s="543"/>
      <c r="AI30" s="543"/>
      <c r="AJ30" s="543"/>
      <c r="AK30" s="543"/>
      <c r="AL30" s="543"/>
      <c r="AM30" s="543"/>
      <c r="AN30" s="543"/>
      <c r="AO30" s="543"/>
      <c r="AP30" s="543"/>
      <c r="AQ30" s="543"/>
      <c r="AR30" s="543"/>
      <c r="AS30" s="167"/>
      <c r="AT30" s="30"/>
      <c r="AU30" s="173" t="str">
        <f>IF(Roster!$K$8=0,"",Roster!$K$8)</f>
        <v/>
      </c>
      <c r="AV30" s="170"/>
      <c r="AW30" s="543"/>
      <c r="AX30" s="543"/>
      <c r="AY30" s="543"/>
      <c r="AZ30" s="543"/>
      <c r="BA30" s="543"/>
      <c r="BB30" s="543"/>
      <c r="BC30" s="543"/>
      <c r="BD30" s="543"/>
      <c r="BE30" s="543"/>
      <c r="BF30" s="543"/>
      <c r="BG30" s="543"/>
      <c r="BH30" s="167"/>
    </row>
    <row r="31" spans="1:60" ht="11.25" customHeight="1" x14ac:dyDescent="0.2">
      <c r="A31" s="30"/>
      <c r="B31" s="171" t="str">
        <f>IF(Roster!$L$1=0,"",Roster!$L$1)</f>
        <v>ST</v>
      </c>
      <c r="C31" s="170"/>
      <c r="D31" s="543"/>
      <c r="E31" s="543"/>
      <c r="F31" s="543"/>
      <c r="G31" s="543"/>
      <c r="H31" s="543"/>
      <c r="I31" s="543"/>
      <c r="J31" s="543"/>
      <c r="K31" s="543"/>
      <c r="L31" s="543"/>
      <c r="M31" s="543"/>
      <c r="N31" s="543"/>
      <c r="O31" s="167"/>
      <c r="P31" s="30"/>
      <c r="Q31" s="171" t="str">
        <f>IF(Roster!$L$1=0,"",Roster!$L$1)</f>
        <v>ST</v>
      </c>
      <c r="R31" s="170"/>
      <c r="S31" s="543"/>
      <c r="T31" s="543"/>
      <c r="U31" s="543"/>
      <c r="V31" s="543"/>
      <c r="W31" s="543"/>
      <c r="X31" s="543"/>
      <c r="Y31" s="543"/>
      <c r="Z31" s="543"/>
      <c r="AA31" s="543"/>
      <c r="AB31" s="543"/>
      <c r="AC31" s="543"/>
      <c r="AD31" s="167"/>
      <c r="AE31" s="30"/>
      <c r="AF31" s="171" t="str">
        <f>IF(Roster!$L$1=0,"",Roster!$L$1)</f>
        <v>ST</v>
      </c>
      <c r="AG31" s="170"/>
      <c r="AH31" s="543"/>
      <c r="AI31" s="543"/>
      <c r="AJ31" s="543"/>
      <c r="AK31" s="543"/>
      <c r="AL31" s="543"/>
      <c r="AM31" s="543"/>
      <c r="AN31" s="543"/>
      <c r="AO31" s="543"/>
      <c r="AP31" s="543"/>
      <c r="AQ31" s="543"/>
      <c r="AR31" s="543"/>
      <c r="AS31" s="167"/>
      <c r="AT31" s="30"/>
      <c r="AU31" s="171" t="str">
        <f>IF(Roster!$L$1=0,"",Roster!$L$1)</f>
        <v>ST</v>
      </c>
      <c r="AV31" s="170"/>
      <c r="AW31" s="543"/>
      <c r="AX31" s="543"/>
      <c r="AY31" s="543"/>
      <c r="AZ31" s="543"/>
      <c r="BA31" s="543"/>
      <c r="BB31" s="543"/>
      <c r="BC31" s="543"/>
      <c r="BD31" s="543"/>
      <c r="BE31" s="543"/>
      <c r="BF31" s="543"/>
      <c r="BG31" s="543"/>
      <c r="BH31" s="167"/>
    </row>
    <row r="32" spans="1:60" ht="37.5" customHeight="1" x14ac:dyDescent="0.2">
      <c r="A32" s="30"/>
      <c r="B32" s="173" t="str">
        <f>IF(Roster!$L$5=0,"",Roster!$L$5)</f>
        <v/>
      </c>
      <c r="C32" s="170"/>
      <c r="D32" s="543"/>
      <c r="E32" s="543"/>
      <c r="F32" s="543"/>
      <c r="G32" s="543"/>
      <c r="H32" s="543"/>
      <c r="I32" s="543"/>
      <c r="J32" s="543"/>
      <c r="K32" s="543"/>
      <c r="L32" s="543"/>
      <c r="M32" s="543"/>
      <c r="N32" s="543"/>
      <c r="O32" s="167"/>
      <c r="P32" s="30"/>
      <c r="Q32" s="173" t="str">
        <f>IF(Roster!$L$6=0,"",Roster!$L$6)</f>
        <v/>
      </c>
      <c r="R32" s="170"/>
      <c r="S32" s="543"/>
      <c r="T32" s="543"/>
      <c r="U32" s="543"/>
      <c r="V32" s="543"/>
      <c r="W32" s="543"/>
      <c r="X32" s="543"/>
      <c r="Y32" s="543"/>
      <c r="Z32" s="543"/>
      <c r="AA32" s="543"/>
      <c r="AB32" s="543"/>
      <c r="AC32" s="543"/>
      <c r="AD32" s="167"/>
      <c r="AE32" s="30"/>
      <c r="AF32" s="173" t="str">
        <f>IF(Roster!$L$7=0,"",Roster!$L$7)</f>
        <v/>
      </c>
      <c r="AG32" s="170"/>
      <c r="AH32" s="543"/>
      <c r="AI32" s="543"/>
      <c r="AJ32" s="543"/>
      <c r="AK32" s="543"/>
      <c r="AL32" s="543"/>
      <c r="AM32" s="543"/>
      <c r="AN32" s="543"/>
      <c r="AO32" s="543"/>
      <c r="AP32" s="543"/>
      <c r="AQ32" s="543"/>
      <c r="AR32" s="543"/>
      <c r="AS32" s="167"/>
      <c r="AT32" s="30"/>
      <c r="AU32" s="173" t="str">
        <f>IF(Roster!$L$8=0,"",Roster!$L$8)</f>
        <v/>
      </c>
      <c r="AV32" s="170"/>
      <c r="AW32" s="543"/>
      <c r="AX32" s="543"/>
      <c r="AY32" s="543"/>
      <c r="AZ32" s="543"/>
      <c r="BA32" s="543"/>
      <c r="BB32" s="543"/>
      <c r="BC32" s="543"/>
      <c r="BD32" s="543"/>
      <c r="BE32" s="543"/>
      <c r="BF32" s="543"/>
      <c r="BG32" s="543"/>
      <c r="BH32" s="167"/>
    </row>
    <row r="33" spans="1:60" ht="11.25" customHeight="1" x14ac:dyDescent="0.2">
      <c r="A33" s="30"/>
      <c r="B33" s="171" t="str">
        <f>IF(Roster!$M$1=0,"",Roster!$M$1)</f>
        <v>AG</v>
      </c>
      <c r="C33" s="170"/>
      <c r="D33" s="543"/>
      <c r="E33" s="543"/>
      <c r="F33" s="543"/>
      <c r="G33" s="543"/>
      <c r="H33" s="543"/>
      <c r="I33" s="543"/>
      <c r="J33" s="543"/>
      <c r="K33" s="543"/>
      <c r="L33" s="543"/>
      <c r="M33" s="543"/>
      <c r="N33" s="543"/>
      <c r="O33" s="167"/>
      <c r="P33" s="30"/>
      <c r="Q33" s="171" t="str">
        <f>IF(Roster!$M$1=0,"",Roster!$M$1)</f>
        <v>AG</v>
      </c>
      <c r="R33" s="170"/>
      <c r="S33" s="543"/>
      <c r="T33" s="543"/>
      <c r="U33" s="543"/>
      <c r="V33" s="543"/>
      <c r="W33" s="543"/>
      <c r="X33" s="543"/>
      <c r="Y33" s="543"/>
      <c r="Z33" s="543"/>
      <c r="AA33" s="543"/>
      <c r="AB33" s="543"/>
      <c r="AC33" s="543"/>
      <c r="AD33" s="167"/>
      <c r="AE33" s="30"/>
      <c r="AF33" s="171" t="str">
        <f>IF(Roster!$M$1=0,"",Roster!$M$1)</f>
        <v>AG</v>
      </c>
      <c r="AG33" s="170"/>
      <c r="AH33" s="543"/>
      <c r="AI33" s="543"/>
      <c r="AJ33" s="543"/>
      <c r="AK33" s="543"/>
      <c r="AL33" s="543"/>
      <c r="AM33" s="543"/>
      <c r="AN33" s="543"/>
      <c r="AO33" s="543"/>
      <c r="AP33" s="543"/>
      <c r="AQ33" s="543"/>
      <c r="AR33" s="543"/>
      <c r="AS33" s="167"/>
      <c r="AT33" s="30"/>
      <c r="AU33" s="171" t="str">
        <f>IF(Roster!$M$1=0,"",Roster!$M$1)</f>
        <v>AG</v>
      </c>
      <c r="AV33" s="170"/>
      <c r="AW33" s="543"/>
      <c r="AX33" s="543"/>
      <c r="AY33" s="543"/>
      <c r="AZ33" s="543"/>
      <c r="BA33" s="543"/>
      <c r="BB33" s="543"/>
      <c r="BC33" s="543"/>
      <c r="BD33" s="543"/>
      <c r="BE33" s="543"/>
      <c r="BF33" s="543"/>
      <c r="BG33" s="543"/>
      <c r="BH33" s="167"/>
    </row>
    <row r="34" spans="1:60" ht="37.5" customHeight="1" x14ac:dyDescent="0.2">
      <c r="A34" s="30"/>
      <c r="B34" s="173" t="str">
        <f>IF(Roster!$M$5=0&amp;"+","",Roster!$M$5)</f>
        <v/>
      </c>
      <c r="C34" s="170"/>
      <c r="D34" s="543"/>
      <c r="E34" s="543"/>
      <c r="F34" s="543"/>
      <c r="G34" s="543"/>
      <c r="H34" s="543"/>
      <c r="I34" s="543"/>
      <c r="J34" s="543"/>
      <c r="K34" s="543"/>
      <c r="L34" s="543"/>
      <c r="M34" s="543"/>
      <c r="N34" s="543"/>
      <c r="O34" s="167"/>
      <c r="P34" s="30"/>
      <c r="Q34" s="173" t="str">
        <f>IF(Roster!$M$6=0&amp;"+","",Roster!$M$6)</f>
        <v/>
      </c>
      <c r="R34" s="170"/>
      <c r="S34" s="543"/>
      <c r="T34" s="543"/>
      <c r="U34" s="543"/>
      <c r="V34" s="543"/>
      <c r="W34" s="543"/>
      <c r="X34" s="543"/>
      <c r="Y34" s="543"/>
      <c r="Z34" s="543"/>
      <c r="AA34" s="543"/>
      <c r="AB34" s="543"/>
      <c r="AC34" s="543"/>
      <c r="AD34" s="167"/>
      <c r="AE34" s="30"/>
      <c r="AF34" s="173" t="str">
        <f>IF(Roster!$M$7=0&amp;"+","",Roster!$M$7)</f>
        <v/>
      </c>
      <c r="AG34" s="170"/>
      <c r="AH34" s="543"/>
      <c r="AI34" s="543"/>
      <c r="AJ34" s="543"/>
      <c r="AK34" s="543"/>
      <c r="AL34" s="543"/>
      <c r="AM34" s="543"/>
      <c r="AN34" s="543"/>
      <c r="AO34" s="543"/>
      <c r="AP34" s="543"/>
      <c r="AQ34" s="543"/>
      <c r="AR34" s="543"/>
      <c r="AS34" s="167"/>
      <c r="AT34" s="30"/>
      <c r="AU34" s="173" t="str">
        <f>IF(Roster!$M$8=0&amp;"+","",Roster!$M$8)</f>
        <v/>
      </c>
      <c r="AV34" s="170"/>
      <c r="AW34" s="543"/>
      <c r="AX34" s="543"/>
      <c r="AY34" s="543"/>
      <c r="AZ34" s="543"/>
      <c r="BA34" s="543"/>
      <c r="BB34" s="543"/>
      <c r="BC34" s="543"/>
      <c r="BD34" s="543"/>
      <c r="BE34" s="543"/>
      <c r="BF34" s="543"/>
      <c r="BG34" s="543"/>
      <c r="BH34" s="167"/>
    </row>
    <row r="35" spans="1:60" ht="11.25" customHeight="1" x14ac:dyDescent="0.2">
      <c r="A35" s="30"/>
      <c r="B35" s="171" t="str">
        <f>IF(Roster!$N$1=0,"",Roster!$N$1)</f>
        <v>PA</v>
      </c>
      <c r="C35" s="170"/>
      <c r="D35" s="543"/>
      <c r="E35" s="543"/>
      <c r="F35" s="543"/>
      <c r="G35" s="543"/>
      <c r="H35" s="543"/>
      <c r="I35" s="543"/>
      <c r="J35" s="543"/>
      <c r="K35" s="543"/>
      <c r="L35" s="543"/>
      <c r="M35" s="543"/>
      <c r="N35" s="543"/>
      <c r="O35" s="176"/>
      <c r="P35" s="30"/>
      <c r="Q35" s="171" t="str">
        <f>IF(Roster!$N$1=0,"",Roster!$N$1)</f>
        <v>PA</v>
      </c>
      <c r="R35" s="170"/>
      <c r="S35" s="543"/>
      <c r="T35" s="543"/>
      <c r="U35" s="543"/>
      <c r="V35" s="543"/>
      <c r="W35" s="543"/>
      <c r="X35" s="543"/>
      <c r="Y35" s="543"/>
      <c r="Z35" s="543"/>
      <c r="AA35" s="543"/>
      <c r="AB35" s="543"/>
      <c r="AC35" s="543"/>
      <c r="AD35" s="176"/>
      <c r="AE35" s="30"/>
      <c r="AF35" s="171" t="str">
        <f>IF(Roster!$N$1=0,"",Roster!$N$1)</f>
        <v>PA</v>
      </c>
      <c r="AG35" s="170"/>
      <c r="AH35" s="543"/>
      <c r="AI35" s="543"/>
      <c r="AJ35" s="543"/>
      <c r="AK35" s="543"/>
      <c r="AL35" s="543"/>
      <c r="AM35" s="543"/>
      <c r="AN35" s="543"/>
      <c r="AO35" s="543"/>
      <c r="AP35" s="543"/>
      <c r="AQ35" s="543"/>
      <c r="AR35" s="543"/>
      <c r="AS35" s="176"/>
      <c r="AT35" s="30"/>
      <c r="AU35" s="171" t="str">
        <f>IF(Roster!$N$1=0,"",Roster!$N$1)</f>
        <v>PA</v>
      </c>
      <c r="AV35" s="170"/>
      <c r="AW35" s="543"/>
      <c r="AX35" s="543"/>
      <c r="AY35" s="543"/>
      <c r="AZ35" s="543"/>
      <c r="BA35" s="543"/>
      <c r="BB35" s="543"/>
      <c r="BC35" s="543"/>
      <c r="BD35" s="543"/>
      <c r="BE35" s="543"/>
      <c r="BF35" s="543"/>
      <c r="BG35" s="543"/>
      <c r="BH35" s="176"/>
    </row>
    <row r="36" spans="1:60" ht="6" customHeight="1" x14ac:dyDescent="0.2">
      <c r="A36" s="30"/>
      <c r="B36" s="532" t="str">
        <f>IF(Roster!$N$5=0&amp;"+","",Roster!$N$5)</f>
        <v/>
      </c>
      <c r="C36" s="170"/>
      <c r="D36" s="543"/>
      <c r="E36" s="543"/>
      <c r="F36" s="543"/>
      <c r="G36" s="543"/>
      <c r="H36" s="543"/>
      <c r="I36" s="543"/>
      <c r="J36" s="543"/>
      <c r="K36" s="543"/>
      <c r="L36" s="543"/>
      <c r="M36" s="543"/>
      <c r="N36" s="543"/>
      <c r="O36" s="178"/>
      <c r="P36" s="30"/>
      <c r="Q36" s="532" t="str">
        <f>IF(Roster!$N$6=0&amp;"+","",Roster!$N$6)</f>
        <v/>
      </c>
      <c r="R36" s="170"/>
      <c r="S36" s="543"/>
      <c r="T36" s="543"/>
      <c r="U36" s="543"/>
      <c r="V36" s="543"/>
      <c r="W36" s="543"/>
      <c r="X36" s="543"/>
      <c r="Y36" s="543"/>
      <c r="Z36" s="543"/>
      <c r="AA36" s="543"/>
      <c r="AB36" s="543"/>
      <c r="AC36" s="543"/>
      <c r="AD36" s="178"/>
      <c r="AE36" s="30"/>
      <c r="AF36" s="532" t="str">
        <f>IF(Roster!$N$7=0&amp;"+","",Roster!$N$7)</f>
        <v/>
      </c>
      <c r="AG36" s="170"/>
      <c r="AH36" s="543"/>
      <c r="AI36" s="543"/>
      <c r="AJ36" s="543"/>
      <c r="AK36" s="543"/>
      <c r="AL36" s="543"/>
      <c r="AM36" s="543"/>
      <c r="AN36" s="543"/>
      <c r="AO36" s="543"/>
      <c r="AP36" s="543"/>
      <c r="AQ36" s="543"/>
      <c r="AR36" s="543"/>
      <c r="AS36" s="178"/>
      <c r="AT36" s="30"/>
      <c r="AU36" s="532" t="str">
        <f>IF(Roster!$N$8=0&amp;"+","",Roster!$N$8)</f>
        <v/>
      </c>
      <c r="AV36" s="170"/>
      <c r="AW36" s="543"/>
      <c r="AX36" s="543"/>
      <c r="AY36" s="543"/>
      <c r="AZ36" s="543"/>
      <c r="BA36" s="543"/>
      <c r="BB36" s="543"/>
      <c r="BC36" s="543"/>
      <c r="BD36" s="543"/>
      <c r="BE36" s="543"/>
      <c r="BF36" s="543"/>
      <c r="BG36" s="543"/>
      <c r="BH36" s="178"/>
    </row>
    <row r="37" spans="1:60" ht="4.5" customHeight="1" x14ac:dyDescent="0.2">
      <c r="A37" s="30"/>
      <c r="B37" s="499"/>
      <c r="C37" s="170"/>
      <c r="D37" s="167"/>
      <c r="E37" s="177"/>
      <c r="F37" s="167"/>
      <c r="G37" s="177"/>
      <c r="H37" s="167"/>
      <c r="I37" s="177"/>
      <c r="J37" s="167"/>
      <c r="K37" s="177"/>
      <c r="L37" s="167"/>
      <c r="M37" s="177"/>
      <c r="N37" s="167"/>
      <c r="O37" s="178"/>
      <c r="P37" s="30"/>
      <c r="Q37" s="499"/>
      <c r="R37" s="170"/>
      <c r="S37" s="167"/>
      <c r="T37" s="177"/>
      <c r="U37" s="167"/>
      <c r="V37" s="177"/>
      <c r="W37" s="167"/>
      <c r="X37" s="177"/>
      <c r="Y37" s="167"/>
      <c r="Z37" s="177"/>
      <c r="AA37" s="167"/>
      <c r="AB37" s="177"/>
      <c r="AC37" s="167"/>
      <c r="AD37" s="178"/>
      <c r="AE37" s="30"/>
      <c r="AF37" s="499"/>
      <c r="AG37" s="170"/>
      <c r="AH37" s="167"/>
      <c r="AI37" s="177"/>
      <c r="AJ37" s="167"/>
      <c r="AK37" s="177"/>
      <c r="AL37" s="167"/>
      <c r="AM37" s="177"/>
      <c r="AN37" s="167"/>
      <c r="AO37" s="177"/>
      <c r="AP37" s="167"/>
      <c r="AQ37" s="177"/>
      <c r="AR37" s="167"/>
      <c r="AS37" s="178"/>
      <c r="AT37" s="30"/>
      <c r="AU37" s="499"/>
      <c r="AV37" s="170"/>
      <c r="AW37" s="167"/>
      <c r="AX37" s="177"/>
      <c r="AY37" s="167"/>
      <c r="AZ37" s="177"/>
      <c r="BA37" s="167"/>
      <c r="BB37" s="177"/>
      <c r="BC37" s="167"/>
      <c r="BD37" s="177"/>
      <c r="BE37" s="167"/>
      <c r="BF37" s="177"/>
      <c r="BG37" s="167"/>
      <c r="BH37" s="178"/>
    </row>
    <row r="38" spans="1:60" ht="11.25" customHeight="1" x14ac:dyDescent="0.2">
      <c r="A38" s="30"/>
      <c r="B38" s="499"/>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499"/>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499"/>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499"/>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x14ac:dyDescent="0.2">
      <c r="A39" s="30"/>
      <c r="B39" s="499"/>
      <c r="C39" s="172"/>
      <c r="D39" s="180" t="str">
        <f>IF(Roster!$AD$5=0,"",Roster!$AD$5)</f>
        <v/>
      </c>
      <c r="E39" s="172"/>
      <c r="F39" s="180" t="str">
        <f>IF((SUM(H39,J39,L39))=0,"",(SUM(H39,J39,L39)))</f>
        <v/>
      </c>
      <c r="G39" s="172"/>
      <c r="H39" s="180" t="str">
        <f>IF(Roster!$AG$5=0,"",Roster!$AG$5)</f>
        <v/>
      </c>
      <c r="I39" s="172"/>
      <c r="J39" s="180" t="str">
        <f>IF(Roster!$AH$5=0,"",Roster!$AH$5)</f>
        <v/>
      </c>
      <c r="K39" s="172"/>
      <c r="L39" s="180" t="str">
        <f>IF(Roster!$AI$5=0,"",Roster!$AI$5)</f>
        <v/>
      </c>
      <c r="M39" s="172"/>
      <c r="N39" s="180" t="str">
        <f>IF(Roster!$AC$5=0,"",Roster!$AC$5)</f>
        <v/>
      </c>
      <c r="O39" s="178"/>
      <c r="P39" s="30"/>
      <c r="Q39" s="499"/>
      <c r="R39" s="172"/>
      <c r="S39" s="180" t="str">
        <f>IF(Roster!$AD$6=0,"",Roster!$AD$6)</f>
        <v/>
      </c>
      <c r="T39" s="172"/>
      <c r="U39" s="180" t="str">
        <f>IF((SUM(W39,Y39,AA39))=0,"",(SUM(W39,Y39,AA39)))</f>
        <v/>
      </c>
      <c r="V39" s="172"/>
      <c r="W39" s="180" t="str">
        <f>IF(Roster!$AG$6=0,"",Roster!$AG$6)</f>
        <v/>
      </c>
      <c r="X39" s="172"/>
      <c r="Y39" s="180" t="str">
        <f>IF(Roster!$AH$6=0,"",Roster!$AH$6)</f>
        <v/>
      </c>
      <c r="Z39" s="172"/>
      <c r="AA39" s="180" t="str">
        <f>IF(Roster!$AI$6=0,"",Roster!$AI$6)</f>
        <v/>
      </c>
      <c r="AB39" s="172"/>
      <c r="AC39" s="180" t="str">
        <f>IF(Roster!$AC$6=0,"",Roster!$AC$6)</f>
        <v/>
      </c>
      <c r="AD39" s="178"/>
      <c r="AE39" s="30"/>
      <c r="AF39" s="499"/>
      <c r="AG39" s="172"/>
      <c r="AH39" s="180" t="str">
        <f>IF(Roster!$AD$7=0,"",Roster!$AD$7)</f>
        <v/>
      </c>
      <c r="AI39" s="172"/>
      <c r="AJ39" s="180" t="str">
        <f>IF((SUM(AL39,AN39,AP39))=0,"",(SUM(AL39,AN39,AP39)))</f>
        <v/>
      </c>
      <c r="AK39" s="172"/>
      <c r="AL39" s="180" t="str">
        <f>IF(Roster!$AG$7=0,"",Roster!$AG$7)</f>
        <v/>
      </c>
      <c r="AM39" s="172"/>
      <c r="AN39" s="180" t="str">
        <f>IF(Roster!$AH$7=0,"",Roster!$AH$7)</f>
        <v/>
      </c>
      <c r="AO39" s="172"/>
      <c r="AP39" s="180" t="str">
        <f>IF(Roster!$AI$7=0,"",Roster!$AI$7)</f>
        <v/>
      </c>
      <c r="AQ39" s="172"/>
      <c r="AR39" s="180" t="str">
        <f>IF(Roster!$AC$7=0,"",Roster!$AC$7)</f>
        <v/>
      </c>
      <c r="AS39" s="178"/>
      <c r="AT39" s="30"/>
      <c r="AU39" s="499"/>
      <c r="AV39" s="172"/>
      <c r="AW39" s="180" t="str">
        <f>IF(Roster!$AD$8=0,"",Roster!$AD$8)</f>
        <v/>
      </c>
      <c r="AX39" s="172"/>
      <c r="AY39" s="180" t="str">
        <f>IF((SUM(BA39,BC39,BE39))=0,"",(SUM(BA39,BC39,BE39)))</f>
        <v/>
      </c>
      <c r="AZ39" s="172"/>
      <c r="BA39" s="180" t="str">
        <f>IF(Roster!$AG$8=0,"",Roster!$AG$8)</f>
        <v/>
      </c>
      <c r="BB39" s="172"/>
      <c r="BC39" s="180" t="str">
        <f>IF(Roster!$AH$8=0,"",Roster!$AH$8)</f>
        <v/>
      </c>
      <c r="BD39" s="172"/>
      <c r="BE39" s="180" t="str">
        <f>IF(Roster!$AI$8=0,"",Roster!$AI$8)</f>
        <v/>
      </c>
      <c r="BF39" s="172"/>
      <c r="BG39" s="180" t="str">
        <f>IF(Roster!$AC$8=0,"",Roster!$AC$8)</f>
        <v/>
      </c>
      <c r="BH39" s="178"/>
    </row>
    <row r="40" spans="1:60" ht="4.5" customHeight="1" x14ac:dyDescent="0.2">
      <c r="A40" s="30"/>
      <c r="B40" s="500"/>
      <c r="C40" s="172"/>
      <c r="D40" s="181"/>
      <c r="E40" s="172"/>
      <c r="F40" s="181"/>
      <c r="G40" s="172"/>
      <c r="H40" s="181"/>
      <c r="I40" s="172"/>
      <c r="J40" s="181"/>
      <c r="K40" s="172"/>
      <c r="L40" s="181"/>
      <c r="M40" s="172"/>
      <c r="N40" s="181"/>
      <c r="O40" s="178"/>
      <c r="P40" s="30"/>
      <c r="Q40" s="500"/>
      <c r="R40" s="172"/>
      <c r="S40" s="181"/>
      <c r="T40" s="172"/>
      <c r="U40" s="181"/>
      <c r="V40" s="172"/>
      <c r="W40" s="181"/>
      <c r="X40" s="172"/>
      <c r="Y40" s="181"/>
      <c r="Z40" s="172"/>
      <c r="AA40" s="181"/>
      <c r="AB40" s="172"/>
      <c r="AC40" s="181"/>
      <c r="AD40" s="178"/>
      <c r="AE40" s="30"/>
      <c r="AF40" s="500"/>
      <c r="AG40" s="172"/>
      <c r="AH40" s="181"/>
      <c r="AI40" s="172"/>
      <c r="AJ40" s="181"/>
      <c r="AK40" s="172"/>
      <c r="AL40" s="181"/>
      <c r="AM40" s="172"/>
      <c r="AN40" s="181"/>
      <c r="AO40" s="172"/>
      <c r="AP40" s="181"/>
      <c r="AQ40" s="172"/>
      <c r="AR40" s="181"/>
      <c r="AS40" s="178"/>
      <c r="AT40" s="30"/>
      <c r="AU40" s="500"/>
      <c r="AV40" s="172"/>
      <c r="AW40" s="181"/>
      <c r="AX40" s="172"/>
      <c r="AY40" s="181"/>
      <c r="AZ40" s="172"/>
      <c r="BA40" s="181"/>
      <c r="BB40" s="172"/>
      <c r="BC40" s="181"/>
      <c r="BD40" s="172"/>
      <c r="BE40" s="181"/>
      <c r="BF40" s="172"/>
      <c r="BG40" s="181"/>
      <c r="BH40" s="178"/>
    </row>
    <row r="41" spans="1:60" ht="11.25" customHeight="1" x14ac:dyDescent="0.2">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x14ac:dyDescent="0.2">
      <c r="A42" s="30"/>
      <c r="B42" s="532" t="str">
        <f>IF(Roster!$O$5=0&amp;"+","",Roster!$O$5)</f>
        <v/>
      </c>
      <c r="C42" s="172"/>
      <c r="D42" s="180" t="str">
        <f>IF(Roster!$AE$5=0,"",Roster!$AE$5)</f>
        <v/>
      </c>
      <c r="E42" s="172"/>
      <c r="F42" s="180" t="str">
        <f>IF(Roster!$AF$5=0,"",Roster!$AF$5)</f>
        <v/>
      </c>
      <c r="G42" s="172"/>
      <c r="H42" s="180" t="str">
        <f>IF(Roster!$AB$5=0,"",Roster!$AB$5)</f>
        <v/>
      </c>
      <c r="I42" s="172"/>
      <c r="J42" s="180" t="str">
        <f>IF(Roster!$AJ$5=0,"",Roster!$AJ$5)</f>
        <v/>
      </c>
      <c r="K42" s="172"/>
      <c r="L42" s="180" t="str">
        <f>IF(Roster!$AK$5=0,"",Roster!$AK$5)</f>
        <v/>
      </c>
      <c r="M42" s="172"/>
      <c r="N42" s="180" t="str">
        <f>IF(Roster!$AA$5=0,"",Roster!$AA$5)</f>
        <v/>
      </c>
      <c r="O42" s="182"/>
      <c r="P42" s="30"/>
      <c r="Q42" s="532" t="str">
        <f>IF(Roster!$O$6=0&amp;"+","",Roster!$O$6)</f>
        <v/>
      </c>
      <c r="R42" s="172"/>
      <c r="S42" s="180" t="str">
        <f>IF(Roster!$AE$6=0,"",Roster!$AE$6)</f>
        <v/>
      </c>
      <c r="T42" s="172"/>
      <c r="U42" s="180" t="str">
        <f>IF(Roster!$AF$6=0,"",Roster!$AF$6)</f>
        <v/>
      </c>
      <c r="V42" s="172"/>
      <c r="W42" s="180" t="str">
        <f>IF(Roster!$AB$6=0,"",Roster!$AB$6)</f>
        <v/>
      </c>
      <c r="X42" s="172"/>
      <c r="Y42" s="180" t="str">
        <f>IF(Roster!$AJ$6=0,"",Roster!$AJ$6)</f>
        <v/>
      </c>
      <c r="Z42" s="172"/>
      <c r="AA42" s="180" t="str">
        <f>IF(Roster!$AK$6=0,"",Roster!$AK$6)</f>
        <v/>
      </c>
      <c r="AB42" s="172"/>
      <c r="AC42" s="180" t="str">
        <f>IF(Roster!$AA$6=0,"",Roster!$AA$6)</f>
        <v/>
      </c>
      <c r="AD42" s="182"/>
      <c r="AE42" s="30"/>
      <c r="AF42" s="532" t="str">
        <f>IF(Roster!$O$7=0&amp;"+","",Roster!$O$7)</f>
        <v/>
      </c>
      <c r="AG42" s="172"/>
      <c r="AH42" s="180" t="str">
        <f>IF(Roster!$AE$7=0,"",Roster!$AE$7)</f>
        <v/>
      </c>
      <c r="AI42" s="172"/>
      <c r="AJ42" s="180" t="str">
        <f>IF(Roster!$AF$7=0,"",Roster!$AF$7)</f>
        <v/>
      </c>
      <c r="AK42" s="172"/>
      <c r="AL42" s="180" t="str">
        <f>IF(Roster!$AB$7=0,"",Roster!$AB$7)</f>
        <v/>
      </c>
      <c r="AM42" s="172"/>
      <c r="AN42" s="180" t="str">
        <f>IF(Roster!$AJ$7=0,"",Roster!$AJ$7)</f>
        <v/>
      </c>
      <c r="AO42" s="172"/>
      <c r="AP42" s="180" t="str">
        <f>IF(Roster!$AK$7=0,"",Roster!$AK$7)</f>
        <v/>
      </c>
      <c r="AQ42" s="172"/>
      <c r="AR42" s="180" t="str">
        <f>IF(Roster!$AA$7=0,"",Roster!$AA$7)</f>
        <v/>
      </c>
      <c r="AS42" s="182"/>
      <c r="AT42" s="30"/>
      <c r="AU42" s="532" t="str">
        <f>IF(Roster!$O$8=0&amp;"+","",Roster!$O$8)</f>
        <v/>
      </c>
      <c r="AV42" s="172"/>
      <c r="AW42" s="180" t="str">
        <f>IF(Roster!$AE$8=0,"",Roster!$AE$8)</f>
        <v/>
      </c>
      <c r="AX42" s="172"/>
      <c r="AY42" s="180" t="str">
        <f>IF(Roster!$AF$8=0,"",Roster!$AF$8)</f>
        <v/>
      </c>
      <c r="AZ42" s="172"/>
      <c r="BA42" s="180" t="str">
        <f>IF(Roster!$AB$8=0,"",Roster!$AB$8)</f>
        <v/>
      </c>
      <c r="BB42" s="172"/>
      <c r="BC42" s="180" t="str">
        <f>IF(Roster!$AJ$8=0,"",Roster!$AJ$8)</f>
        <v/>
      </c>
      <c r="BD42" s="172"/>
      <c r="BE42" s="180" t="str">
        <f>IF(Roster!$AK$8=0,"",Roster!$AK$8)</f>
        <v/>
      </c>
      <c r="BF42" s="172"/>
      <c r="BG42" s="180" t="str">
        <f>IF(Roster!$AA$8=0,"",Roster!$AA$8)</f>
        <v/>
      </c>
      <c r="BH42" s="182"/>
    </row>
    <row r="43" spans="1:60" ht="4.5" customHeight="1" x14ac:dyDescent="0.2">
      <c r="A43" s="30"/>
      <c r="B43" s="499"/>
      <c r="C43" s="172"/>
      <c r="D43" s="172"/>
      <c r="E43" s="172"/>
      <c r="F43" s="172"/>
      <c r="G43" s="172"/>
      <c r="H43" s="172"/>
      <c r="I43" s="172"/>
      <c r="J43" s="172"/>
      <c r="K43" s="172"/>
      <c r="L43" s="172"/>
      <c r="M43" s="172"/>
      <c r="N43" s="178"/>
      <c r="O43" s="182"/>
      <c r="P43" s="30"/>
      <c r="Q43" s="499"/>
      <c r="R43" s="172"/>
      <c r="S43" s="172"/>
      <c r="T43" s="172"/>
      <c r="U43" s="172"/>
      <c r="V43" s="172"/>
      <c r="W43" s="172"/>
      <c r="X43" s="172"/>
      <c r="Y43" s="172"/>
      <c r="Z43" s="172"/>
      <c r="AA43" s="172"/>
      <c r="AB43" s="172"/>
      <c r="AC43" s="178"/>
      <c r="AD43" s="182"/>
      <c r="AE43" s="30"/>
      <c r="AF43" s="499"/>
      <c r="AG43" s="172"/>
      <c r="AH43" s="172"/>
      <c r="AI43" s="172"/>
      <c r="AJ43" s="172"/>
      <c r="AK43" s="172"/>
      <c r="AL43" s="172"/>
      <c r="AM43" s="172"/>
      <c r="AN43" s="172"/>
      <c r="AO43" s="172"/>
      <c r="AP43" s="172"/>
      <c r="AQ43" s="172"/>
      <c r="AR43" s="178"/>
      <c r="AS43" s="182"/>
      <c r="AT43" s="30"/>
      <c r="AU43" s="499"/>
      <c r="AV43" s="172"/>
      <c r="AW43" s="172"/>
      <c r="AX43" s="172"/>
      <c r="AY43" s="172"/>
      <c r="AZ43" s="172"/>
      <c r="BA43" s="172"/>
      <c r="BB43" s="172"/>
      <c r="BC43" s="172"/>
      <c r="BD43" s="172"/>
      <c r="BE43" s="172"/>
      <c r="BF43" s="172"/>
      <c r="BG43" s="178"/>
      <c r="BH43" s="182"/>
    </row>
    <row r="44" spans="1:60" ht="11.25" customHeight="1" x14ac:dyDescent="0.2">
      <c r="A44" s="30"/>
      <c r="B44" s="499"/>
      <c r="C44" s="172"/>
      <c r="D44" s="529" t="str">
        <f>IF(Roster!$K$25="Italiano","ABILITÀ &amp; TRATTI",(IF(Roster!$K$25="Español","HABILIDADES Y RASGOS","SKILLS &amp; TRAITS")))</f>
        <v>SKILLS &amp; TRAITS</v>
      </c>
      <c r="E44" s="484"/>
      <c r="F44" s="484"/>
      <c r="G44" s="484"/>
      <c r="H44" s="484"/>
      <c r="I44" s="484"/>
      <c r="J44" s="484"/>
      <c r="K44" s="484"/>
      <c r="L44" s="484"/>
      <c r="M44" s="484"/>
      <c r="N44" s="485"/>
      <c r="O44" s="182"/>
      <c r="P44" s="30"/>
      <c r="Q44" s="499"/>
      <c r="R44" s="172"/>
      <c r="S44" s="529" t="str">
        <f>IF(Roster!$K$25="Italiano","ABILITÀ &amp; TRATTI",(IF(Roster!$K$25="Español","HABILIDADES Y RASGOS","SKILLS &amp; TRAITS")))</f>
        <v>SKILLS &amp; TRAITS</v>
      </c>
      <c r="T44" s="484"/>
      <c r="U44" s="484"/>
      <c r="V44" s="484"/>
      <c r="W44" s="484"/>
      <c r="X44" s="484"/>
      <c r="Y44" s="484"/>
      <c r="Z44" s="484"/>
      <c r="AA44" s="484"/>
      <c r="AB44" s="484"/>
      <c r="AC44" s="485"/>
      <c r="AD44" s="182"/>
      <c r="AE44" s="30"/>
      <c r="AF44" s="499"/>
      <c r="AG44" s="172"/>
      <c r="AH44" s="529" t="str">
        <f>IF(Roster!$K$25="Italiano","ABILITÀ &amp; TRATTI",(IF(Roster!$K$25="Español","HABILIDADES Y RASGOS","SKILLS &amp; TRAITS")))</f>
        <v>SKILLS &amp; TRAITS</v>
      </c>
      <c r="AI44" s="484"/>
      <c r="AJ44" s="484"/>
      <c r="AK44" s="484"/>
      <c r="AL44" s="484"/>
      <c r="AM44" s="484"/>
      <c r="AN44" s="484"/>
      <c r="AO44" s="484"/>
      <c r="AP44" s="484"/>
      <c r="AQ44" s="484"/>
      <c r="AR44" s="485"/>
      <c r="AS44" s="182"/>
      <c r="AT44" s="30"/>
      <c r="AU44" s="499"/>
      <c r="AV44" s="172"/>
      <c r="AW44" s="529" t="str">
        <f>IF(Roster!$K$25="Italiano","ABILITÀ &amp; TRATTI",(IF(Roster!$K$25="Español","HABILIDADES Y RASGOS","SKILLS &amp; TRAITS")))</f>
        <v>SKILLS &amp; TRAITS</v>
      </c>
      <c r="AX44" s="484"/>
      <c r="AY44" s="484"/>
      <c r="AZ44" s="484"/>
      <c r="BA44" s="484"/>
      <c r="BB44" s="484"/>
      <c r="BC44" s="484"/>
      <c r="BD44" s="484"/>
      <c r="BE44" s="484"/>
      <c r="BF44" s="484"/>
      <c r="BG44" s="485"/>
      <c r="BH44" s="182"/>
    </row>
    <row r="45" spans="1:60" ht="6.75" customHeight="1" x14ac:dyDescent="0.2">
      <c r="A45" s="30"/>
      <c r="B45" s="500"/>
      <c r="C45" s="172"/>
      <c r="D45" s="533" t="str">
        <f>IF(Roster!$P$5=0&amp;BF5,"",Roster!$P$5)</f>
        <v/>
      </c>
      <c r="E45" s="534"/>
      <c r="F45" s="534"/>
      <c r="G45" s="534"/>
      <c r="H45" s="534"/>
      <c r="I45" s="534"/>
      <c r="J45" s="534"/>
      <c r="K45" s="534"/>
      <c r="L45" s="534"/>
      <c r="M45" s="534"/>
      <c r="N45" s="535"/>
      <c r="O45" s="182"/>
      <c r="P45" s="30"/>
      <c r="Q45" s="500"/>
      <c r="R45" s="172"/>
      <c r="S45" s="533" t="str">
        <f>IF(Roster!$P$6=0&amp;BF6,"",Roster!$P$6)</f>
        <v/>
      </c>
      <c r="T45" s="534"/>
      <c r="U45" s="534"/>
      <c r="V45" s="534"/>
      <c r="W45" s="534"/>
      <c r="X45" s="534"/>
      <c r="Y45" s="534"/>
      <c r="Z45" s="534"/>
      <c r="AA45" s="534"/>
      <c r="AB45" s="534"/>
      <c r="AC45" s="535"/>
      <c r="AD45" s="182"/>
      <c r="AE45" s="30"/>
      <c r="AF45" s="500"/>
      <c r="AG45" s="172"/>
      <c r="AH45" s="533" t="str">
        <f>IF(Roster!$P$7=0&amp;BF7,"",Roster!$P$7)</f>
        <v/>
      </c>
      <c r="AI45" s="534"/>
      <c r="AJ45" s="534"/>
      <c r="AK45" s="534"/>
      <c r="AL45" s="534"/>
      <c r="AM45" s="534"/>
      <c r="AN45" s="534"/>
      <c r="AO45" s="534"/>
      <c r="AP45" s="534"/>
      <c r="AQ45" s="534"/>
      <c r="AR45" s="535"/>
      <c r="AS45" s="182"/>
      <c r="AT45" s="30"/>
      <c r="AU45" s="500"/>
      <c r="AV45" s="172"/>
      <c r="AW45" s="533" t="str">
        <f>IF(Roster!$P$8=0&amp;BF8,"",Roster!$P$8)</f>
        <v/>
      </c>
      <c r="AX45" s="534"/>
      <c r="AY45" s="534"/>
      <c r="AZ45" s="534"/>
      <c r="BA45" s="534"/>
      <c r="BB45" s="534"/>
      <c r="BC45" s="534"/>
      <c r="BD45" s="534"/>
      <c r="BE45" s="534"/>
      <c r="BF45" s="534"/>
      <c r="BG45" s="535"/>
      <c r="BH45" s="182"/>
    </row>
    <row r="46" spans="1:60" ht="11.25" customHeight="1" x14ac:dyDescent="0.2">
      <c r="A46" s="30"/>
      <c r="B46" s="171" t="str">
        <f>IF(Roster!$AO$1=0,"",Roster!$AO$1)</f>
        <v>COST</v>
      </c>
      <c r="C46" s="171"/>
      <c r="D46" s="536"/>
      <c r="E46" s="537"/>
      <c r="F46" s="537"/>
      <c r="G46" s="537"/>
      <c r="H46" s="537"/>
      <c r="I46" s="537"/>
      <c r="J46" s="537"/>
      <c r="K46" s="537"/>
      <c r="L46" s="537"/>
      <c r="M46" s="537"/>
      <c r="N46" s="538"/>
      <c r="O46" s="183"/>
      <c r="P46" s="30"/>
      <c r="Q46" s="171" t="str">
        <f>IF(Roster!$AO$1=0,"",Roster!$AO$1)</f>
        <v>COST</v>
      </c>
      <c r="R46" s="171"/>
      <c r="S46" s="536"/>
      <c r="T46" s="537"/>
      <c r="U46" s="537"/>
      <c r="V46" s="537"/>
      <c r="W46" s="537"/>
      <c r="X46" s="537"/>
      <c r="Y46" s="537"/>
      <c r="Z46" s="537"/>
      <c r="AA46" s="537"/>
      <c r="AB46" s="537"/>
      <c r="AC46" s="538"/>
      <c r="AD46" s="183"/>
      <c r="AE46" s="30"/>
      <c r="AF46" s="171" t="str">
        <f>IF(Roster!$AO$1=0,"",Roster!$AO$1)</f>
        <v>COST</v>
      </c>
      <c r="AG46" s="171"/>
      <c r="AH46" s="536"/>
      <c r="AI46" s="537"/>
      <c r="AJ46" s="537"/>
      <c r="AK46" s="537"/>
      <c r="AL46" s="537"/>
      <c r="AM46" s="537"/>
      <c r="AN46" s="537"/>
      <c r="AO46" s="537"/>
      <c r="AP46" s="537"/>
      <c r="AQ46" s="537"/>
      <c r="AR46" s="538"/>
      <c r="AS46" s="183"/>
      <c r="AT46" s="30"/>
      <c r="AU46" s="171" t="str">
        <f>IF(Roster!$AO$1=0,"",Roster!$AO$1)</f>
        <v>COST</v>
      </c>
      <c r="AV46" s="171"/>
      <c r="AW46" s="536"/>
      <c r="AX46" s="537"/>
      <c r="AY46" s="537"/>
      <c r="AZ46" s="537"/>
      <c r="BA46" s="537"/>
      <c r="BB46" s="537"/>
      <c r="BC46" s="537"/>
      <c r="BD46" s="537"/>
      <c r="BE46" s="537"/>
      <c r="BF46" s="537"/>
      <c r="BG46" s="538"/>
      <c r="BH46" s="183"/>
    </row>
    <row r="47" spans="1:60" ht="34.5" customHeight="1" x14ac:dyDescent="0.2">
      <c r="A47" s="30"/>
      <c r="B47" s="185" t="str">
        <f>IF(Roster!$AO$5=0,"",Roster!$AO$5)</f>
        <v/>
      </c>
      <c r="C47" s="186"/>
      <c r="D47" s="539"/>
      <c r="E47" s="540"/>
      <c r="F47" s="540"/>
      <c r="G47" s="540"/>
      <c r="H47" s="540"/>
      <c r="I47" s="540"/>
      <c r="J47" s="540"/>
      <c r="K47" s="540"/>
      <c r="L47" s="540"/>
      <c r="M47" s="540"/>
      <c r="N47" s="541"/>
      <c r="O47" s="183"/>
      <c r="P47" s="30"/>
      <c r="Q47" s="185" t="str">
        <f>IF(Roster!$AO$6=0,"",Roster!$AO$6)</f>
        <v/>
      </c>
      <c r="R47" s="186"/>
      <c r="S47" s="539"/>
      <c r="T47" s="540"/>
      <c r="U47" s="540"/>
      <c r="V47" s="540"/>
      <c r="W47" s="540"/>
      <c r="X47" s="540"/>
      <c r="Y47" s="540"/>
      <c r="Z47" s="540"/>
      <c r="AA47" s="540"/>
      <c r="AB47" s="540"/>
      <c r="AC47" s="541"/>
      <c r="AD47" s="183"/>
      <c r="AE47" s="30"/>
      <c r="AF47" s="185" t="str">
        <f>IF(Roster!$AO$7=0,"",Roster!$AO$7)</f>
        <v/>
      </c>
      <c r="AG47" s="186"/>
      <c r="AH47" s="539"/>
      <c r="AI47" s="540"/>
      <c r="AJ47" s="540"/>
      <c r="AK47" s="540"/>
      <c r="AL47" s="540"/>
      <c r="AM47" s="540"/>
      <c r="AN47" s="540"/>
      <c r="AO47" s="540"/>
      <c r="AP47" s="540"/>
      <c r="AQ47" s="540"/>
      <c r="AR47" s="541"/>
      <c r="AS47" s="183"/>
      <c r="AT47" s="30"/>
      <c r="AU47" s="185" t="str">
        <f>IF(Roster!$AO$8=0,"",Roster!$AO$8)</f>
        <v/>
      </c>
      <c r="AV47" s="186"/>
      <c r="AW47" s="539"/>
      <c r="AX47" s="540"/>
      <c r="AY47" s="540"/>
      <c r="AZ47" s="540"/>
      <c r="BA47" s="540"/>
      <c r="BB47" s="540"/>
      <c r="BC47" s="540"/>
      <c r="BD47" s="540"/>
      <c r="BE47" s="540"/>
      <c r="BF47" s="540"/>
      <c r="BG47" s="541"/>
      <c r="BH47" s="183"/>
    </row>
    <row r="48" spans="1:60" ht="4.5" customHeight="1" x14ac:dyDescent="0.2">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x14ac:dyDescent="0.2">
      <c r="A50" s="30"/>
      <c r="B50" s="531" t="str">
        <f>IF(Roster!$A$9=0,"","#"&amp;Roster!$A$9)</f>
        <v>#8</v>
      </c>
      <c r="C50" s="167"/>
      <c r="D50" s="167"/>
      <c r="E50" s="167"/>
      <c r="F50" s="167"/>
      <c r="G50" s="167"/>
      <c r="H50" s="167"/>
      <c r="I50" s="167"/>
      <c r="J50" s="167"/>
      <c r="K50" s="167"/>
      <c r="L50" s="167"/>
      <c r="M50" s="167"/>
      <c r="N50" s="167"/>
      <c r="O50" s="167"/>
      <c r="P50" s="30"/>
      <c r="Q50" s="531" t="str">
        <f>IF(Roster!$A$10=0,"","#"&amp;Roster!$A$10)</f>
        <v>#9</v>
      </c>
      <c r="R50" s="167"/>
      <c r="S50" s="167"/>
      <c r="T50" s="167"/>
      <c r="U50" s="167"/>
      <c r="V50" s="167"/>
      <c r="W50" s="167"/>
      <c r="X50" s="167"/>
      <c r="Y50" s="167"/>
      <c r="Z50" s="167"/>
      <c r="AA50" s="167"/>
      <c r="AB50" s="167"/>
      <c r="AC50" s="167"/>
      <c r="AD50" s="167"/>
      <c r="AE50" s="30"/>
      <c r="AF50" s="531" t="str">
        <f>IF(Roster!$A$11=0,"","#"&amp;Roster!$A$11)</f>
        <v>#10</v>
      </c>
      <c r="AG50" s="167"/>
      <c r="AH50" s="167"/>
      <c r="AI50" s="167"/>
      <c r="AJ50" s="167"/>
      <c r="AK50" s="167"/>
      <c r="AL50" s="167"/>
      <c r="AM50" s="167"/>
      <c r="AN50" s="167"/>
      <c r="AO50" s="167"/>
      <c r="AP50" s="167"/>
      <c r="AQ50" s="167"/>
      <c r="AR50" s="167"/>
      <c r="AS50" s="167"/>
      <c r="AT50" s="30"/>
      <c r="AU50" s="531" t="str">
        <f>IF(Roster!$A$12=0,"","#"&amp;Roster!$A$12)</f>
        <v>#11</v>
      </c>
      <c r="AV50" s="167"/>
      <c r="AW50" s="167"/>
      <c r="AX50" s="167"/>
      <c r="AY50" s="167"/>
      <c r="AZ50" s="167"/>
      <c r="BA50" s="167"/>
      <c r="BB50" s="167"/>
      <c r="BC50" s="167"/>
      <c r="BD50" s="167"/>
      <c r="BE50" s="167"/>
      <c r="BF50" s="167"/>
      <c r="BG50" s="167"/>
      <c r="BH50" s="167"/>
    </row>
    <row r="51" spans="1:60" ht="15" customHeight="1" x14ac:dyDescent="0.25">
      <c r="A51" s="30"/>
      <c r="B51" s="499"/>
      <c r="C51" s="524" t="str">
        <f>IF(Roster!$B$9=0,"",Roster!$B$9)</f>
        <v/>
      </c>
      <c r="D51" s="484"/>
      <c r="E51" s="484"/>
      <c r="F51" s="484"/>
      <c r="G51" s="484"/>
      <c r="H51" s="484"/>
      <c r="I51" s="484"/>
      <c r="J51" s="484"/>
      <c r="K51" s="484"/>
      <c r="L51" s="484"/>
      <c r="M51" s="484"/>
      <c r="N51" s="485"/>
      <c r="O51" s="167"/>
      <c r="P51" s="30"/>
      <c r="Q51" s="499"/>
      <c r="R51" s="524" t="str">
        <f>IF(Roster!$B$10=0,"",Roster!$B$10)</f>
        <v/>
      </c>
      <c r="S51" s="484"/>
      <c r="T51" s="484"/>
      <c r="U51" s="484"/>
      <c r="V51" s="484"/>
      <c r="W51" s="484"/>
      <c r="X51" s="484"/>
      <c r="Y51" s="484"/>
      <c r="Z51" s="484"/>
      <c r="AA51" s="484"/>
      <c r="AB51" s="484"/>
      <c r="AC51" s="485"/>
      <c r="AD51" s="167"/>
      <c r="AE51" s="30"/>
      <c r="AF51" s="499"/>
      <c r="AG51" s="524" t="str">
        <f>IF(Roster!$B$11=0,"",Roster!$B$11)</f>
        <v/>
      </c>
      <c r="AH51" s="484"/>
      <c r="AI51" s="484"/>
      <c r="AJ51" s="484"/>
      <c r="AK51" s="484"/>
      <c r="AL51" s="484"/>
      <c r="AM51" s="484"/>
      <c r="AN51" s="484"/>
      <c r="AO51" s="484"/>
      <c r="AP51" s="484"/>
      <c r="AQ51" s="484"/>
      <c r="AR51" s="485"/>
      <c r="AS51" s="167"/>
      <c r="AT51" s="30"/>
      <c r="AU51" s="499"/>
      <c r="AV51" s="524" t="str">
        <f>IF(Roster!$B$12=0,"",Roster!$B$12)</f>
        <v/>
      </c>
      <c r="AW51" s="484"/>
      <c r="AX51" s="484"/>
      <c r="AY51" s="484"/>
      <c r="AZ51" s="484"/>
      <c r="BA51" s="484"/>
      <c r="BB51" s="484"/>
      <c r="BC51" s="484"/>
      <c r="BD51" s="484"/>
      <c r="BE51" s="484"/>
      <c r="BF51" s="484"/>
      <c r="BG51" s="485"/>
      <c r="BH51" s="167"/>
    </row>
    <row r="52" spans="1:60" ht="11.25" customHeight="1" x14ac:dyDescent="0.2">
      <c r="A52" s="30"/>
      <c r="B52" s="500"/>
      <c r="C52" s="530" t="str">
        <f>IF(Roster!$D$9=0,"",Roster!$D$9)</f>
        <v/>
      </c>
      <c r="D52" s="484"/>
      <c r="E52" s="484"/>
      <c r="F52" s="484"/>
      <c r="G52" s="484"/>
      <c r="H52" s="484"/>
      <c r="I52" s="484"/>
      <c r="J52" s="484"/>
      <c r="K52" s="484"/>
      <c r="L52" s="484"/>
      <c r="M52" s="484"/>
      <c r="N52" s="485"/>
      <c r="O52" s="168"/>
      <c r="P52" s="30"/>
      <c r="Q52" s="500"/>
      <c r="R52" s="530" t="str">
        <f>IF(Roster!$D$10=0,"",Roster!$D$10)</f>
        <v/>
      </c>
      <c r="S52" s="484"/>
      <c r="T52" s="484"/>
      <c r="U52" s="484"/>
      <c r="V52" s="484"/>
      <c r="W52" s="484"/>
      <c r="X52" s="484"/>
      <c r="Y52" s="484"/>
      <c r="Z52" s="484"/>
      <c r="AA52" s="484"/>
      <c r="AB52" s="484"/>
      <c r="AC52" s="485"/>
      <c r="AD52" s="168"/>
      <c r="AE52" s="30"/>
      <c r="AF52" s="500"/>
      <c r="AG52" s="530" t="str">
        <f>IF(Roster!$D$11=0,"",Roster!$D$11)</f>
        <v/>
      </c>
      <c r="AH52" s="484"/>
      <c r="AI52" s="484"/>
      <c r="AJ52" s="484"/>
      <c r="AK52" s="484"/>
      <c r="AL52" s="484"/>
      <c r="AM52" s="484"/>
      <c r="AN52" s="484"/>
      <c r="AO52" s="484"/>
      <c r="AP52" s="484"/>
      <c r="AQ52" s="484"/>
      <c r="AR52" s="485"/>
      <c r="AS52" s="168"/>
      <c r="AT52" s="30"/>
      <c r="AU52" s="500"/>
      <c r="AV52" s="530" t="str">
        <f>IF(Roster!$D$12=0,"",Roster!$D$12)</f>
        <v/>
      </c>
      <c r="AW52" s="484"/>
      <c r="AX52" s="484"/>
      <c r="AY52" s="484"/>
      <c r="AZ52" s="484"/>
      <c r="BA52" s="484"/>
      <c r="BB52" s="484"/>
      <c r="BC52" s="484"/>
      <c r="BD52" s="484"/>
      <c r="BE52" s="484"/>
      <c r="BF52" s="484"/>
      <c r="BG52" s="485"/>
      <c r="BH52" s="168"/>
    </row>
    <row r="53" spans="1:60" ht="11.25" customHeight="1" x14ac:dyDescent="0.2">
      <c r="A53" s="30"/>
      <c r="B53" s="171" t="str">
        <f>IF(Roster!$K$1=0,"",Roster!$K$1)</f>
        <v>MA</v>
      </c>
      <c r="C53" s="170"/>
      <c r="D53" s="543"/>
      <c r="E53" s="543"/>
      <c r="F53" s="543"/>
      <c r="G53" s="543"/>
      <c r="H53" s="543"/>
      <c r="I53" s="543"/>
      <c r="J53" s="543"/>
      <c r="K53" s="543"/>
      <c r="L53" s="543"/>
      <c r="M53" s="543"/>
      <c r="N53" s="543"/>
      <c r="O53" s="167"/>
      <c r="P53" s="30"/>
      <c r="Q53" s="171" t="str">
        <f>IF(Roster!$K$1=0,"",Roster!$K$1)</f>
        <v>MA</v>
      </c>
      <c r="R53" s="170"/>
      <c r="S53" s="543"/>
      <c r="T53" s="543"/>
      <c r="U53" s="543"/>
      <c r="V53" s="543"/>
      <c r="W53" s="543"/>
      <c r="X53" s="543"/>
      <c r="Y53" s="543"/>
      <c r="Z53" s="543"/>
      <c r="AA53" s="543"/>
      <c r="AB53" s="543"/>
      <c r="AC53" s="543"/>
      <c r="AD53" s="167"/>
      <c r="AE53" s="30"/>
      <c r="AF53" s="171" t="str">
        <f>IF(Roster!$K$1=0,"",Roster!$K$1)</f>
        <v>MA</v>
      </c>
      <c r="AG53" s="170"/>
      <c r="AH53" s="543"/>
      <c r="AI53" s="543"/>
      <c r="AJ53" s="543"/>
      <c r="AK53" s="543"/>
      <c r="AL53" s="543"/>
      <c r="AM53" s="543"/>
      <c r="AN53" s="543"/>
      <c r="AO53" s="543"/>
      <c r="AP53" s="543"/>
      <c r="AQ53" s="543"/>
      <c r="AR53" s="543"/>
      <c r="AS53" s="167"/>
      <c r="AT53" s="30"/>
      <c r="AU53" s="171" t="str">
        <f>IF(Roster!$K$1=0,"",Roster!$K$1)</f>
        <v>MA</v>
      </c>
      <c r="AV53" s="170"/>
      <c r="AW53" s="543"/>
      <c r="AX53" s="543"/>
      <c r="AY53" s="543"/>
      <c r="AZ53" s="543"/>
      <c r="BA53" s="543"/>
      <c r="BB53" s="543"/>
      <c r="BC53" s="543"/>
      <c r="BD53" s="543"/>
      <c r="BE53" s="543"/>
      <c r="BF53" s="543"/>
      <c r="BG53" s="543"/>
      <c r="BH53" s="167"/>
    </row>
    <row r="54" spans="1:60" ht="37.5" customHeight="1" x14ac:dyDescent="0.2">
      <c r="A54" s="30"/>
      <c r="B54" s="173" t="str">
        <f>IF(Roster!$K$9=0,"",Roster!$K$9)</f>
        <v/>
      </c>
      <c r="C54" s="170"/>
      <c r="D54" s="543"/>
      <c r="E54" s="543"/>
      <c r="F54" s="543"/>
      <c r="G54" s="543"/>
      <c r="H54" s="543"/>
      <c r="I54" s="543"/>
      <c r="J54" s="543"/>
      <c r="K54" s="543"/>
      <c r="L54" s="543"/>
      <c r="M54" s="543"/>
      <c r="N54" s="543"/>
      <c r="O54" s="167"/>
      <c r="P54" s="30"/>
      <c r="Q54" s="173" t="str">
        <f>IF(Roster!$K$10=0,"",Roster!$K$10)</f>
        <v/>
      </c>
      <c r="R54" s="170"/>
      <c r="S54" s="543"/>
      <c r="T54" s="543"/>
      <c r="U54" s="543"/>
      <c r="V54" s="543"/>
      <c r="W54" s="543"/>
      <c r="X54" s="543"/>
      <c r="Y54" s="543"/>
      <c r="Z54" s="543"/>
      <c r="AA54" s="543"/>
      <c r="AB54" s="543"/>
      <c r="AC54" s="543"/>
      <c r="AD54" s="167"/>
      <c r="AE54" s="30"/>
      <c r="AF54" s="173" t="str">
        <f>IF(Roster!$K$11=0,"",Roster!$K$11)</f>
        <v/>
      </c>
      <c r="AG54" s="170"/>
      <c r="AH54" s="543"/>
      <c r="AI54" s="543"/>
      <c r="AJ54" s="543"/>
      <c r="AK54" s="543"/>
      <c r="AL54" s="543"/>
      <c r="AM54" s="543"/>
      <c r="AN54" s="543"/>
      <c r="AO54" s="543"/>
      <c r="AP54" s="543"/>
      <c r="AQ54" s="543"/>
      <c r="AR54" s="543"/>
      <c r="AS54" s="167"/>
      <c r="AT54" s="30"/>
      <c r="AU54" s="173" t="str">
        <f>IF(Roster!$K$12=0,"",Roster!$K$12)</f>
        <v/>
      </c>
      <c r="AV54" s="170"/>
      <c r="AW54" s="543"/>
      <c r="AX54" s="543"/>
      <c r="AY54" s="543"/>
      <c r="AZ54" s="543"/>
      <c r="BA54" s="543"/>
      <c r="BB54" s="543"/>
      <c r="BC54" s="543"/>
      <c r="BD54" s="543"/>
      <c r="BE54" s="543"/>
      <c r="BF54" s="543"/>
      <c r="BG54" s="543"/>
      <c r="BH54" s="167"/>
    </row>
    <row r="55" spans="1:60" ht="11.25" customHeight="1" x14ac:dyDescent="0.2">
      <c r="A55" s="30"/>
      <c r="B55" s="171" t="str">
        <f>IF(Roster!$L$1=0,"",Roster!$L$1)</f>
        <v>ST</v>
      </c>
      <c r="C55" s="170"/>
      <c r="D55" s="543"/>
      <c r="E55" s="543"/>
      <c r="F55" s="543"/>
      <c r="G55" s="543"/>
      <c r="H55" s="543"/>
      <c r="I55" s="543"/>
      <c r="J55" s="543"/>
      <c r="K55" s="543"/>
      <c r="L55" s="543"/>
      <c r="M55" s="543"/>
      <c r="N55" s="543"/>
      <c r="O55" s="167"/>
      <c r="P55" s="30"/>
      <c r="Q55" s="171" t="str">
        <f>IF(Roster!$L$1=0,"",Roster!$L$1)</f>
        <v>ST</v>
      </c>
      <c r="R55" s="170"/>
      <c r="S55" s="543"/>
      <c r="T55" s="543"/>
      <c r="U55" s="543"/>
      <c r="V55" s="543"/>
      <c r="W55" s="543"/>
      <c r="X55" s="543"/>
      <c r="Y55" s="543"/>
      <c r="Z55" s="543"/>
      <c r="AA55" s="543"/>
      <c r="AB55" s="543"/>
      <c r="AC55" s="543"/>
      <c r="AD55" s="167"/>
      <c r="AE55" s="30"/>
      <c r="AF55" s="171" t="str">
        <f>IF(Roster!$L$1=0,"",Roster!$L$1)</f>
        <v>ST</v>
      </c>
      <c r="AG55" s="170"/>
      <c r="AH55" s="543"/>
      <c r="AI55" s="543"/>
      <c r="AJ55" s="543"/>
      <c r="AK55" s="543"/>
      <c r="AL55" s="543"/>
      <c r="AM55" s="543"/>
      <c r="AN55" s="543"/>
      <c r="AO55" s="543"/>
      <c r="AP55" s="543"/>
      <c r="AQ55" s="543"/>
      <c r="AR55" s="543"/>
      <c r="AS55" s="167"/>
      <c r="AT55" s="30"/>
      <c r="AU55" s="171" t="str">
        <f>IF(Roster!$L$1=0,"",Roster!$L$1)</f>
        <v>ST</v>
      </c>
      <c r="AV55" s="170"/>
      <c r="AW55" s="543"/>
      <c r="AX55" s="543"/>
      <c r="AY55" s="543"/>
      <c r="AZ55" s="543"/>
      <c r="BA55" s="543"/>
      <c r="BB55" s="543"/>
      <c r="BC55" s="543"/>
      <c r="BD55" s="543"/>
      <c r="BE55" s="543"/>
      <c r="BF55" s="543"/>
      <c r="BG55" s="543"/>
      <c r="BH55" s="167"/>
    </row>
    <row r="56" spans="1:60" ht="37.5" customHeight="1" x14ac:dyDescent="0.2">
      <c r="A56" s="30"/>
      <c r="B56" s="173" t="str">
        <f>IF(Roster!$L$9=0,"",Roster!$L$9)</f>
        <v/>
      </c>
      <c r="C56" s="170"/>
      <c r="D56" s="543"/>
      <c r="E56" s="543"/>
      <c r="F56" s="543"/>
      <c r="G56" s="543"/>
      <c r="H56" s="543"/>
      <c r="I56" s="543"/>
      <c r="J56" s="543"/>
      <c r="K56" s="543"/>
      <c r="L56" s="543"/>
      <c r="M56" s="543"/>
      <c r="N56" s="543"/>
      <c r="O56" s="167"/>
      <c r="P56" s="30"/>
      <c r="Q56" s="173" t="str">
        <f>IF(Roster!$L$10=0,"",Roster!$L$10)</f>
        <v/>
      </c>
      <c r="R56" s="170"/>
      <c r="S56" s="543"/>
      <c r="T56" s="543"/>
      <c r="U56" s="543"/>
      <c r="V56" s="543"/>
      <c r="W56" s="543"/>
      <c r="X56" s="543"/>
      <c r="Y56" s="543"/>
      <c r="Z56" s="543"/>
      <c r="AA56" s="543"/>
      <c r="AB56" s="543"/>
      <c r="AC56" s="543"/>
      <c r="AD56" s="167"/>
      <c r="AE56" s="30"/>
      <c r="AF56" s="173" t="str">
        <f>IF(Roster!$L$11=0,"",Roster!$L$11)</f>
        <v/>
      </c>
      <c r="AG56" s="170"/>
      <c r="AH56" s="543"/>
      <c r="AI56" s="543"/>
      <c r="AJ56" s="543"/>
      <c r="AK56" s="543"/>
      <c r="AL56" s="543"/>
      <c r="AM56" s="543"/>
      <c r="AN56" s="543"/>
      <c r="AO56" s="543"/>
      <c r="AP56" s="543"/>
      <c r="AQ56" s="543"/>
      <c r="AR56" s="543"/>
      <c r="AS56" s="167"/>
      <c r="AT56" s="30"/>
      <c r="AU56" s="173" t="str">
        <f>IF(Roster!$L$12=0,"",Roster!$L$12)</f>
        <v/>
      </c>
      <c r="AV56" s="170"/>
      <c r="AW56" s="543"/>
      <c r="AX56" s="543"/>
      <c r="AY56" s="543"/>
      <c r="AZ56" s="543"/>
      <c r="BA56" s="543"/>
      <c r="BB56" s="543"/>
      <c r="BC56" s="543"/>
      <c r="BD56" s="543"/>
      <c r="BE56" s="543"/>
      <c r="BF56" s="543"/>
      <c r="BG56" s="543"/>
      <c r="BH56" s="167"/>
    </row>
    <row r="57" spans="1:60" ht="11.25" customHeight="1" x14ac:dyDescent="0.2">
      <c r="A57" s="30"/>
      <c r="B57" s="171" t="str">
        <f>IF(Roster!$M$1=0,"",Roster!$M$1)</f>
        <v>AG</v>
      </c>
      <c r="C57" s="170"/>
      <c r="D57" s="543"/>
      <c r="E57" s="543"/>
      <c r="F57" s="543"/>
      <c r="G57" s="543"/>
      <c r="H57" s="543"/>
      <c r="I57" s="543"/>
      <c r="J57" s="543"/>
      <c r="K57" s="543"/>
      <c r="L57" s="543"/>
      <c r="M57" s="543"/>
      <c r="N57" s="543"/>
      <c r="O57" s="167"/>
      <c r="P57" s="30"/>
      <c r="Q57" s="171" t="str">
        <f>IF(Roster!$M$1=0,"",Roster!$M$1)</f>
        <v>AG</v>
      </c>
      <c r="R57" s="170"/>
      <c r="S57" s="543"/>
      <c r="T57" s="543"/>
      <c r="U57" s="543"/>
      <c r="V57" s="543"/>
      <c r="W57" s="543"/>
      <c r="X57" s="543"/>
      <c r="Y57" s="543"/>
      <c r="Z57" s="543"/>
      <c r="AA57" s="543"/>
      <c r="AB57" s="543"/>
      <c r="AC57" s="543"/>
      <c r="AD57" s="167"/>
      <c r="AE57" s="30"/>
      <c r="AF57" s="171" t="str">
        <f>IF(Roster!$M$1=0,"",Roster!$M$1)</f>
        <v>AG</v>
      </c>
      <c r="AG57" s="170"/>
      <c r="AH57" s="543"/>
      <c r="AI57" s="543"/>
      <c r="AJ57" s="543"/>
      <c r="AK57" s="543"/>
      <c r="AL57" s="543"/>
      <c r="AM57" s="543"/>
      <c r="AN57" s="543"/>
      <c r="AO57" s="543"/>
      <c r="AP57" s="543"/>
      <c r="AQ57" s="543"/>
      <c r="AR57" s="543"/>
      <c r="AS57" s="167"/>
      <c r="AT57" s="30"/>
      <c r="AU57" s="171" t="str">
        <f>IF(Roster!$M$1=0,"",Roster!$M$1)</f>
        <v>AG</v>
      </c>
      <c r="AV57" s="170"/>
      <c r="AW57" s="543"/>
      <c r="AX57" s="543"/>
      <c r="AY57" s="543"/>
      <c r="AZ57" s="543"/>
      <c r="BA57" s="543"/>
      <c r="BB57" s="543"/>
      <c r="BC57" s="543"/>
      <c r="BD57" s="543"/>
      <c r="BE57" s="543"/>
      <c r="BF57" s="543"/>
      <c r="BG57" s="543"/>
      <c r="BH57" s="167"/>
    </row>
    <row r="58" spans="1:60" ht="37.5" customHeight="1" x14ac:dyDescent="0.2">
      <c r="A58" s="30"/>
      <c r="B58" s="173" t="str">
        <f>IF(Roster!$M$9=0&amp;"+","",Roster!$M$9)</f>
        <v/>
      </c>
      <c r="C58" s="170"/>
      <c r="D58" s="543"/>
      <c r="E58" s="543"/>
      <c r="F58" s="543"/>
      <c r="G58" s="543"/>
      <c r="H58" s="543"/>
      <c r="I58" s="543"/>
      <c r="J58" s="543"/>
      <c r="K58" s="543"/>
      <c r="L58" s="543"/>
      <c r="M58" s="543"/>
      <c r="N58" s="543"/>
      <c r="O58" s="167"/>
      <c r="P58" s="30"/>
      <c r="Q58" s="173" t="str">
        <f>IF(Roster!$M$10=0&amp;"+","",Roster!$M$10)</f>
        <v/>
      </c>
      <c r="R58" s="170"/>
      <c r="S58" s="543"/>
      <c r="T58" s="543"/>
      <c r="U58" s="543"/>
      <c r="V58" s="543"/>
      <c r="W58" s="543"/>
      <c r="X58" s="543"/>
      <c r="Y58" s="543"/>
      <c r="Z58" s="543"/>
      <c r="AA58" s="543"/>
      <c r="AB58" s="543"/>
      <c r="AC58" s="543"/>
      <c r="AD58" s="167"/>
      <c r="AE58" s="30"/>
      <c r="AF58" s="173" t="str">
        <f>IF(Roster!$M$11=0&amp;"+","",Roster!$M$11)</f>
        <v/>
      </c>
      <c r="AG58" s="170"/>
      <c r="AH58" s="543"/>
      <c r="AI58" s="543"/>
      <c r="AJ58" s="543"/>
      <c r="AK58" s="543"/>
      <c r="AL58" s="543"/>
      <c r="AM58" s="543"/>
      <c r="AN58" s="543"/>
      <c r="AO58" s="543"/>
      <c r="AP58" s="543"/>
      <c r="AQ58" s="543"/>
      <c r="AR58" s="543"/>
      <c r="AS58" s="167"/>
      <c r="AT58" s="30"/>
      <c r="AU58" s="173" t="str">
        <f>IF(Roster!$M$12=0&amp;"+","",Roster!$M$12)</f>
        <v/>
      </c>
      <c r="AV58" s="170"/>
      <c r="AW58" s="543"/>
      <c r="AX58" s="543"/>
      <c r="AY58" s="543"/>
      <c r="AZ58" s="543"/>
      <c r="BA58" s="543"/>
      <c r="BB58" s="543"/>
      <c r="BC58" s="543"/>
      <c r="BD58" s="543"/>
      <c r="BE58" s="543"/>
      <c r="BF58" s="543"/>
      <c r="BG58" s="543"/>
      <c r="BH58" s="167"/>
    </row>
    <row r="59" spans="1:60" ht="11.25" customHeight="1" x14ac:dyDescent="0.2">
      <c r="A59" s="30"/>
      <c r="B59" s="171" t="str">
        <f>IF(Roster!$N$1=0,"",Roster!$N$1)</f>
        <v>PA</v>
      </c>
      <c r="C59" s="170"/>
      <c r="D59" s="543"/>
      <c r="E59" s="543"/>
      <c r="F59" s="543"/>
      <c r="G59" s="543"/>
      <c r="H59" s="543"/>
      <c r="I59" s="543"/>
      <c r="J59" s="543"/>
      <c r="K59" s="543"/>
      <c r="L59" s="543"/>
      <c r="M59" s="543"/>
      <c r="N59" s="543"/>
      <c r="O59" s="176"/>
      <c r="P59" s="30"/>
      <c r="Q59" s="171" t="str">
        <f>IF(Roster!$N$1=0,"",Roster!$N$1)</f>
        <v>PA</v>
      </c>
      <c r="R59" s="170"/>
      <c r="S59" s="543"/>
      <c r="T59" s="543"/>
      <c r="U59" s="543"/>
      <c r="V59" s="543"/>
      <c r="W59" s="543"/>
      <c r="X59" s="543"/>
      <c r="Y59" s="543"/>
      <c r="Z59" s="543"/>
      <c r="AA59" s="543"/>
      <c r="AB59" s="543"/>
      <c r="AC59" s="543"/>
      <c r="AD59" s="176"/>
      <c r="AE59" s="30"/>
      <c r="AF59" s="171" t="str">
        <f>IF(Roster!$N$1=0,"",Roster!$N$1)</f>
        <v>PA</v>
      </c>
      <c r="AG59" s="170"/>
      <c r="AH59" s="543"/>
      <c r="AI59" s="543"/>
      <c r="AJ59" s="543"/>
      <c r="AK59" s="543"/>
      <c r="AL59" s="543"/>
      <c r="AM59" s="543"/>
      <c r="AN59" s="543"/>
      <c r="AO59" s="543"/>
      <c r="AP59" s="543"/>
      <c r="AQ59" s="543"/>
      <c r="AR59" s="543"/>
      <c r="AS59" s="176"/>
      <c r="AT59" s="30"/>
      <c r="AU59" s="171" t="str">
        <f>IF(Roster!$N$1=0,"",Roster!$N$1)</f>
        <v>PA</v>
      </c>
      <c r="AV59" s="170"/>
      <c r="AW59" s="543"/>
      <c r="AX59" s="543"/>
      <c r="AY59" s="543"/>
      <c r="AZ59" s="543"/>
      <c r="BA59" s="543"/>
      <c r="BB59" s="543"/>
      <c r="BC59" s="543"/>
      <c r="BD59" s="543"/>
      <c r="BE59" s="543"/>
      <c r="BF59" s="543"/>
      <c r="BG59" s="543"/>
      <c r="BH59" s="176"/>
    </row>
    <row r="60" spans="1:60" ht="6" customHeight="1" x14ac:dyDescent="0.2">
      <c r="A60" s="30"/>
      <c r="B60" s="532" t="str">
        <f>IF(Roster!$N$9=0&amp;"+","",Roster!$N$9)</f>
        <v/>
      </c>
      <c r="C60" s="170"/>
      <c r="D60" s="543"/>
      <c r="E60" s="543"/>
      <c r="F60" s="543"/>
      <c r="G60" s="543"/>
      <c r="H60" s="543"/>
      <c r="I60" s="543"/>
      <c r="J60" s="543"/>
      <c r="K60" s="543"/>
      <c r="L60" s="543"/>
      <c r="M60" s="543"/>
      <c r="N60" s="543"/>
      <c r="O60" s="178"/>
      <c r="P60" s="30"/>
      <c r="Q60" s="532" t="str">
        <f>IF(Roster!$N$10=0&amp;"+","",Roster!$N$10)</f>
        <v/>
      </c>
      <c r="R60" s="170"/>
      <c r="S60" s="543"/>
      <c r="T60" s="543"/>
      <c r="U60" s="543"/>
      <c r="V60" s="543"/>
      <c r="W60" s="543"/>
      <c r="X60" s="543"/>
      <c r="Y60" s="543"/>
      <c r="Z60" s="543"/>
      <c r="AA60" s="543"/>
      <c r="AB60" s="543"/>
      <c r="AC60" s="543"/>
      <c r="AD60" s="178"/>
      <c r="AE60" s="30"/>
      <c r="AF60" s="532" t="str">
        <f>IF(Roster!$N$11=0&amp;"+","",Roster!$N$11)</f>
        <v/>
      </c>
      <c r="AG60" s="170"/>
      <c r="AH60" s="543"/>
      <c r="AI60" s="543"/>
      <c r="AJ60" s="543"/>
      <c r="AK60" s="543"/>
      <c r="AL60" s="543"/>
      <c r="AM60" s="543"/>
      <c r="AN60" s="543"/>
      <c r="AO60" s="543"/>
      <c r="AP60" s="543"/>
      <c r="AQ60" s="543"/>
      <c r="AR60" s="543"/>
      <c r="AS60" s="178"/>
      <c r="AT60" s="30"/>
      <c r="AU60" s="532" t="str">
        <f>IF(Roster!$N$12=0&amp;"+","",Roster!$N$12)</f>
        <v/>
      </c>
      <c r="AV60" s="170"/>
      <c r="AW60" s="543"/>
      <c r="AX60" s="543"/>
      <c r="AY60" s="543"/>
      <c r="AZ60" s="543"/>
      <c r="BA60" s="543"/>
      <c r="BB60" s="543"/>
      <c r="BC60" s="543"/>
      <c r="BD60" s="543"/>
      <c r="BE60" s="543"/>
      <c r="BF60" s="543"/>
      <c r="BG60" s="543"/>
      <c r="BH60" s="178"/>
    </row>
    <row r="61" spans="1:60" ht="4.5" customHeight="1" x14ac:dyDescent="0.2">
      <c r="A61" s="30"/>
      <c r="B61" s="499"/>
      <c r="C61" s="170"/>
      <c r="D61" s="167"/>
      <c r="E61" s="177"/>
      <c r="F61" s="167"/>
      <c r="G61" s="177"/>
      <c r="H61" s="167"/>
      <c r="I61" s="177"/>
      <c r="J61" s="167"/>
      <c r="K61" s="177"/>
      <c r="L61" s="167"/>
      <c r="M61" s="177"/>
      <c r="N61" s="167"/>
      <c r="O61" s="178"/>
      <c r="P61" s="30"/>
      <c r="Q61" s="499"/>
      <c r="R61" s="170"/>
      <c r="S61" s="167"/>
      <c r="T61" s="177"/>
      <c r="U61" s="167"/>
      <c r="V61" s="177"/>
      <c r="W61" s="167"/>
      <c r="X61" s="177"/>
      <c r="Y61" s="167"/>
      <c r="Z61" s="177"/>
      <c r="AA61" s="167"/>
      <c r="AB61" s="177"/>
      <c r="AC61" s="167"/>
      <c r="AD61" s="178"/>
      <c r="AE61" s="30"/>
      <c r="AF61" s="499"/>
      <c r="AG61" s="170"/>
      <c r="AH61" s="167"/>
      <c r="AI61" s="177"/>
      <c r="AJ61" s="167"/>
      <c r="AK61" s="177"/>
      <c r="AL61" s="167"/>
      <c r="AM61" s="177"/>
      <c r="AN61" s="167"/>
      <c r="AO61" s="177"/>
      <c r="AP61" s="167"/>
      <c r="AQ61" s="177"/>
      <c r="AR61" s="167"/>
      <c r="AS61" s="178"/>
      <c r="AT61" s="30"/>
      <c r="AU61" s="499"/>
      <c r="AV61" s="170"/>
      <c r="AW61" s="167"/>
      <c r="AX61" s="177"/>
      <c r="AY61" s="167"/>
      <c r="AZ61" s="177"/>
      <c r="BA61" s="167"/>
      <c r="BB61" s="177"/>
      <c r="BC61" s="167"/>
      <c r="BD61" s="177"/>
      <c r="BE61" s="167"/>
      <c r="BF61" s="177"/>
      <c r="BG61" s="167"/>
      <c r="BH61" s="178"/>
    </row>
    <row r="62" spans="1:60" ht="11.25" customHeight="1" x14ac:dyDescent="0.2">
      <c r="A62" s="30"/>
      <c r="B62" s="499"/>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499"/>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499"/>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499"/>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x14ac:dyDescent="0.2">
      <c r="A63" s="30"/>
      <c r="B63" s="499"/>
      <c r="C63" s="172"/>
      <c r="D63" s="180" t="str">
        <f>IF(Roster!$AD$9=0,"",Roster!$AD$9)</f>
        <v/>
      </c>
      <c r="E63" s="172"/>
      <c r="F63" s="180" t="str">
        <f>IF((SUM(H63,J63,L63))=0,"",(SUM(H63,J63,L63)))</f>
        <v/>
      </c>
      <c r="G63" s="172"/>
      <c r="H63" s="180" t="str">
        <f>IF(Roster!$AG$9=0,"",Roster!$AG$9)</f>
        <v/>
      </c>
      <c r="I63" s="172"/>
      <c r="J63" s="180" t="str">
        <f>IF(Roster!$AH$9=0,"",Roster!$AH$9)</f>
        <v/>
      </c>
      <c r="K63" s="172"/>
      <c r="L63" s="180" t="str">
        <f>IF(Roster!$AI$9=0,"",Roster!$AI$9)</f>
        <v/>
      </c>
      <c r="M63" s="172"/>
      <c r="N63" s="180" t="str">
        <f>IF(Roster!$AC$9=0,"",Roster!$AC$9)</f>
        <v/>
      </c>
      <c r="O63" s="178"/>
      <c r="P63" s="30"/>
      <c r="Q63" s="499"/>
      <c r="R63" s="172"/>
      <c r="S63" s="180" t="str">
        <f>IF(Roster!$AD$10=0,"",Roster!$AD$10)</f>
        <v/>
      </c>
      <c r="T63" s="172"/>
      <c r="U63" s="180" t="str">
        <f>IF((SUM(W63,Y63,AA63))=0,"",(SUM(W63,Y63,AA63)))</f>
        <v/>
      </c>
      <c r="V63" s="172"/>
      <c r="W63" s="180" t="str">
        <f>IF(Roster!$AG$10=0,"",Roster!$AG$10)</f>
        <v/>
      </c>
      <c r="X63" s="172"/>
      <c r="Y63" s="180" t="str">
        <f>IF(Roster!$AH$10=0,"",Roster!$AH$10)</f>
        <v/>
      </c>
      <c r="Z63" s="172"/>
      <c r="AA63" s="180" t="str">
        <f>IF(Roster!$AI$10=0,"",Roster!$AI$10)</f>
        <v/>
      </c>
      <c r="AB63" s="172"/>
      <c r="AC63" s="180" t="str">
        <f>IF(Roster!$AC$10=0,"",Roster!$AC$10)</f>
        <v/>
      </c>
      <c r="AD63" s="178"/>
      <c r="AE63" s="30"/>
      <c r="AF63" s="499"/>
      <c r="AG63" s="172"/>
      <c r="AH63" s="180" t="str">
        <f>IF(Roster!$AD$11=0,"",Roster!$AD$11)</f>
        <v/>
      </c>
      <c r="AI63" s="172"/>
      <c r="AJ63" s="180" t="str">
        <f>IF((SUM(AL63,AN63,AP63))=0,"",(SUM(AL63,AN63,AP63)))</f>
        <v/>
      </c>
      <c r="AK63" s="172"/>
      <c r="AL63" s="180" t="str">
        <f>IF(Roster!$AG$11=0,"",Roster!$AG$11)</f>
        <v/>
      </c>
      <c r="AM63" s="172"/>
      <c r="AN63" s="180" t="str">
        <f>IF(Roster!$AH$11=0,"",Roster!$AH$11)</f>
        <v/>
      </c>
      <c r="AO63" s="172"/>
      <c r="AP63" s="180" t="str">
        <f>IF(Roster!$AI$11=0,"",Roster!$AI$11)</f>
        <v/>
      </c>
      <c r="AQ63" s="172"/>
      <c r="AR63" s="180" t="str">
        <f>IF(Roster!$AC$11=0,"",Roster!$AC$11)</f>
        <v/>
      </c>
      <c r="AS63" s="178"/>
      <c r="AT63" s="30"/>
      <c r="AU63" s="499"/>
      <c r="AV63" s="172"/>
      <c r="AW63" s="180" t="str">
        <f>IF(Roster!$AD$12=0,"",Roster!$AD$12)</f>
        <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x14ac:dyDescent="0.2">
      <c r="A64" s="30"/>
      <c r="B64" s="500"/>
      <c r="C64" s="172"/>
      <c r="D64" s="181"/>
      <c r="E64" s="172"/>
      <c r="F64" s="181"/>
      <c r="G64" s="172"/>
      <c r="H64" s="181"/>
      <c r="I64" s="172"/>
      <c r="J64" s="181"/>
      <c r="K64" s="172"/>
      <c r="L64" s="181"/>
      <c r="M64" s="172"/>
      <c r="N64" s="181"/>
      <c r="O64" s="178"/>
      <c r="P64" s="30"/>
      <c r="Q64" s="500"/>
      <c r="R64" s="172"/>
      <c r="S64" s="181"/>
      <c r="T64" s="172"/>
      <c r="U64" s="181"/>
      <c r="V64" s="172"/>
      <c r="W64" s="181"/>
      <c r="X64" s="172"/>
      <c r="Y64" s="181"/>
      <c r="Z64" s="172"/>
      <c r="AA64" s="181"/>
      <c r="AB64" s="172"/>
      <c r="AC64" s="181"/>
      <c r="AD64" s="178"/>
      <c r="AE64" s="30"/>
      <c r="AF64" s="500"/>
      <c r="AG64" s="172"/>
      <c r="AH64" s="181"/>
      <c r="AI64" s="172"/>
      <c r="AJ64" s="181"/>
      <c r="AK64" s="172"/>
      <c r="AL64" s="181"/>
      <c r="AM64" s="172"/>
      <c r="AN64" s="181"/>
      <c r="AO64" s="172"/>
      <c r="AP64" s="181"/>
      <c r="AQ64" s="172"/>
      <c r="AR64" s="181"/>
      <c r="AS64" s="178"/>
      <c r="AT64" s="30"/>
      <c r="AU64" s="500"/>
      <c r="AV64" s="172"/>
      <c r="AW64" s="181"/>
      <c r="AX64" s="172"/>
      <c r="AY64" s="181"/>
      <c r="AZ64" s="172"/>
      <c r="BA64" s="181"/>
      <c r="BB64" s="172"/>
      <c r="BC64" s="181"/>
      <c r="BD64" s="172"/>
      <c r="BE64" s="181"/>
      <c r="BF64" s="172"/>
      <c r="BG64" s="181"/>
      <c r="BH64" s="178"/>
    </row>
    <row r="65" spans="1:60" ht="11.25" customHeight="1" x14ac:dyDescent="0.2">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x14ac:dyDescent="0.2">
      <c r="A66" s="30"/>
      <c r="B66" s="532" t="str">
        <f>IF(Roster!$O$9=0&amp;"+","",Roster!$O$9)</f>
        <v/>
      </c>
      <c r="C66" s="172"/>
      <c r="D66" s="180" t="str">
        <f>IF(Roster!$AE$9=0,"",Roster!$AE$9)</f>
        <v/>
      </c>
      <c r="E66" s="172"/>
      <c r="F66" s="180" t="str">
        <f>IF(Roster!$AF$9=0,"",Roster!$AF$9)</f>
        <v/>
      </c>
      <c r="G66" s="172"/>
      <c r="H66" s="180" t="str">
        <f>IF(Roster!$AB$9=0,"",Roster!$AB$9)</f>
        <v/>
      </c>
      <c r="I66" s="172"/>
      <c r="J66" s="180" t="str">
        <f>IF(Roster!$AJ$9=0,"",Roster!$AJ$9)</f>
        <v/>
      </c>
      <c r="K66" s="172"/>
      <c r="L66" s="180" t="str">
        <f>IF(Roster!$AK$9=0,"",Roster!$AK$9)</f>
        <v/>
      </c>
      <c r="M66" s="172"/>
      <c r="N66" s="180" t="str">
        <f>IF(Roster!$AA$9=0,"",Roster!$AA$9)</f>
        <v/>
      </c>
      <c r="O66" s="182"/>
      <c r="P66" s="30"/>
      <c r="Q66" s="532" t="str">
        <f>IF(Roster!$O$10=0&amp;"+","",Roster!$O$10)</f>
        <v/>
      </c>
      <c r="R66" s="172"/>
      <c r="S66" s="180" t="str">
        <f>IF(Roster!$AE$10=0,"",Roster!$AE$10)</f>
        <v/>
      </c>
      <c r="T66" s="172"/>
      <c r="U66" s="180" t="str">
        <f>IF(Roster!$AF$10=0,"",Roster!$AF$10)</f>
        <v/>
      </c>
      <c r="V66" s="172"/>
      <c r="W66" s="180" t="str">
        <f>IF(Roster!$AB$10=0,"",Roster!$AB$10)</f>
        <v/>
      </c>
      <c r="X66" s="172"/>
      <c r="Y66" s="180" t="str">
        <f>IF(Roster!$AJ$10=0,"",Roster!$AJ$10)</f>
        <v/>
      </c>
      <c r="Z66" s="172"/>
      <c r="AA66" s="180" t="str">
        <f>IF(Roster!$AK$10=0,"",Roster!$AK$10)</f>
        <v/>
      </c>
      <c r="AB66" s="172"/>
      <c r="AC66" s="180" t="str">
        <f>IF(Roster!$AA$10=0,"",Roster!$AA$10)</f>
        <v/>
      </c>
      <c r="AD66" s="182"/>
      <c r="AE66" s="30"/>
      <c r="AF66" s="532" t="str">
        <f>IF(Roster!$O$11=0&amp;"+","",Roster!$O$11)</f>
        <v/>
      </c>
      <c r="AG66" s="172"/>
      <c r="AH66" s="180" t="str">
        <f>IF(Roster!$AE$11=0,"",Roster!$AE$11)</f>
        <v/>
      </c>
      <c r="AI66" s="172"/>
      <c r="AJ66" s="180" t="str">
        <f>IF(Roster!$AF$11=0,"",Roster!$AF$11)</f>
        <v/>
      </c>
      <c r="AK66" s="172"/>
      <c r="AL66" s="180" t="str">
        <f>IF(Roster!$AB$11=0,"",Roster!$AB$11)</f>
        <v/>
      </c>
      <c r="AM66" s="172"/>
      <c r="AN66" s="180" t="str">
        <f>IF(Roster!$AJ$11=0,"",Roster!$AJ$11)</f>
        <v/>
      </c>
      <c r="AO66" s="172"/>
      <c r="AP66" s="180" t="str">
        <f>IF(Roster!$AK$11=0,"",Roster!$AK$11)</f>
        <v/>
      </c>
      <c r="AQ66" s="172"/>
      <c r="AR66" s="180" t="str">
        <f>IF(Roster!$AA$11=0,"",Roster!$AA$11)</f>
        <v/>
      </c>
      <c r="AS66" s="182"/>
      <c r="AT66" s="30"/>
      <c r="AU66" s="532" t="str">
        <f>IF(Roster!$O$12=0&amp;"+","",Roster!$O$12)</f>
        <v/>
      </c>
      <c r="AV66" s="172"/>
      <c r="AW66" s="180" t="str">
        <f>IF(Roster!$AE$12=0,"",Roster!$AE$12)</f>
        <v/>
      </c>
      <c r="AX66" s="172"/>
      <c r="AY66" s="180" t="str">
        <f>IF(Roster!$AF$12=0,"",Roster!$AF$12)</f>
        <v/>
      </c>
      <c r="AZ66" s="172"/>
      <c r="BA66" s="180" t="str">
        <f>IF(Roster!$AB$12=0,"",Roster!$AB$12)</f>
        <v/>
      </c>
      <c r="BB66" s="172"/>
      <c r="BC66" s="180" t="str">
        <f>IF(Roster!$AJ$12=0,"",Roster!$AJ$12)</f>
        <v/>
      </c>
      <c r="BD66" s="172"/>
      <c r="BE66" s="180" t="str">
        <f>IF(Roster!$AK$12=0,"",Roster!$AK$12)</f>
        <v/>
      </c>
      <c r="BF66" s="172"/>
      <c r="BG66" s="180" t="str">
        <f>IF(Roster!$AA$12=0,"",Roster!$AA$12)</f>
        <v/>
      </c>
      <c r="BH66" s="182"/>
    </row>
    <row r="67" spans="1:60" ht="4.5" customHeight="1" x14ac:dyDescent="0.2">
      <c r="A67" s="30"/>
      <c r="B67" s="499"/>
      <c r="C67" s="172"/>
      <c r="D67" s="172"/>
      <c r="E67" s="172"/>
      <c r="F67" s="172"/>
      <c r="G67" s="172"/>
      <c r="H67" s="172"/>
      <c r="I67" s="172"/>
      <c r="J67" s="172"/>
      <c r="K67" s="172"/>
      <c r="L67" s="172"/>
      <c r="M67" s="172"/>
      <c r="N67" s="178"/>
      <c r="O67" s="182"/>
      <c r="P67" s="30"/>
      <c r="Q67" s="499"/>
      <c r="R67" s="172"/>
      <c r="S67" s="172"/>
      <c r="T67" s="172"/>
      <c r="U67" s="172"/>
      <c r="V67" s="172"/>
      <c r="W67" s="172"/>
      <c r="X67" s="172"/>
      <c r="Y67" s="172"/>
      <c r="Z67" s="172"/>
      <c r="AA67" s="172"/>
      <c r="AB67" s="172"/>
      <c r="AC67" s="178"/>
      <c r="AD67" s="182"/>
      <c r="AE67" s="30"/>
      <c r="AF67" s="499"/>
      <c r="AG67" s="172"/>
      <c r="AH67" s="172"/>
      <c r="AI67" s="172"/>
      <c r="AJ67" s="172"/>
      <c r="AK67" s="172"/>
      <c r="AL67" s="172"/>
      <c r="AM67" s="172"/>
      <c r="AN67" s="172"/>
      <c r="AO67" s="172"/>
      <c r="AP67" s="172"/>
      <c r="AQ67" s="172"/>
      <c r="AR67" s="178"/>
      <c r="AS67" s="182"/>
      <c r="AT67" s="30"/>
      <c r="AU67" s="499"/>
      <c r="AV67" s="172"/>
      <c r="AW67" s="172"/>
      <c r="AX67" s="172"/>
      <c r="AY67" s="172"/>
      <c r="AZ67" s="172"/>
      <c r="BA67" s="172"/>
      <c r="BB67" s="172"/>
      <c r="BC67" s="172"/>
      <c r="BD67" s="172"/>
      <c r="BE67" s="172"/>
      <c r="BF67" s="172"/>
      <c r="BG67" s="178"/>
      <c r="BH67" s="182"/>
    </row>
    <row r="68" spans="1:60" ht="11.25" customHeight="1" x14ac:dyDescent="0.2">
      <c r="A68" s="30"/>
      <c r="B68" s="499"/>
      <c r="C68" s="172"/>
      <c r="D68" s="529" t="str">
        <f>IF(Roster!$K$25="Italiano","ABILITÀ &amp; TRATTI",(IF(Roster!$K$25="Español","HABILIDADES Y RASGOS","SKILLS &amp; TRAITS")))</f>
        <v>SKILLS &amp; TRAITS</v>
      </c>
      <c r="E68" s="484"/>
      <c r="F68" s="484"/>
      <c r="G68" s="484"/>
      <c r="H68" s="484"/>
      <c r="I68" s="484"/>
      <c r="J68" s="484"/>
      <c r="K68" s="484"/>
      <c r="L68" s="484"/>
      <c r="M68" s="484"/>
      <c r="N68" s="485"/>
      <c r="O68" s="182"/>
      <c r="P68" s="30"/>
      <c r="Q68" s="499"/>
      <c r="R68" s="172"/>
      <c r="S68" s="529" t="str">
        <f>IF(Roster!$K$25="Italiano","ABILITÀ &amp; TRATTI",(IF(Roster!$K$25="Español","HABILIDADES Y RASGOS","SKILLS &amp; TRAITS")))</f>
        <v>SKILLS &amp; TRAITS</v>
      </c>
      <c r="T68" s="484"/>
      <c r="U68" s="484"/>
      <c r="V68" s="484"/>
      <c r="W68" s="484"/>
      <c r="X68" s="484"/>
      <c r="Y68" s="484"/>
      <c r="Z68" s="484"/>
      <c r="AA68" s="484"/>
      <c r="AB68" s="484"/>
      <c r="AC68" s="485"/>
      <c r="AD68" s="182"/>
      <c r="AE68" s="30"/>
      <c r="AF68" s="499"/>
      <c r="AG68" s="172"/>
      <c r="AH68" s="529" t="str">
        <f>IF(Roster!$K$25="Italiano","ABILITÀ &amp; TRATTI",(IF(Roster!$K$25="Español","HABILIDADES Y RASGOS","SKILLS &amp; TRAITS")))</f>
        <v>SKILLS &amp; TRAITS</v>
      </c>
      <c r="AI68" s="484"/>
      <c r="AJ68" s="484"/>
      <c r="AK68" s="484"/>
      <c r="AL68" s="484"/>
      <c r="AM68" s="484"/>
      <c r="AN68" s="484"/>
      <c r="AO68" s="484"/>
      <c r="AP68" s="484"/>
      <c r="AQ68" s="484"/>
      <c r="AR68" s="485"/>
      <c r="AS68" s="182"/>
      <c r="AT68" s="30"/>
      <c r="AU68" s="499"/>
      <c r="AV68" s="172"/>
      <c r="AW68" s="529" t="str">
        <f>IF(Roster!$K$25="Italiano","ABILITÀ &amp; TRATTI",(IF(Roster!$K$25="Español","HABILIDADES Y RASGOS","SKILLS &amp; TRAITS")))</f>
        <v>SKILLS &amp; TRAITS</v>
      </c>
      <c r="AX68" s="484"/>
      <c r="AY68" s="484"/>
      <c r="AZ68" s="484"/>
      <c r="BA68" s="484"/>
      <c r="BB68" s="484"/>
      <c r="BC68" s="484"/>
      <c r="BD68" s="484"/>
      <c r="BE68" s="484"/>
      <c r="BF68" s="484"/>
      <c r="BG68" s="485"/>
      <c r="BH68" s="182"/>
    </row>
    <row r="69" spans="1:60" ht="6.75" customHeight="1" x14ac:dyDescent="0.2">
      <c r="A69" s="30"/>
      <c r="B69" s="500"/>
      <c r="C69" s="172"/>
      <c r="D69" s="533" t="str">
        <f>IF(Roster!$P$9=0&amp;BF9,"",Roster!$P$9)</f>
        <v/>
      </c>
      <c r="E69" s="534"/>
      <c r="F69" s="534"/>
      <c r="G69" s="534"/>
      <c r="H69" s="534"/>
      <c r="I69" s="534"/>
      <c r="J69" s="534"/>
      <c r="K69" s="534"/>
      <c r="L69" s="534"/>
      <c r="M69" s="534"/>
      <c r="N69" s="535"/>
      <c r="O69" s="182"/>
      <c r="P69" s="30"/>
      <c r="Q69" s="500"/>
      <c r="R69" s="172"/>
      <c r="S69" s="533" t="str">
        <f>IF(Roster!$P$10=0&amp;BF10,"",Roster!$P$10)</f>
        <v/>
      </c>
      <c r="T69" s="534"/>
      <c r="U69" s="534"/>
      <c r="V69" s="534"/>
      <c r="W69" s="534"/>
      <c r="X69" s="534"/>
      <c r="Y69" s="534"/>
      <c r="Z69" s="534"/>
      <c r="AA69" s="534"/>
      <c r="AB69" s="534"/>
      <c r="AC69" s="535"/>
      <c r="AD69" s="182"/>
      <c r="AE69" s="30"/>
      <c r="AF69" s="500"/>
      <c r="AG69" s="172"/>
      <c r="AH69" s="533" t="str">
        <f>IF(Roster!$P$11=0&amp;BF11,"",Roster!$P$11)</f>
        <v/>
      </c>
      <c r="AI69" s="534"/>
      <c r="AJ69" s="534"/>
      <c r="AK69" s="534"/>
      <c r="AL69" s="534"/>
      <c r="AM69" s="534"/>
      <c r="AN69" s="534"/>
      <c r="AO69" s="534"/>
      <c r="AP69" s="534"/>
      <c r="AQ69" s="534"/>
      <c r="AR69" s="535"/>
      <c r="AS69" s="182"/>
      <c r="AT69" s="30"/>
      <c r="AU69" s="500"/>
      <c r="AV69" s="172"/>
      <c r="AW69" s="533" t="str">
        <f>IF(Roster!$P$12=0&amp;BF12,"",Roster!$P$12)</f>
        <v/>
      </c>
      <c r="AX69" s="534"/>
      <c r="AY69" s="534"/>
      <c r="AZ69" s="534"/>
      <c r="BA69" s="534"/>
      <c r="BB69" s="534"/>
      <c r="BC69" s="534"/>
      <c r="BD69" s="534"/>
      <c r="BE69" s="534"/>
      <c r="BF69" s="534"/>
      <c r="BG69" s="535"/>
      <c r="BH69" s="182"/>
    </row>
    <row r="70" spans="1:60" ht="11.25" customHeight="1" x14ac:dyDescent="0.2">
      <c r="A70" s="30"/>
      <c r="B70" s="171" t="str">
        <f>IF(Roster!$AO$1=0,"",Roster!$AO$1)</f>
        <v>COST</v>
      </c>
      <c r="C70" s="171"/>
      <c r="D70" s="536"/>
      <c r="E70" s="537"/>
      <c r="F70" s="537"/>
      <c r="G70" s="537"/>
      <c r="H70" s="537"/>
      <c r="I70" s="537"/>
      <c r="J70" s="537"/>
      <c r="K70" s="537"/>
      <c r="L70" s="537"/>
      <c r="M70" s="537"/>
      <c r="N70" s="538"/>
      <c r="O70" s="183"/>
      <c r="P70" s="30"/>
      <c r="Q70" s="171" t="str">
        <f>IF(Roster!$AO$1=0,"",Roster!$AO$1)</f>
        <v>COST</v>
      </c>
      <c r="R70" s="171"/>
      <c r="S70" s="536"/>
      <c r="T70" s="537"/>
      <c r="U70" s="537"/>
      <c r="V70" s="537"/>
      <c r="W70" s="537"/>
      <c r="X70" s="537"/>
      <c r="Y70" s="537"/>
      <c r="Z70" s="537"/>
      <c r="AA70" s="537"/>
      <c r="AB70" s="537"/>
      <c r="AC70" s="538"/>
      <c r="AD70" s="183"/>
      <c r="AE70" s="30"/>
      <c r="AF70" s="171" t="str">
        <f>IF(Roster!$AO$1=0,"",Roster!$AO$1)</f>
        <v>COST</v>
      </c>
      <c r="AG70" s="171"/>
      <c r="AH70" s="536"/>
      <c r="AI70" s="537"/>
      <c r="AJ70" s="537"/>
      <c r="AK70" s="537"/>
      <c r="AL70" s="537"/>
      <c r="AM70" s="537"/>
      <c r="AN70" s="537"/>
      <c r="AO70" s="537"/>
      <c r="AP70" s="537"/>
      <c r="AQ70" s="537"/>
      <c r="AR70" s="538"/>
      <c r="AS70" s="183"/>
      <c r="AT70" s="30"/>
      <c r="AU70" s="171" t="str">
        <f>IF(Roster!$AO$1=0,"",Roster!$AO$1)</f>
        <v>COST</v>
      </c>
      <c r="AV70" s="171"/>
      <c r="AW70" s="536"/>
      <c r="AX70" s="537"/>
      <c r="AY70" s="537"/>
      <c r="AZ70" s="537"/>
      <c r="BA70" s="537"/>
      <c r="BB70" s="537"/>
      <c r="BC70" s="537"/>
      <c r="BD70" s="537"/>
      <c r="BE70" s="537"/>
      <c r="BF70" s="537"/>
      <c r="BG70" s="538"/>
      <c r="BH70" s="183"/>
    </row>
    <row r="71" spans="1:60" ht="34.5" customHeight="1" x14ac:dyDescent="0.2">
      <c r="A71" s="30"/>
      <c r="B71" s="185" t="str">
        <f>IF(Roster!$AO$9=0,"",Roster!$AO$9)</f>
        <v/>
      </c>
      <c r="C71" s="186"/>
      <c r="D71" s="539"/>
      <c r="E71" s="540"/>
      <c r="F71" s="540"/>
      <c r="G71" s="540"/>
      <c r="H71" s="540"/>
      <c r="I71" s="540"/>
      <c r="J71" s="540"/>
      <c r="K71" s="540"/>
      <c r="L71" s="540"/>
      <c r="M71" s="540"/>
      <c r="N71" s="541"/>
      <c r="O71" s="183"/>
      <c r="P71" s="30"/>
      <c r="Q71" s="185" t="str">
        <f>IF(Roster!$AO$10=0,"",Roster!$AO$10)</f>
        <v/>
      </c>
      <c r="R71" s="186"/>
      <c r="S71" s="539"/>
      <c r="T71" s="540"/>
      <c r="U71" s="540"/>
      <c r="V71" s="540"/>
      <c r="W71" s="540"/>
      <c r="X71" s="540"/>
      <c r="Y71" s="540"/>
      <c r="Z71" s="540"/>
      <c r="AA71" s="540"/>
      <c r="AB71" s="540"/>
      <c r="AC71" s="541"/>
      <c r="AD71" s="183"/>
      <c r="AE71" s="30"/>
      <c r="AF71" s="185" t="str">
        <f>IF(Roster!$AO$11=0,"",Roster!$AO$11)</f>
        <v/>
      </c>
      <c r="AG71" s="186"/>
      <c r="AH71" s="539"/>
      <c r="AI71" s="540"/>
      <c r="AJ71" s="540"/>
      <c r="AK71" s="540"/>
      <c r="AL71" s="540"/>
      <c r="AM71" s="540"/>
      <c r="AN71" s="540"/>
      <c r="AO71" s="540"/>
      <c r="AP71" s="540"/>
      <c r="AQ71" s="540"/>
      <c r="AR71" s="541"/>
      <c r="AS71" s="183"/>
      <c r="AT71" s="30"/>
      <c r="AU71" s="185" t="str">
        <f>IF(Roster!$AO$12=0,"",Roster!$AO$12)</f>
        <v/>
      </c>
      <c r="AV71" s="186"/>
      <c r="AW71" s="539"/>
      <c r="AX71" s="540"/>
      <c r="AY71" s="540"/>
      <c r="AZ71" s="540"/>
      <c r="BA71" s="540"/>
      <c r="BB71" s="540"/>
      <c r="BC71" s="540"/>
      <c r="BD71" s="540"/>
      <c r="BE71" s="540"/>
      <c r="BF71" s="540"/>
      <c r="BG71" s="541"/>
      <c r="BH71" s="183"/>
    </row>
    <row r="72" spans="1:60" ht="4.5" customHeight="1" x14ac:dyDescent="0.2">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x14ac:dyDescent="0.2">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x14ac:dyDescent="0.2">
      <c r="A74" s="30"/>
      <c r="B74" s="531" t="str">
        <f>IF(Roster!$A$13=0,"","#"&amp;Roster!$A$13)</f>
        <v>#12</v>
      </c>
      <c r="C74" s="167"/>
      <c r="D74" s="167"/>
      <c r="E74" s="167"/>
      <c r="F74" s="167"/>
      <c r="G74" s="167"/>
      <c r="H74" s="167"/>
      <c r="I74" s="167"/>
      <c r="J74" s="167"/>
      <c r="K74" s="167"/>
      <c r="L74" s="167"/>
      <c r="M74" s="167"/>
      <c r="N74" s="167"/>
      <c r="O74" s="167"/>
      <c r="P74" s="30"/>
      <c r="Q74" s="531" t="str">
        <f>IF(Roster!$A$14=0,"","#"&amp;Roster!$A$14)</f>
        <v>#13</v>
      </c>
      <c r="R74" s="167"/>
      <c r="S74" s="167"/>
      <c r="T74" s="167"/>
      <c r="U74" s="167"/>
      <c r="V74" s="167"/>
      <c r="W74" s="167"/>
      <c r="X74" s="167"/>
      <c r="Y74" s="167"/>
      <c r="Z74" s="167"/>
      <c r="AA74" s="167"/>
      <c r="AB74" s="167"/>
      <c r="AC74" s="167"/>
      <c r="AD74" s="167"/>
      <c r="AE74" s="30"/>
      <c r="AF74" s="531" t="str">
        <f>IF(Roster!$A$15=0,"","#"&amp;Roster!$A$15)</f>
        <v>#14</v>
      </c>
      <c r="AG74" s="167"/>
      <c r="AH74" s="167"/>
      <c r="AI74" s="167"/>
      <c r="AJ74" s="167"/>
      <c r="AK74" s="167"/>
      <c r="AL74" s="167"/>
      <c r="AM74" s="167"/>
      <c r="AN74" s="167"/>
      <c r="AO74" s="167"/>
      <c r="AP74" s="167"/>
      <c r="AQ74" s="167"/>
      <c r="AR74" s="167"/>
      <c r="AS74" s="167"/>
      <c r="AT74" s="30"/>
      <c r="AU74" s="531" t="str">
        <f>IF(Roster!$A$16=0,"","#"&amp;Roster!$A$16)</f>
        <v>#15</v>
      </c>
      <c r="AV74" s="167"/>
      <c r="AW74" s="167"/>
      <c r="AX74" s="167"/>
      <c r="AY74" s="167"/>
      <c r="AZ74" s="167"/>
      <c r="BA74" s="167"/>
      <c r="BB74" s="167"/>
      <c r="BC74" s="167"/>
      <c r="BD74" s="167"/>
      <c r="BE74" s="167"/>
      <c r="BF74" s="167"/>
      <c r="BG74" s="167"/>
      <c r="BH74" s="167"/>
    </row>
    <row r="75" spans="1:60" ht="15" customHeight="1" x14ac:dyDescent="0.25">
      <c r="A75" s="30"/>
      <c r="B75" s="499"/>
      <c r="C75" s="524" t="str">
        <f>IF(Roster!$B$13=0,"",Roster!$B$13)</f>
        <v/>
      </c>
      <c r="D75" s="484"/>
      <c r="E75" s="484"/>
      <c r="F75" s="484"/>
      <c r="G75" s="484"/>
      <c r="H75" s="484"/>
      <c r="I75" s="484"/>
      <c r="J75" s="484"/>
      <c r="K75" s="484"/>
      <c r="L75" s="484"/>
      <c r="M75" s="484"/>
      <c r="N75" s="485"/>
      <c r="O75" s="167"/>
      <c r="P75" s="30"/>
      <c r="Q75" s="499"/>
      <c r="R75" s="524" t="str">
        <f>IF(Roster!$B$14=0,"",Roster!$B$14)</f>
        <v/>
      </c>
      <c r="S75" s="484"/>
      <c r="T75" s="484"/>
      <c r="U75" s="484"/>
      <c r="V75" s="484"/>
      <c r="W75" s="484"/>
      <c r="X75" s="484"/>
      <c r="Y75" s="484"/>
      <c r="Z75" s="484"/>
      <c r="AA75" s="484"/>
      <c r="AB75" s="484"/>
      <c r="AC75" s="485"/>
      <c r="AD75" s="167"/>
      <c r="AE75" s="30"/>
      <c r="AF75" s="499"/>
      <c r="AG75" s="524" t="str">
        <f>IF(Roster!$B$15=0,"",Roster!$B$15)</f>
        <v/>
      </c>
      <c r="AH75" s="484"/>
      <c r="AI75" s="484"/>
      <c r="AJ75" s="484"/>
      <c r="AK75" s="484"/>
      <c r="AL75" s="484"/>
      <c r="AM75" s="484"/>
      <c r="AN75" s="484"/>
      <c r="AO75" s="484"/>
      <c r="AP75" s="484"/>
      <c r="AQ75" s="484"/>
      <c r="AR75" s="485"/>
      <c r="AS75" s="167"/>
      <c r="AT75" s="30"/>
      <c r="AU75" s="499"/>
      <c r="AV75" s="524" t="str">
        <f>IF(Roster!$B$16=0,"",Roster!$B$16)</f>
        <v/>
      </c>
      <c r="AW75" s="484"/>
      <c r="AX75" s="484"/>
      <c r="AY75" s="484"/>
      <c r="AZ75" s="484"/>
      <c r="BA75" s="484"/>
      <c r="BB75" s="484"/>
      <c r="BC75" s="484"/>
      <c r="BD75" s="484"/>
      <c r="BE75" s="484"/>
      <c r="BF75" s="484"/>
      <c r="BG75" s="485"/>
      <c r="BH75" s="167"/>
    </row>
    <row r="76" spans="1:60" ht="11.25" customHeight="1" x14ac:dyDescent="0.2">
      <c r="A76" s="30"/>
      <c r="B76" s="500"/>
      <c r="C76" s="530" t="str">
        <f>IF(Roster!$D$13=0,"",Roster!$D$13)</f>
        <v/>
      </c>
      <c r="D76" s="484"/>
      <c r="E76" s="484"/>
      <c r="F76" s="484"/>
      <c r="G76" s="484"/>
      <c r="H76" s="484"/>
      <c r="I76" s="484"/>
      <c r="J76" s="484"/>
      <c r="K76" s="484"/>
      <c r="L76" s="484"/>
      <c r="M76" s="484"/>
      <c r="N76" s="485"/>
      <c r="O76" s="168"/>
      <c r="P76" s="30"/>
      <c r="Q76" s="500"/>
      <c r="R76" s="530" t="str">
        <f>IF(Roster!$D$14=0,"",Roster!$D$14)</f>
        <v/>
      </c>
      <c r="S76" s="484"/>
      <c r="T76" s="484"/>
      <c r="U76" s="484"/>
      <c r="V76" s="484"/>
      <c r="W76" s="484"/>
      <c r="X76" s="484"/>
      <c r="Y76" s="484"/>
      <c r="Z76" s="484"/>
      <c r="AA76" s="484"/>
      <c r="AB76" s="484"/>
      <c r="AC76" s="485"/>
      <c r="AD76" s="168"/>
      <c r="AE76" s="30"/>
      <c r="AF76" s="500"/>
      <c r="AG76" s="530" t="str">
        <f>IF(Roster!$D$15=0,"",Roster!$D$15)</f>
        <v/>
      </c>
      <c r="AH76" s="484"/>
      <c r="AI76" s="484"/>
      <c r="AJ76" s="484"/>
      <c r="AK76" s="484"/>
      <c r="AL76" s="484"/>
      <c r="AM76" s="484"/>
      <c r="AN76" s="484"/>
      <c r="AO76" s="484"/>
      <c r="AP76" s="484"/>
      <c r="AQ76" s="484"/>
      <c r="AR76" s="485"/>
      <c r="AS76" s="168"/>
      <c r="AT76" s="30"/>
      <c r="AU76" s="500"/>
      <c r="AV76" s="530" t="str">
        <f>IF(Roster!$D$16=0,"",Roster!$D$16)</f>
        <v/>
      </c>
      <c r="AW76" s="484"/>
      <c r="AX76" s="484"/>
      <c r="AY76" s="484"/>
      <c r="AZ76" s="484"/>
      <c r="BA76" s="484"/>
      <c r="BB76" s="484"/>
      <c r="BC76" s="484"/>
      <c r="BD76" s="484"/>
      <c r="BE76" s="484"/>
      <c r="BF76" s="484"/>
      <c r="BG76" s="485"/>
      <c r="BH76" s="168"/>
    </row>
    <row r="77" spans="1:60" ht="11.25" customHeight="1" x14ac:dyDescent="0.2">
      <c r="A77" s="30"/>
      <c r="B77" s="171" t="str">
        <f>IF(Roster!$K$1=0,"",Roster!$K$1)</f>
        <v>MA</v>
      </c>
      <c r="C77" s="170"/>
      <c r="D77" s="543"/>
      <c r="E77" s="543"/>
      <c r="F77" s="543"/>
      <c r="G77" s="543"/>
      <c r="H77" s="543"/>
      <c r="I77" s="543"/>
      <c r="J77" s="543"/>
      <c r="K77" s="543"/>
      <c r="L77" s="543"/>
      <c r="M77" s="543"/>
      <c r="N77" s="543"/>
      <c r="O77" s="167"/>
      <c r="P77" s="30"/>
      <c r="Q77" s="171" t="str">
        <f>IF(Roster!$K$1=0,"",Roster!$K$1)</f>
        <v>MA</v>
      </c>
      <c r="R77" s="170"/>
      <c r="S77" s="543"/>
      <c r="T77" s="543"/>
      <c r="U77" s="543"/>
      <c r="V77" s="543"/>
      <c r="W77" s="543"/>
      <c r="X77" s="543"/>
      <c r="Y77" s="543"/>
      <c r="Z77" s="543"/>
      <c r="AA77" s="543"/>
      <c r="AB77" s="543"/>
      <c r="AC77" s="543"/>
      <c r="AD77" s="167"/>
      <c r="AE77" s="30"/>
      <c r="AF77" s="171" t="str">
        <f>IF(Roster!$K$1=0,"",Roster!$K$1)</f>
        <v>MA</v>
      </c>
      <c r="AG77" s="170"/>
      <c r="AH77" s="543"/>
      <c r="AI77" s="543"/>
      <c r="AJ77" s="543"/>
      <c r="AK77" s="543"/>
      <c r="AL77" s="543"/>
      <c r="AM77" s="543"/>
      <c r="AN77" s="543"/>
      <c r="AO77" s="543"/>
      <c r="AP77" s="543"/>
      <c r="AQ77" s="543"/>
      <c r="AR77" s="543"/>
      <c r="AS77" s="167"/>
      <c r="AT77" s="30"/>
      <c r="AU77" s="171" t="str">
        <f>IF(Roster!$K$1=0,"",Roster!$K$1)</f>
        <v>MA</v>
      </c>
      <c r="AV77" s="170"/>
      <c r="AW77" s="543"/>
      <c r="AX77" s="543"/>
      <c r="AY77" s="543"/>
      <c r="AZ77" s="543"/>
      <c r="BA77" s="543"/>
      <c r="BB77" s="543"/>
      <c r="BC77" s="543"/>
      <c r="BD77" s="543"/>
      <c r="BE77" s="543"/>
      <c r="BF77" s="543"/>
      <c r="BG77" s="543"/>
      <c r="BH77" s="167"/>
    </row>
    <row r="78" spans="1:60" ht="37.5" customHeight="1" x14ac:dyDescent="0.2">
      <c r="A78" s="30"/>
      <c r="B78" s="173" t="str">
        <f>IF(Roster!$K$13=0,"",Roster!$K$13)</f>
        <v/>
      </c>
      <c r="C78" s="170"/>
      <c r="D78" s="543"/>
      <c r="E78" s="543"/>
      <c r="F78" s="543"/>
      <c r="G78" s="543"/>
      <c r="H78" s="543"/>
      <c r="I78" s="543"/>
      <c r="J78" s="543"/>
      <c r="K78" s="543"/>
      <c r="L78" s="543"/>
      <c r="M78" s="543"/>
      <c r="N78" s="543"/>
      <c r="O78" s="167"/>
      <c r="P78" s="30"/>
      <c r="Q78" s="173" t="str">
        <f>IF(Roster!$K$14=0,"",Roster!$K$14)</f>
        <v/>
      </c>
      <c r="R78" s="170"/>
      <c r="S78" s="543"/>
      <c r="T78" s="543"/>
      <c r="U78" s="543"/>
      <c r="V78" s="543"/>
      <c r="W78" s="543"/>
      <c r="X78" s="543"/>
      <c r="Y78" s="543"/>
      <c r="Z78" s="543"/>
      <c r="AA78" s="543"/>
      <c r="AB78" s="543"/>
      <c r="AC78" s="543"/>
      <c r="AD78" s="167"/>
      <c r="AE78" s="30"/>
      <c r="AF78" s="173" t="str">
        <f>IF(Roster!$K$15=0,"",Roster!$K$15)</f>
        <v/>
      </c>
      <c r="AG78" s="170"/>
      <c r="AH78" s="543"/>
      <c r="AI78" s="543"/>
      <c r="AJ78" s="543"/>
      <c r="AK78" s="543"/>
      <c r="AL78" s="543"/>
      <c r="AM78" s="543"/>
      <c r="AN78" s="543"/>
      <c r="AO78" s="543"/>
      <c r="AP78" s="543"/>
      <c r="AQ78" s="543"/>
      <c r="AR78" s="543"/>
      <c r="AS78" s="167"/>
      <c r="AT78" s="30"/>
      <c r="AU78" s="173" t="str">
        <f>IF(Roster!$K$16=0,"",Roster!$K$16)</f>
        <v/>
      </c>
      <c r="AV78" s="170"/>
      <c r="AW78" s="543"/>
      <c r="AX78" s="543"/>
      <c r="AY78" s="543"/>
      <c r="AZ78" s="543"/>
      <c r="BA78" s="543"/>
      <c r="BB78" s="543"/>
      <c r="BC78" s="543"/>
      <c r="BD78" s="543"/>
      <c r="BE78" s="543"/>
      <c r="BF78" s="543"/>
      <c r="BG78" s="543"/>
      <c r="BH78" s="167"/>
    </row>
    <row r="79" spans="1:60" ht="11.25" customHeight="1" x14ac:dyDescent="0.2">
      <c r="A79" s="30"/>
      <c r="B79" s="171" t="str">
        <f>IF(Roster!$L$1=0,"",Roster!$L$1)</f>
        <v>ST</v>
      </c>
      <c r="C79" s="170"/>
      <c r="D79" s="543"/>
      <c r="E79" s="543"/>
      <c r="F79" s="543"/>
      <c r="G79" s="543"/>
      <c r="H79" s="543"/>
      <c r="I79" s="543"/>
      <c r="J79" s="543"/>
      <c r="K79" s="543"/>
      <c r="L79" s="543"/>
      <c r="M79" s="543"/>
      <c r="N79" s="543"/>
      <c r="O79" s="167"/>
      <c r="P79" s="30"/>
      <c r="Q79" s="171" t="str">
        <f>IF(Roster!$L$1=0,"",Roster!$L$1)</f>
        <v>ST</v>
      </c>
      <c r="R79" s="170"/>
      <c r="S79" s="543"/>
      <c r="T79" s="543"/>
      <c r="U79" s="543"/>
      <c r="V79" s="543"/>
      <c r="W79" s="543"/>
      <c r="X79" s="543"/>
      <c r="Y79" s="543"/>
      <c r="Z79" s="543"/>
      <c r="AA79" s="543"/>
      <c r="AB79" s="543"/>
      <c r="AC79" s="543"/>
      <c r="AD79" s="167"/>
      <c r="AE79" s="30"/>
      <c r="AF79" s="171" t="str">
        <f>IF(Roster!$L$1=0,"",Roster!$L$1)</f>
        <v>ST</v>
      </c>
      <c r="AG79" s="170"/>
      <c r="AH79" s="543"/>
      <c r="AI79" s="543"/>
      <c r="AJ79" s="543"/>
      <c r="AK79" s="543"/>
      <c r="AL79" s="543"/>
      <c r="AM79" s="543"/>
      <c r="AN79" s="543"/>
      <c r="AO79" s="543"/>
      <c r="AP79" s="543"/>
      <c r="AQ79" s="543"/>
      <c r="AR79" s="543"/>
      <c r="AS79" s="167"/>
      <c r="AT79" s="30"/>
      <c r="AU79" s="171" t="str">
        <f>IF(Roster!$L$1=0,"",Roster!$L$1)</f>
        <v>ST</v>
      </c>
      <c r="AV79" s="170"/>
      <c r="AW79" s="543"/>
      <c r="AX79" s="543"/>
      <c r="AY79" s="543"/>
      <c r="AZ79" s="543"/>
      <c r="BA79" s="543"/>
      <c r="BB79" s="543"/>
      <c r="BC79" s="543"/>
      <c r="BD79" s="543"/>
      <c r="BE79" s="543"/>
      <c r="BF79" s="543"/>
      <c r="BG79" s="543"/>
      <c r="BH79" s="167"/>
    </row>
    <row r="80" spans="1:60" ht="37.5" customHeight="1" x14ac:dyDescent="0.2">
      <c r="A80" s="30"/>
      <c r="B80" s="173" t="str">
        <f>IF(Roster!$L$13=0,"",Roster!$L$13)</f>
        <v/>
      </c>
      <c r="C80" s="170"/>
      <c r="D80" s="543"/>
      <c r="E80" s="543"/>
      <c r="F80" s="543"/>
      <c r="G80" s="543"/>
      <c r="H80" s="543"/>
      <c r="I80" s="543"/>
      <c r="J80" s="543"/>
      <c r="K80" s="543"/>
      <c r="L80" s="543"/>
      <c r="M80" s="543"/>
      <c r="N80" s="543"/>
      <c r="O80" s="167"/>
      <c r="P80" s="30"/>
      <c r="Q80" s="173" t="str">
        <f>IF(Roster!$L$14=0,"",Roster!$L$14)</f>
        <v/>
      </c>
      <c r="R80" s="170"/>
      <c r="S80" s="543"/>
      <c r="T80" s="543"/>
      <c r="U80" s="543"/>
      <c r="V80" s="543"/>
      <c r="W80" s="543"/>
      <c r="X80" s="543"/>
      <c r="Y80" s="543"/>
      <c r="Z80" s="543"/>
      <c r="AA80" s="543"/>
      <c r="AB80" s="543"/>
      <c r="AC80" s="543"/>
      <c r="AD80" s="167"/>
      <c r="AE80" s="30"/>
      <c r="AF80" s="173" t="str">
        <f>IF(Roster!$L$15=0,"",Roster!$L$15)</f>
        <v/>
      </c>
      <c r="AG80" s="170"/>
      <c r="AH80" s="543"/>
      <c r="AI80" s="543"/>
      <c r="AJ80" s="543"/>
      <c r="AK80" s="543"/>
      <c r="AL80" s="543"/>
      <c r="AM80" s="543"/>
      <c r="AN80" s="543"/>
      <c r="AO80" s="543"/>
      <c r="AP80" s="543"/>
      <c r="AQ80" s="543"/>
      <c r="AR80" s="543"/>
      <c r="AS80" s="167"/>
      <c r="AT80" s="30"/>
      <c r="AU80" s="173" t="str">
        <f>IF(Roster!$L$16=0,"",Roster!$L$16)</f>
        <v/>
      </c>
      <c r="AV80" s="170"/>
      <c r="AW80" s="543"/>
      <c r="AX80" s="543"/>
      <c r="AY80" s="543"/>
      <c r="AZ80" s="543"/>
      <c r="BA80" s="543"/>
      <c r="BB80" s="543"/>
      <c r="BC80" s="543"/>
      <c r="BD80" s="543"/>
      <c r="BE80" s="543"/>
      <c r="BF80" s="543"/>
      <c r="BG80" s="543"/>
      <c r="BH80" s="167"/>
    </row>
    <row r="81" spans="1:60" ht="11.25" customHeight="1" x14ac:dyDescent="0.2">
      <c r="A81" s="30"/>
      <c r="B81" s="171" t="str">
        <f>IF(Roster!$M$1=0,"",Roster!$M$1)</f>
        <v>AG</v>
      </c>
      <c r="C81" s="170"/>
      <c r="D81" s="543"/>
      <c r="E81" s="543"/>
      <c r="F81" s="543"/>
      <c r="G81" s="543"/>
      <c r="H81" s="543"/>
      <c r="I81" s="543"/>
      <c r="J81" s="543"/>
      <c r="K81" s="543"/>
      <c r="L81" s="543"/>
      <c r="M81" s="543"/>
      <c r="N81" s="543"/>
      <c r="O81" s="167"/>
      <c r="P81" s="30"/>
      <c r="Q81" s="171" t="str">
        <f>IF(Roster!$M$1=0,"",Roster!$M$1)</f>
        <v>AG</v>
      </c>
      <c r="R81" s="170"/>
      <c r="S81" s="543"/>
      <c r="T81" s="543"/>
      <c r="U81" s="543"/>
      <c r="V81" s="543"/>
      <c r="W81" s="543"/>
      <c r="X81" s="543"/>
      <c r="Y81" s="543"/>
      <c r="Z81" s="543"/>
      <c r="AA81" s="543"/>
      <c r="AB81" s="543"/>
      <c r="AC81" s="543"/>
      <c r="AD81" s="167"/>
      <c r="AE81" s="30"/>
      <c r="AF81" s="171" t="str">
        <f>IF(Roster!$M$1=0,"",Roster!$M$1)</f>
        <v>AG</v>
      </c>
      <c r="AG81" s="170"/>
      <c r="AH81" s="543"/>
      <c r="AI81" s="543"/>
      <c r="AJ81" s="543"/>
      <c r="AK81" s="543"/>
      <c r="AL81" s="543"/>
      <c r="AM81" s="543"/>
      <c r="AN81" s="543"/>
      <c r="AO81" s="543"/>
      <c r="AP81" s="543"/>
      <c r="AQ81" s="543"/>
      <c r="AR81" s="543"/>
      <c r="AS81" s="167"/>
      <c r="AT81" s="30"/>
      <c r="AU81" s="171" t="str">
        <f>IF(Roster!$M$1=0,"",Roster!$M$1)</f>
        <v>AG</v>
      </c>
      <c r="AV81" s="170"/>
      <c r="AW81" s="543"/>
      <c r="AX81" s="543"/>
      <c r="AY81" s="543"/>
      <c r="AZ81" s="543"/>
      <c r="BA81" s="543"/>
      <c r="BB81" s="543"/>
      <c r="BC81" s="543"/>
      <c r="BD81" s="543"/>
      <c r="BE81" s="543"/>
      <c r="BF81" s="543"/>
      <c r="BG81" s="543"/>
      <c r="BH81" s="167"/>
    </row>
    <row r="82" spans="1:60" ht="37.5" customHeight="1" x14ac:dyDescent="0.2">
      <c r="A82" s="30"/>
      <c r="B82" s="173" t="str">
        <f>IF(Roster!$M$13=0&amp;"+","",Roster!$M$13)</f>
        <v/>
      </c>
      <c r="C82" s="170"/>
      <c r="D82" s="543"/>
      <c r="E82" s="543"/>
      <c r="F82" s="543"/>
      <c r="G82" s="543"/>
      <c r="H82" s="543"/>
      <c r="I82" s="543"/>
      <c r="J82" s="543"/>
      <c r="K82" s="543"/>
      <c r="L82" s="543"/>
      <c r="M82" s="543"/>
      <c r="N82" s="543"/>
      <c r="O82" s="167"/>
      <c r="P82" s="30"/>
      <c r="Q82" s="173" t="str">
        <f>IF(Roster!$M$14=0&amp;"+","",Roster!$M$14)</f>
        <v/>
      </c>
      <c r="R82" s="170"/>
      <c r="S82" s="543"/>
      <c r="T82" s="543"/>
      <c r="U82" s="543"/>
      <c r="V82" s="543"/>
      <c r="W82" s="543"/>
      <c r="X82" s="543"/>
      <c r="Y82" s="543"/>
      <c r="Z82" s="543"/>
      <c r="AA82" s="543"/>
      <c r="AB82" s="543"/>
      <c r="AC82" s="543"/>
      <c r="AD82" s="167"/>
      <c r="AE82" s="30"/>
      <c r="AF82" s="173" t="str">
        <f>IF(Roster!$M$15=0&amp;"+","",Roster!$M$15)</f>
        <v/>
      </c>
      <c r="AG82" s="170"/>
      <c r="AH82" s="543"/>
      <c r="AI82" s="543"/>
      <c r="AJ82" s="543"/>
      <c r="AK82" s="543"/>
      <c r="AL82" s="543"/>
      <c r="AM82" s="543"/>
      <c r="AN82" s="543"/>
      <c r="AO82" s="543"/>
      <c r="AP82" s="543"/>
      <c r="AQ82" s="543"/>
      <c r="AR82" s="543"/>
      <c r="AS82" s="167"/>
      <c r="AT82" s="30"/>
      <c r="AU82" s="173" t="str">
        <f>IF(Roster!$M$16=0&amp;"+","",Roster!$M$16)</f>
        <v/>
      </c>
      <c r="AV82" s="170"/>
      <c r="AW82" s="543"/>
      <c r="AX82" s="543"/>
      <c r="AY82" s="543"/>
      <c r="AZ82" s="543"/>
      <c r="BA82" s="543"/>
      <c r="BB82" s="543"/>
      <c r="BC82" s="543"/>
      <c r="BD82" s="543"/>
      <c r="BE82" s="543"/>
      <c r="BF82" s="543"/>
      <c r="BG82" s="543"/>
      <c r="BH82" s="167"/>
    </row>
    <row r="83" spans="1:60" ht="11.25" customHeight="1" x14ac:dyDescent="0.2">
      <c r="A83" s="30"/>
      <c r="B83" s="171" t="str">
        <f>IF(Roster!$N$1=0,"",Roster!$N$1)</f>
        <v>PA</v>
      </c>
      <c r="C83" s="170"/>
      <c r="D83" s="543"/>
      <c r="E83" s="543"/>
      <c r="F83" s="543"/>
      <c r="G83" s="543"/>
      <c r="H83" s="543"/>
      <c r="I83" s="543"/>
      <c r="J83" s="543"/>
      <c r="K83" s="543"/>
      <c r="L83" s="543"/>
      <c r="M83" s="543"/>
      <c r="N83" s="543"/>
      <c r="O83" s="176"/>
      <c r="P83" s="30"/>
      <c r="Q83" s="171" t="str">
        <f>IF(Roster!$N$1=0,"",Roster!$N$1)</f>
        <v>PA</v>
      </c>
      <c r="R83" s="170"/>
      <c r="S83" s="543"/>
      <c r="T83" s="543"/>
      <c r="U83" s="543"/>
      <c r="V83" s="543"/>
      <c r="W83" s="543"/>
      <c r="X83" s="543"/>
      <c r="Y83" s="543"/>
      <c r="Z83" s="543"/>
      <c r="AA83" s="543"/>
      <c r="AB83" s="543"/>
      <c r="AC83" s="543"/>
      <c r="AD83" s="176"/>
      <c r="AE83" s="30"/>
      <c r="AF83" s="171" t="str">
        <f>IF(Roster!$N$1=0,"",Roster!$N$1)</f>
        <v>PA</v>
      </c>
      <c r="AG83" s="170"/>
      <c r="AH83" s="543"/>
      <c r="AI83" s="543"/>
      <c r="AJ83" s="543"/>
      <c r="AK83" s="543"/>
      <c r="AL83" s="543"/>
      <c r="AM83" s="543"/>
      <c r="AN83" s="543"/>
      <c r="AO83" s="543"/>
      <c r="AP83" s="543"/>
      <c r="AQ83" s="543"/>
      <c r="AR83" s="543"/>
      <c r="AS83" s="176"/>
      <c r="AT83" s="30"/>
      <c r="AU83" s="171" t="str">
        <f>IF(Roster!$N$1=0,"",Roster!$N$1)</f>
        <v>PA</v>
      </c>
      <c r="AV83" s="170"/>
      <c r="AW83" s="543"/>
      <c r="AX83" s="543"/>
      <c r="AY83" s="543"/>
      <c r="AZ83" s="543"/>
      <c r="BA83" s="543"/>
      <c r="BB83" s="543"/>
      <c r="BC83" s="543"/>
      <c r="BD83" s="543"/>
      <c r="BE83" s="543"/>
      <c r="BF83" s="543"/>
      <c r="BG83" s="543"/>
      <c r="BH83" s="176"/>
    </row>
    <row r="84" spans="1:60" ht="6" customHeight="1" x14ac:dyDescent="0.2">
      <c r="A84" s="30"/>
      <c r="B84" s="532" t="str">
        <f>IF(Roster!$N$13=0&amp;"+","",Roster!$N$13)</f>
        <v/>
      </c>
      <c r="C84" s="170"/>
      <c r="D84" s="543"/>
      <c r="E84" s="543"/>
      <c r="F84" s="543"/>
      <c r="G84" s="543"/>
      <c r="H84" s="543"/>
      <c r="I84" s="543"/>
      <c r="J84" s="543"/>
      <c r="K84" s="543"/>
      <c r="L84" s="543"/>
      <c r="M84" s="543"/>
      <c r="N84" s="543"/>
      <c r="O84" s="178"/>
      <c r="P84" s="30"/>
      <c r="Q84" s="532" t="str">
        <f>IF(Roster!$N$14=0&amp;"+","",Roster!$N$14)</f>
        <v/>
      </c>
      <c r="R84" s="170"/>
      <c r="S84" s="543"/>
      <c r="T84" s="543"/>
      <c r="U84" s="543"/>
      <c r="V84" s="543"/>
      <c r="W84" s="543"/>
      <c r="X84" s="543"/>
      <c r="Y84" s="543"/>
      <c r="Z84" s="543"/>
      <c r="AA84" s="543"/>
      <c r="AB84" s="543"/>
      <c r="AC84" s="543"/>
      <c r="AD84" s="178"/>
      <c r="AE84" s="30"/>
      <c r="AF84" s="532" t="str">
        <f>IF(Roster!$N$15=0&amp;"+","",Roster!$N$15)</f>
        <v/>
      </c>
      <c r="AG84" s="170"/>
      <c r="AH84" s="543"/>
      <c r="AI84" s="543"/>
      <c r="AJ84" s="543"/>
      <c r="AK84" s="543"/>
      <c r="AL84" s="543"/>
      <c r="AM84" s="543"/>
      <c r="AN84" s="543"/>
      <c r="AO84" s="543"/>
      <c r="AP84" s="543"/>
      <c r="AQ84" s="543"/>
      <c r="AR84" s="543"/>
      <c r="AS84" s="178"/>
      <c r="AT84" s="30"/>
      <c r="AU84" s="532" t="str">
        <f>IF(Roster!$N$16=0&amp;"+","",Roster!$N$16)</f>
        <v/>
      </c>
      <c r="AV84" s="170"/>
      <c r="AW84" s="543"/>
      <c r="AX84" s="543"/>
      <c r="AY84" s="543"/>
      <c r="AZ84" s="543"/>
      <c r="BA84" s="543"/>
      <c r="BB84" s="543"/>
      <c r="BC84" s="543"/>
      <c r="BD84" s="543"/>
      <c r="BE84" s="543"/>
      <c r="BF84" s="543"/>
      <c r="BG84" s="543"/>
      <c r="BH84" s="178"/>
    </row>
    <row r="85" spans="1:60" ht="4.5" customHeight="1" x14ac:dyDescent="0.2">
      <c r="A85" s="30"/>
      <c r="B85" s="499"/>
      <c r="C85" s="170"/>
      <c r="D85" s="167"/>
      <c r="E85" s="177"/>
      <c r="F85" s="167"/>
      <c r="G85" s="177"/>
      <c r="H85" s="167"/>
      <c r="I85" s="177"/>
      <c r="J85" s="167"/>
      <c r="K85" s="177"/>
      <c r="L85" s="167"/>
      <c r="M85" s="177"/>
      <c r="N85" s="167"/>
      <c r="O85" s="178"/>
      <c r="P85" s="30"/>
      <c r="Q85" s="499"/>
      <c r="R85" s="170"/>
      <c r="S85" s="167"/>
      <c r="T85" s="177"/>
      <c r="U85" s="167"/>
      <c r="V85" s="177"/>
      <c r="W85" s="167"/>
      <c r="X85" s="177"/>
      <c r="Y85" s="167"/>
      <c r="Z85" s="177"/>
      <c r="AA85" s="167"/>
      <c r="AB85" s="177"/>
      <c r="AC85" s="167"/>
      <c r="AD85" s="178"/>
      <c r="AE85" s="30"/>
      <c r="AF85" s="499"/>
      <c r="AG85" s="170"/>
      <c r="AH85" s="167"/>
      <c r="AI85" s="177"/>
      <c r="AJ85" s="167"/>
      <c r="AK85" s="177"/>
      <c r="AL85" s="167"/>
      <c r="AM85" s="177"/>
      <c r="AN85" s="167"/>
      <c r="AO85" s="177"/>
      <c r="AP85" s="167"/>
      <c r="AQ85" s="177"/>
      <c r="AR85" s="167"/>
      <c r="AS85" s="178"/>
      <c r="AT85" s="30"/>
      <c r="AU85" s="499"/>
      <c r="AV85" s="170"/>
      <c r="AW85" s="167"/>
      <c r="AX85" s="177"/>
      <c r="AY85" s="167"/>
      <c r="AZ85" s="177"/>
      <c r="BA85" s="167"/>
      <c r="BB85" s="177"/>
      <c r="BC85" s="167"/>
      <c r="BD85" s="177"/>
      <c r="BE85" s="167"/>
      <c r="BF85" s="177"/>
      <c r="BG85" s="167"/>
      <c r="BH85" s="178"/>
    </row>
    <row r="86" spans="1:60" ht="11.25" customHeight="1" x14ac:dyDescent="0.2">
      <c r="A86" s="30"/>
      <c r="B86" s="499"/>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499"/>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499"/>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499"/>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x14ac:dyDescent="0.2">
      <c r="A87" s="30"/>
      <c r="B87" s="499"/>
      <c r="C87" s="172"/>
      <c r="D87" s="180" t="str">
        <f>IF(Roster!$AD$13=0,"",Roster!$AD$13)</f>
        <v/>
      </c>
      <c r="E87" s="172"/>
      <c r="F87" s="180" t="str">
        <f>IF((SUM(H87,J87,L87))=0,"",(SUM(H87,J87,L87)))</f>
        <v/>
      </c>
      <c r="G87" s="172"/>
      <c r="H87" s="180" t="str">
        <f>IF(Roster!$AG$13=0,"",Roster!$AG$13)</f>
        <v/>
      </c>
      <c r="I87" s="172"/>
      <c r="J87" s="180" t="str">
        <f>IF(Roster!$AH$13=0,"",Roster!$AH$13)</f>
        <v/>
      </c>
      <c r="K87" s="172"/>
      <c r="L87" s="180" t="str">
        <f>IF(Roster!$AI$13=0,"",Roster!$AI$13)</f>
        <v/>
      </c>
      <c r="M87" s="172"/>
      <c r="N87" s="180" t="str">
        <f>IF(Roster!$AC$13=0,"",Roster!$AC$13)</f>
        <v/>
      </c>
      <c r="O87" s="178"/>
      <c r="P87" s="30"/>
      <c r="Q87" s="499"/>
      <c r="R87" s="172"/>
      <c r="S87" s="180" t="str">
        <f>IF(Roster!$AD$14=0,"",Roster!$AD$14)</f>
        <v/>
      </c>
      <c r="T87" s="172"/>
      <c r="U87" s="180" t="str">
        <f>IF((SUM(W87,Y87,AA87))=0,"",(SUM(W87,Y87,AA87)))</f>
        <v/>
      </c>
      <c r="V87" s="172"/>
      <c r="W87" s="180" t="str">
        <f>IF(Roster!$AG$14=0,"",Roster!$AG$14)</f>
        <v/>
      </c>
      <c r="X87" s="172"/>
      <c r="Y87" s="180" t="str">
        <f>IF(Roster!$AH$14=0,"",Roster!$AH$14)</f>
        <v/>
      </c>
      <c r="Z87" s="172"/>
      <c r="AA87" s="180" t="str">
        <f>IF(Roster!$AI$14=0,"",Roster!$AI$14)</f>
        <v/>
      </c>
      <c r="AB87" s="172"/>
      <c r="AC87" s="180" t="str">
        <f>IF(Roster!$AC$14=0,"",Roster!$AC$14)</f>
        <v/>
      </c>
      <c r="AD87" s="178"/>
      <c r="AE87" s="30"/>
      <c r="AF87" s="499"/>
      <c r="AG87" s="172"/>
      <c r="AH87" s="180" t="str">
        <f>IF(Roster!$AD$15=0,"",Roster!$AD$15)</f>
        <v/>
      </c>
      <c r="AI87" s="172"/>
      <c r="AJ87" s="180" t="str">
        <f>IF((SUM(AL87,AN87,AP87))=0,"",(SUM(AL87,AN87,AP87)))</f>
        <v/>
      </c>
      <c r="AK87" s="172"/>
      <c r="AL87" s="180" t="str">
        <f>IF(Roster!$AG$15=0,"",Roster!$AG$15)</f>
        <v/>
      </c>
      <c r="AM87" s="172"/>
      <c r="AN87" s="180" t="str">
        <f>IF(Roster!$AH$15=0,"",Roster!$AH$15)</f>
        <v/>
      </c>
      <c r="AO87" s="172"/>
      <c r="AP87" s="180" t="str">
        <f>IF(Roster!$AI$15=0,"",Roster!$AI$15)</f>
        <v/>
      </c>
      <c r="AQ87" s="172"/>
      <c r="AR87" s="180" t="str">
        <f>IF(Roster!$AC$15=0,"",Roster!$AC$15)</f>
        <v/>
      </c>
      <c r="AS87" s="178"/>
      <c r="AT87" s="30"/>
      <c r="AU87" s="499"/>
      <c r="AV87" s="172"/>
      <c r="AW87" s="180" t="str">
        <f>IF(Roster!$AD$16=0,"",Roster!$AD$16)</f>
        <v/>
      </c>
      <c r="AX87" s="172"/>
      <c r="AY87" s="180" t="str">
        <f>IF((SUM(BA87,BC87,BE87))=0,"",(SUM(BA87,BC87,BE87)))</f>
        <v/>
      </c>
      <c r="AZ87" s="172"/>
      <c r="BA87" s="180" t="str">
        <f>IF(Roster!$AG$16=0,"",Roster!$AG$16)</f>
        <v/>
      </c>
      <c r="BB87" s="172"/>
      <c r="BC87" s="180" t="str">
        <f>IF(Roster!$AH$16=0,"",Roster!$AH$16)</f>
        <v/>
      </c>
      <c r="BD87" s="172"/>
      <c r="BE87" s="180" t="str">
        <f>IF(Roster!$AI$16=0,"",Roster!$AI$16)</f>
        <v/>
      </c>
      <c r="BF87" s="172"/>
      <c r="BG87" s="180" t="str">
        <f>IF(Roster!$AC$16=0,"",Roster!$AC$16)</f>
        <v/>
      </c>
      <c r="BH87" s="178"/>
    </row>
    <row r="88" spans="1:60" ht="4.5" customHeight="1" x14ac:dyDescent="0.2">
      <c r="A88" s="30"/>
      <c r="B88" s="500"/>
      <c r="C88" s="172"/>
      <c r="D88" s="181"/>
      <c r="E88" s="172"/>
      <c r="F88" s="181"/>
      <c r="G88" s="172"/>
      <c r="H88" s="181"/>
      <c r="I88" s="172"/>
      <c r="J88" s="181"/>
      <c r="K88" s="172"/>
      <c r="L88" s="181"/>
      <c r="M88" s="172"/>
      <c r="N88" s="181"/>
      <c r="O88" s="178"/>
      <c r="P88" s="30"/>
      <c r="Q88" s="500"/>
      <c r="R88" s="172"/>
      <c r="S88" s="181"/>
      <c r="T88" s="172"/>
      <c r="U88" s="181"/>
      <c r="V88" s="172"/>
      <c r="W88" s="181"/>
      <c r="X88" s="172"/>
      <c r="Y88" s="181"/>
      <c r="Z88" s="172"/>
      <c r="AA88" s="181"/>
      <c r="AB88" s="172"/>
      <c r="AC88" s="181"/>
      <c r="AD88" s="178"/>
      <c r="AE88" s="30"/>
      <c r="AF88" s="500"/>
      <c r="AG88" s="172"/>
      <c r="AH88" s="181"/>
      <c r="AI88" s="172"/>
      <c r="AJ88" s="181"/>
      <c r="AK88" s="172"/>
      <c r="AL88" s="181"/>
      <c r="AM88" s="172"/>
      <c r="AN88" s="181"/>
      <c r="AO88" s="172"/>
      <c r="AP88" s="181"/>
      <c r="AQ88" s="172"/>
      <c r="AR88" s="181"/>
      <c r="AS88" s="178"/>
      <c r="AT88" s="30"/>
      <c r="AU88" s="500"/>
      <c r="AV88" s="172"/>
      <c r="AW88" s="181"/>
      <c r="AX88" s="172"/>
      <c r="AY88" s="181"/>
      <c r="AZ88" s="172"/>
      <c r="BA88" s="181"/>
      <c r="BB88" s="172"/>
      <c r="BC88" s="181"/>
      <c r="BD88" s="172"/>
      <c r="BE88" s="181"/>
      <c r="BF88" s="172"/>
      <c r="BG88" s="181"/>
      <c r="BH88" s="178"/>
    </row>
    <row r="89" spans="1:60" ht="11.25" customHeight="1" x14ac:dyDescent="0.2">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x14ac:dyDescent="0.2">
      <c r="A90" s="30"/>
      <c r="B90" s="532" t="str">
        <f>IF(Roster!$O$13=0&amp;"+","",Roster!$O$13)</f>
        <v/>
      </c>
      <c r="C90" s="172"/>
      <c r="D90" s="180" t="str">
        <f>IF(Roster!$AE$13=0,"",Roster!$AE$13)</f>
        <v/>
      </c>
      <c r="E90" s="172"/>
      <c r="F90" s="180" t="str">
        <f>IF(Roster!$AF$13=0,"",Roster!$AF$13)</f>
        <v/>
      </c>
      <c r="G90" s="172"/>
      <c r="H90" s="180" t="str">
        <f>IF(Roster!$AB$13=0,"",Roster!$AB$13)</f>
        <v/>
      </c>
      <c r="I90" s="172"/>
      <c r="J90" s="180" t="str">
        <f>IF(Roster!$AJ$13=0,"",Roster!$AJ$13)</f>
        <v/>
      </c>
      <c r="K90" s="172"/>
      <c r="L90" s="180" t="str">
        <f>IF(Roster!$AK$13=0,"",Roster!$AK$13)</f>
        <v/>
      </c>
      <c r="M90" s="172"/>
      <c r="N90" s="180" t="str">
        <f>IF(Roster!$AA$13=0,"",Roster!$AA$13)</f>
        <v/>
      </c>
      <c r="O90" s="182"/>
      <c r="P90" s="30"/>
      <c r="Q90" s="532" t="str">
        <f>IF(Roster!$O$14=0&amp;"+","",Roster!$O$14)</f>
        <v/>
      </c>
      <c r="R90" s="172"/>
      <c r="S90" s="180" t="str">
        <f>IF(Roster!$AE$14=0,"",Roster!$AE$14)</f>
        <v/>
      </c>
      <c r="T90" s="172"/>
      <c r="U90" s="180" t="str">
        <f>IF(Roster!$AF$14=0,"",Roster!$AF$14)</f>
        <v/>
      </c>
      <c r="V90" s="172"/>
      <c r="W90" s="180" t="str">
        <f>IF(Roster!$AB$14=0,"",Roster!$AB$14)</f>
        <v/>
      </c>
      <c r="X90" s="172"/>
      <c r="Y90" s="180" t="str">
        <f>IF(Roster!$AJ$14=0,"",Roster!$AJ$14)</f>
        <v/>
      </c>
      <c r="Z90" s="172"/>
      <c r="AA90" s="180" t="str">
        <f>IF(Roster!$AK$14=0,"",Roster!$AK$14)</f>
        <v/>
      </c>
      <c r="AB90" s="172"/>
      <c r="AC90" s="180" t="str">
        <f>IF(Roster!$AA$14=0,"",Roster!$AA$14)</f>
        <v/>
      </c>
      <c r="AD90" s="182"/>
      <c r="AE90" s="30"/>
      <c r="AF90" s="532" t="str">
        <f>IF(Roster!$O$15=0&amp;"+","",Roster!$O$15)</f>
        <v/>
      </c>
      <c r="AG90" s="172"/>
      <c r="AH90" s="180" t="str">
        <f>IF(Roster!$AE$15=0,"",Roster!$AE$15)</f>
        <v/>
      </c>
      <c r="AI90" s="172"/>
      <c r="AJ90" s="180" t="str">
        <f>IF(Roster!$AF$15=0,"",Roster!$AF$15)</f>
        <v/>
      </c>
      <c r="AK90" s="172"/>
      <c r="AL90" s="180" t="str">
        <f>IF(Roster!$AB$15=0,"",Roster!$AB$15)</f>
        <v/>
      </c>
      <c r="AM90" s="172"/>
      <c r="AN90" s="180" t="str">
        <f>IF(Roster!$AJ$15=0,"",Roster!$AJ$15)</f>
        <v/>
      </c>
      <c r="AO90" s="172"/>
      <c r="AP90" s="180" t="str">
        <f>IF(Roster!$AK$15=0,"",Roster!$AK$15)</f>
        <v/>
      </c>
      <c r="AQ90" s="172"/>
      <c r="AR90" s="180" t="str">
        <f>IF(Roster!$AA$15=0,"",Roster!$AA$15)</f>
        <v/>
      </c>
      <c r="AS90" s="182"/>
      <c r="AT90" s="30"/>
      <c r="AU90" s="532" t="str">
        <f>IF(Roster!$O$16=0&amp;"+","",Roster!$O$16)</f>
        <v/>
      </c>
      <c r="AV90" s="172"/>
      <c r="AW90" s="180" t="str">
        <f>IF(Roster!$AE$16=0,"",Roster!$AE$16)</f>
        <v/>
      </c>
      <c r="AX90" s="172"/>
      <c r="AY90" s="180" t="str">
        <f>IF(Roster!$AF$16=0,"",Roster!$AF$16)</f>
        <v/>
      </c>
      <c r="AZ90" s="172"/>
      <c r="BA90" s="180" t="str">
        <f>IF(Roster!$AB$16=0,"",Roster!$AB$16)</f>
        <v/>
      </c>
      <c r="BB90" s="172"/>
      <c r="BC90" s="180" t="str">
        <f>IF(Roster!$AJ$16=0,"",Roster!$AJ$16)</f>
        <v/>
      </c>
      <c r="BD90" s="172"/>
      <c r="BE90" s="180" t="str">
        <f>IF(Roster!$AK$16=0,"",Roster!$AK$16)</f>
        <v/>
      </c>
      <c r="BF90" s="172"/>
      <c r="BG90" s="180" t="str">
        <f>IF(Roster!$AA$16=0,"",Roster!$AA$16)</f>
        <v/>
      </c>
      <c r="BH90" s="182"/>
    </row>
    <row r="91" spans="1:60" ht="4.5" customHeight="1" x14ac:dyDescent="0.2">
      <c r="A91" s="30"/>
      <c r="B91" s="499"/>
      <c r="C91" s="172"/>
      <c r="D91" s="172"/>
      <c r="E91" s="172"/>
      <c r="F91" s="172"/>
      <c r="G91" s="172"/>
      <c r="H91" s="172"/>
      <c r="I91" s="172"/>
      <c r="J91" s="172"/>
      <c r="K91" s="172"/>
      <c r="L91" s="172"/>
      <c r="M91" s="172"/>
      <c r="N91" s="178"/>
      <c r="O91" s="182"/>
      <c r="P91" s="30"/>
      <c r="Q91" s="499"/>
      <c r="R91" s="172"/>
      <c r="S91" s="172"/>
      <c r="T91" s="172"/>
      <c r="U91" s="172"/>
      <c r="V91" s="172"/>
      <c r="W91" s="172"/>
      <c r="X91" s="172"/>
      <c r="Y91" s="172"/>
      <c r="Z91" s="172"/>
      <c r="AA91" s="172"/>
      <c r="AB91" s="172"/>
      <c r="AC91" s="178"/>
      <c r="AD91" s="182"/>
      <c r="AE91" s="30"/>
      <c r="AF91" s="499"/>
      <c r="AG91" s="172"/>
      <c r="AH91" s="172"/>
      <c r="AI91" s="172"/>
      <c r="AJ91" s="172"/>
      <c r="AK91" s="172"/>
      <c r="AL91" s="172"/>
      <c r="AM91" s="172"/>
      <c r="AN91" s="172"/>
      <c r="AO91" s="172"/>
      <c r="AP91" s="172"/>
      <c r="AQ91" s="172"/>
      <c r="AR91" s="178"/>
      <c r="AS91" s="182"/>
      <c r="AT91" s="30"/>
      <c r="AU91" s="499"/>
      <c r="AV91" s="172"/>
      <c r="AW91" s="172"/>
      <c r="AX91" s="172"/>
      <c r="AY91" s="172"/>
      <c r="AZ91" s="172"/>
      <c r="BA91" s="172"/>
      <c r="BB91" s="172"/>
      <c r="BC91" s="172"/>
      <c r="BD91" s="172"/>
      <c r="BE91" s="172"/>
      <c r="BF91" s="172"/>
      <c r="BG91" s="178"/>
      <c r="BH91" s="182"/>
    </row>
    <row r="92" spans="1:60" ht="11.25" customHeight="1" x14ac:dyDescent="0.2">
      <c r="A92" s="30"/>
      <c r="B92" s="499"/>
      <c r="C92" s="172"/>
      <c r="D92" s="529" t="str">
        <f>IF(Roster!$K$25="Italiano","ABILITÀ &amp; TRATTI",(IF(Roster!$K$25="Español","HABILIDADES Y RASGOS","SKILLS &amp; TRAITS")))</f>
        <v>SKILLS &amp; TRAITS</v>
      </c>
      <c r="E92" s="484"/>
      <c r="F92" s="484"/>
      <c r="G92" s="484"/>
      <c r="H92" s="484"/>
      <c r="I92" s="484"/>
      <c r="J92" s="484"/>
      <c r="K92" s="484"/>
      <c r="L92" s="484"/>
      <c r="M92" s="484"/>
      <c r="N92" s="485"/>
      <c r="O92" s="182"/>
      <c r="P92" s="30"/>
      <c r="Q92" s="499"/>
      <c r="R92" s="172"/>
      <c r="S92" s="529" t="str">
        <f>IF(Roster!$K$25="Italiano","ABILITÀ &amp; TRATTI",(IF(Roster!$K$25="Español","HABILIDADES Y RASGOS","SKILLS &amp; TRAITS")))</f>
        <v>SKILLS &amp; TRAITS</v>
      </c>
      <c r="T92" s="484"/>
      <c r="U92" s="484"/>
      <c r="V92" s="484"/>
      <c r="W92" s="484"/>
      <c r="X92" s="484"/>
      <c r="Y92" s="484"/>
      <c r="Z92" s="484"/>
      <c r="AA92" s="484"/>
      <c r="AB92" s="484"/>
      <c r="AC92" s="485"/>
      <c r="AD92" s="182"/>
      <c r="AE92" s="30"/>
      <c r="AF92" s="499"/>
      <c r="AG92" s="172"/>
      <c r="AH92" s="529" t="str">
        <f>IF(Roster!$K$25="Italiano","ABILITÀ &amp; TRATTI",(IF(Roster!$K$25="Español","HABILIDADES Y RASGOS","SKILLS &amp; TRAITS")))</f>
        <v>SKILLS &amp; TRAITS</v>
      </c>
      <c r="AI92" s="484"/>
      <c r="AJ92" s="484"/>
      <c r="AK92" s="484"/>
      <c r="AL92" s="484"/>
      <c r="AM92" s="484"/>
      <c r="AN92" s="484"/>
      <c r="AO92" s="484"/>
      <c r="AP92" s="484"/>
      <c r="AQ92" s="484"/>
      <c r="AR92" s="485"/>
      <c r="AS92" s="182"/>
      <c r="AT92" s="30"/>
      <c r="AU92" s="499"/>
      <c r="AV92" s="172"/>
      <c r="AW92" s="529" t="str">
        <f>IF(Roster!$K$25="Italiano","ABILITÀ &amp; TRATTI",(IF(Roster!$K$25="Español","HABILIDADES Y RASGOS","SKILLS &amp; TRAITS")))</f>
        <v>SKILLS &amp; TRAITS</v>
      </c>
      <c r="AX92" s="484"/>
      <c r="AY92" s="484"/>
      <c r="AZ92" s="484"/>
      <c r="BA92" s="484"/>
      <c r="BB92" s="484"/>
      <c r="BC92" s="484"/>
      <c r="BD92" s="484"/>
      <c r="BE92" s="484"/>
      <c r="BF92" s="484"/>
      <c r="BG92" s="485"/>
      <c r="BH92" s="182"/>
    </row>
    <row r="93" spans="1:60" ht="6.75" customHeight="1" x14ac:dyDescent="0.2">
      <c r="A93" s="30"/>
      <c r="B93" s="500"/>
      <c r="C93" s="172"/>
      <c r="D93" s="533" t="str">
        <f>IF(Roster!$P$13=0&amp;BF13,"",Roster!$P$13)</f>
        <v/>
      </c>
      <c r="E93" s="534"/>
      <c r="F93" s="534"/>
      <c r="G93" s="534"/>
      <c r="H93" s="534"/>
      <c r="I93" s="534"/>
      <c r="J93" s="534"/>
      <c r="K93" s="534"/>
      <c r="L93" s="534"/>
      <c r="M93" s="534"/>
      <c r="N93" s="535"/>
      <c r="O93" s="182"/>
      <c r="P93" s="30"/>
      <c r="Q93" s="500"/>
      <c r="R93" s="172"/>
      <c r="S93" s="533" t="str">
        <f>IF(Roster!$P$14=0&amp;BF14,"",Roster!$P$14)</f>
        <v/>
      </c>
      <c r="T93" s="534"/>
      <c r="U93" s="534"/>
      <c r="V93" s="534"/>
      <c r="W93" s="534"/>
      <c r="X93" s="534"/>
      <c r="Y93" s="534"/>
      <c r="Z93" s="534"/>
      <c r="AA93" s="534"/>
      <c r="AB93" s="534"/>
      <c r="AC93" s="535"/>
      <c r="AD93" s="182"/>
      <c r="AE93" s="30"/>
      <c r="AF93" s="500"/>
      <c r="AG93" s="172"/>
      <c r="AH93" s="533" t="str">
        <f>IF(Roster!$P$15=0&amp;BF15,"",Roster!$P$15)</f>
        <v/>
      </c>
      <c r="AI93" s="534"/>
      <c r="AJ93" s="534"/>
      <c r="AK93" s="534"/>
      <c r="AL93" s="534"/>
      <c r="AM93" s="534"/>
      <c r="AN93" s="534"/>
      <c r="AO93" s="534"/>
      <c r="AP93" s="534"/>
      <c r="AQ93" s="534"/>
      <c r="AR93" s="535"/>
      <c r="AS93" s="182"/>
      <c r="AT93" s="30"/>
      <c r="AU93" s="500"/>
      <c r="AV93" s="172"/>
      <c r="AW93" s="533" t="str">
        <f>IF(Roster!$P$16=0&amp;BF16,"",Roster!$P$16)</f>
        <v/>
      </c>
      <c r="AX93" s="534"/>
      <c r="AY93" s="534"/>
      <c r="AZ93" s="534"/>
      <c r="BA93" s="534"/>
      <c r="BB93" s="534"/>
      <c r="BC93" s="534"/>
      <c r="BD93" s="534"/>
      <c r="BE93" s="534"/>
      <c r="BF93" s="534"/>
      <c r="BG93" s="535"/>
      <c r="BH93" s="182"/>
    </row>
    <row r="94" spans="1:60" ht="11.25" customHeight="1" x14ac:dyDescent="0.2">
      <c r="A94" s="30"/>
      <c r="B94" s="171" t="str">
        <f>IF(Roster!$AO$1=0,"",Roster!$AO$1)</f>
        <v>COST</v>
      </c>
      <c r="C94" s="171"/>
      <c r="D94" s="536"/>
      <c r="E94" s="537"/>
      <c r="F94" s="537"/>
      <c r="G94" s="537"/>
      <c r="H94" s="537"/>
      <c r="I94" s="537"/>
      <c r="J94" s="537"/>
      <c r="K94" s="537"/>
      <c r="L94" s="537"/>
      <c r="M94" s="537"/>
      <c r="N94" s="538"/>
      <c r="O94" s="183"/>
      <c r="P94" s="30"/>
      <c r="Q94" s="171" t="str">
        <f>IF(Roster!$AO$1=0,"",Roster!$AO$1)</f>
        <v>COST</v>
      </c>
      <c r="R94" s="171"/>
      <c r="S94" s="536"/>
      <c r="T94" s="537"/>
      <c r="U94" s="537"/>
      <c r="V94" s="537"/>
      <c r="W94" s="537"/>
      <c r="X94" s="537"/>
      <c r="Y94" s="537"/>
      <c r="Z94" s="537"/>
      <c r="AA94" s="537"/>
      <c r="AB94" s="537"/>
      <c r="AC94" s="538"/>
      <c r="AD94" s="183"/>
      <c r="AE94" s="30"/>
      <c r="AF94" s="171" t="str">
        <f>IF(Roster!$AO$1=0,"",Roster!$AO$1)</f>
        <v>COST</v>
      </c>
      <c r="AG94" s="171"/>
      <c r="AH94" s="536"/>
      <c r="AI94" s="537"/>
      <c r="AJ94" s="537"/>
      <c r="AK94" s="537"/>
      <c r="AL94" s="537"/>
      <c r="AM94" s="537"/>
      <c r="AN94" s="537"/>
      <c r="AO94" s="537"/>
      <c r="AP94" s="537"/>
      <c r="AQ94" s="537"/>
      <c r="AR94" s="538"/>
      <c r="AS94" s="183"/>
      <c r="AT94" s="30"/>
      <c r="AU94" s="171" t="str">
        <f>IF(Roster!$AO$1=0,"",Roster!$AO$1)</f>
        <v>COST</v>
      </c>
      <c r="AV94" s="171"/>
      <c r="AW94" s="536"/>
      <c r="AX94" s="537"/>
      <c r="AY94" s="537"/>
      <c r="AZ94" s="537"/>
      <c r="BA94" s="537"/>
      <c r="BB94" s="537"/>
      <c r="BC94" s="537"/>
      <c r="BD94" s="537"/>
      <c r="BE94" s="537"/>
      <c r="BF94" s="537"/>
      <c r="BG94" s="538"/>
      <c r="BH94" s="183"/>
    </row>
    <row r="95" spans="1:60" ht="34.5" customHeight="1" x14ac:dyDescent="0.2">
      <c r="A95" s="30"/>
      <c r="B95" s="185" t="str">
        <f>IF(Roster!$AO$13=0,"",Roster!$AO$13)</f>
        <v/>
      </c>
      <c r="C95" s="186"/>
      <c r="D95" s="539"/>
      <c r="E95" s="540"/>
      <c r="F95" s="540"/>
      <c r="G95" s="540"/>
      <c r="H95" s="540"/>
      <c r="I95" s="540"/>
      <c r="J95" s="540"/>
      <c r="K95" s="540"/>
      <c r="L95" s="540"/>
      <c r="M95" s="540"/>
      <c r="N95" s="541"/>
      <c r="O95" s="183"/>
      <c r="P95" s="30"/>
      <c r="Q95" s="185" t="str">
        <f>IF(Roster!$AO$14=0,"",Roster!$AO$14)</f>
        <v/>
      </c>
      <c r="R95" s="186"/>
      <c r="S95" s="539"/>
      <c r="T95" s="540"/>
      <c r="U95" s="540"/>
      <c r="V95" s="540"/>
      <c r="W95" s="540"/>
      <c r="X95" s="540"/>
      <c r="Y95" s="540"/>
      <c r="Z95" s="540"/>
      <c r="AA95" s="540"/>
      <c r="AB95" s="540"/>
      <c r="AC95" s="541"/>
      <c r="AD95" s="183"/>
      <c r="AE95" s="30"/>
      <c r="AF95" s="185" t="str">
        <f>IF(Roster!$AO$15=0,"",Roster!$AO$15)</f>
        <v/>
      </c>
      <c r="AG95" s="186"/>
      <c r="AH95" s="539"/>
      <c r="AI95" s="540"/>
      <c r="AJ95" s="540"/>
      <c r="AK95" s="540"/>
      <c r="AL95" s="540"/>
      <c r="AM95" s="540"/>
      <c r="AN95" s="540"/>
      <c r="AO95" s="540"/>
      <c r="AP95" s="540"/>
      <c r="AQ95" s="540"/>
      <c r="AR95" s="541"/>
      <c r="AS95" s="183"/>
      <c r="AT95" s="30"/>
      <c r="AU95" s="185" t="str">
        <f>IF(Roster!$AO$16=0,"",Roster!$AO$16)</f>
        <v/>
      </c>
      <c r="AV95" s="186"/>
      <c r="AW95" s="539"/>
      <c r="AX95" s="540"/>
      <c r="AY95" s="540"/>
      <c r="AZ95" s="540"/>
      <c r="BA95" s="540"/>
      <c r="BB95" s="540"/>
      <c r="BC95" s="540"/>
      <c r="BD95" s="540"/>
      <c r="BE95" s="540"/>
      <c r="BF95" s="540"/>
      <c r="BG95" s="541"/>
      <c r="BH95" s="183"/>
    </row>
    <row r="96" spans="1:60" ht="4.5" customHeight="1" x14ac:dyDescent="0.2">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x14ac:dyDescent="0.2">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x14ac:dyDescent="0.2">
      <c r="A98" s="30"/>
      <c r="B98" s="531" t="str">
        <f>IF(Roster!$A$17=0,"","#"&amp;Roster!$A$17)</f>
        <v>#16</v>
      </c>
      <c r="C98" s="167"/>
      <c r="D98" s="167"/>
      <c r="E98" s="167"/>
      <c r="F98" s="167"/>
      <c r="G98" s="167"/>
      <c r="H98" s="167"/>
      <c r="I98" s="167"/>
      <c r="J98" s="167"/>
      <c r="K98" s="167"/>
      <c r="L98" s="167"/>
      <c r="M98" s="167"/>
      <c r="N98" s="167"/>
      <c r="O98" s="167"/>
      <c r="P98" s="30"/>
      <c r="Q98" s="542"/>
      <c r="R98" s="167"/>
      <c r="S98" s="167"/>
      <c r="T98" s="167"/>
      <c r="U98" s="167"/>
      <c r="V98" s="167"/>
      <c r="W98" s="167"/>
      <c r="X98" s="167"/>
      <c r="Y98" s="167"/>
      <c r="Z98" s="167"/>
      <c r="AA98" s="167"/>
      <c r="AB98" s="167"/>
      <c r="AC98" s="167"/>
      <c r="AD98" s="167"/>
      <c r="AE98" s="30"/>
      <c r="AF98" s="542"/>
      <c r="AG98" s="167"/>
      <c r="AH98" s="167"/>
      <c r="AI98" s="167"/>
      <c r="AJ98" s="167"/>
      <c r="AK98" s="167"/>
      <c r="AL98" s="167"/>
      <c r="AM98" s="167"/>
      <c r="AN98" s="167"/>
      <c r="AO98" s="167"/>
      <c r="AP98" s="167"/>
      <c r="AQ98" s="167"/>
      <c r="AR98" s="167"/>
      <c r="AS98" s="167"/>
      <c r="AT98" s="30"/>
      <c r="AU98" s="542"/>
      <c r="AV98" s="167"/>
      <c r="AW98" s="167"/>
      <c r="AX98" s="167"/>
      <c r="AY98" s="167"/>
      <c r="AZ98" s="167"/>
      <c r="BA98" s="167"/>
      <c r="BB98" s="167"/>
      <c r="BC98" s="167"/>
      <c r="BD98" s="167"/>
      <c r="BE98" s="167"/>
      <c r="BF98" s="167"/>
      <c r="BG98" s="167"/>
      <c r="BH98" s="167"/>
    </row>
    <row r="99" spans="1:60" ht="15" customHeight="1" x14ac:dyDescent="0.25">
      <c r="A99" s="30"/>
      <c r="B99" s="499"/>
      <c r="C99" s="524" t="str">
        <f>IF(Roster!$B$17=0,"",Roster!$B$17)</f>
        <v/>
      </c>
      <c r="D99" s="484"/>
      <c r="E99" s="484"/>
      <c r="F99" s="484"/>
      <c r="G99" s="484"/>
      <c r="H99" s="484"/>
      <c r="I99" s="484"/>
      <c r="J99" s="484"/>
      <c r="K99" s="484"/>
      <c r="L99" s="484"/>
      <c r="M99" s="484"/>
      <c r="N99" s="485"/>
      <c r="O99" s="167"/>
      <c r="P99" s="30"/>
      <c r="Q99" s="499"/>
      <c r="R99" s="525" t="str">
        <f>IF(Roster!$B$18=0,"","("&amp;Roster!$B$18&amp;")")</f>
        <v>(Star Player &amp; Mercenary)</v>
      </c>
      <c r="S99" s="526"/>
      <c r="T99" s="526"/>
      <c r="U99" s="526"/>
      <c r="V99" s="526"/>
      <c r="W99" s="526"/>
      <c r="X99" s="526"/>
      <c r="Y99" s="526"/>
      <c r="Z99" s="526"/>
      <c r="AA99" s="526"/>
      <c r="AB99" s="526"/>
      <c r="AC99" s="527"/>
      <c r="AD99" s="167"/>
      <c r="AE99" s="30"/>
      <c r="AF99" s="499"/>
      <c r="AG99" s="525" t="str">
        <f>IF(Roster!$B$19=0,"","("&amp;Roster!$B$19&amp;")")</f>
        <v>(Star Player &amp; Mercenary)</v>
      </c>
      <c r="AH99" s="526"/>
      <c r="AI99" s="526"/>
      <c r="AJ99" s="526"/>
      <c r="AK99" s="526"/>
      <c r="AL99" s="526"/>
      <c r="AM99" s="526"/>
      <c r="AN99" s="526"/>
      <c r="AO99" s="526"/>
      <c r="AP99" s="526"/>
      <c r="AQ99" s="526"/>
      <c r="AR99" s="527"/>
      <c r="AS99" s="167"/>
      <c r="AT99" s="30"/>
      <c r="AU99" s="499"/>
      <c r="AV99" s="525" t="str">
        <f>IF(Roster!$B$20=0,"","("&amp;Roster!$B$20&amp;")")</f>
        <v>(Mercenary)</v>
      </c>
      <c r="AW99" s="526"/>
      <c r="AX99" s="526"/>
      <c r="AY99" s="526"/>
      <c r="AZ99" s="526"/>
      <c r="BA99" s="526"/>
      <c r="BB99" s="526"/>
      <c r="BC99" s="526"/>
      <c r="BD99" s="526"/>
      <c r="BE99" s="526"/>
      <c r="BF99" s="526"/>
      <c r="BG99" s="527"/>
      <c r="BH99" s="167"/>
    </row>
    <row r="100" spans="1:60" ht="11.25" customHeight="1" x14ac:dyDescent="0.2">
      <c r="A100" s="30"/>
      <c r="B100" s="500"/>
      <c r="C100" s="530" t="str">
        <f>IF(Roster!$D$17=0,"",Roster!$D$17)</f>
        <v/>
      </c>
      <c r="D100" s="484"/>
      <c r="E100" s="484"/>
      <c r="F100" s="484"/>
      <c r="G100" s="484"/>
      <c r="H100" s="484"/>
      <c r="I100" s="484"/>
      <c r="J100" s="484"/>
      <c r="K100" s="484"/>
      <c r="L100" s="484"/>
      <c r="M100" s="484"/>
      <c r="N100" s="485"/>
      <c r="O100" s="168"/>
      <c r="P100" s="30"/>
      <c r="Q100" s="500"/>
      <c r="R100" s="544" t="str">
        <f>IF(Roster!$D$18=0,"",Roster!$D$18)</f>
        <v/>
      </c>
      <c r="S100" s="544"/>
      <c r="T100" s="544"/>
      <c r="U100" s="544"/>
      <c r="V100" s="544"/>
      <c r="W100" s="544"/>
      <c r="X100" s="544"/>
      <c r="Y100" s="544"/>
      <c r="Z100" s="544"/>
      <c r="AA100" s="544"/>
      <c r="AB100" s="544"/>
      <c r="AC100" s="544"/>
      <c r="AD100" s="168"/>
      <c r="AE100" s="30"/>
      <c r="AF100" s="500"/>
      <c r="AG100" s="528" t="str">
        <f>IF(Roster!$D$19=0,"",Roster!$D$19)</f>
        <v/>
      </c>
      <c r="AH100" s="528"/>
      <c r="AI100" s="528"/>
      <c r="AJ100" s="528"/>
      <c r="AK100" s="528"/>
      <c r="AL100" s="528"/>
      <c r="AM100" s="528"/>
      <c r="AN100" s="528"/>
      <c r="AO100" s="528"/>
      <c r="AP100" s="528"/>
      <c r="AQ100" s="528"/>
      <c r="AR100" s="528"/>
      <c r="AS100" s="168"/>
      <c r="AT100" s="30"/>
      <c r="AU100" s="500"/>
      <c r="AV100" s="528" t="str">
        <f>IF(Roster!$D$20=0,"",Roster!$D$20)</f>
        <v/>
      </c>
      <c r="AW100" s="528"/>
      <c r="AX100" s="528"/>
      <c r="AY100" s="528"/>
      <c r="AZ100" s="528"/>
      <c r="BA100" s="528"/>
      <c r="BB100" s="528"/>
      <c r="BC100" s="528"/>
      <c r="BD100" s="528"/>
      <c r="BE100" s="528"/>
      <c r="BF100" s="528"/>
      <c r="BG100" s="528"/>
      <c r="BH100" s="168"/>
    </row>
    <row r="101" spans="1:60" ht="11.25" customHeight="1" x14ac:dyDescent="0.2">
      <c r="A101" s="30"/>
      <c r="B101" s="171" t="str">
        <f>IF(Roster!$K$1=0,"",Roster!$K$1)</f>
        <v>MA</v>
      </c>
      <c r="C101" s="170"/>
      <c r="D101" s="543"/>
      <c r="E101" s="543"/>
      <c r="F101" s="543"/>
      <c r="G101" s="543"/>
      <c r="H101" s="543"/>
      <c r="I101" s="543"/>
      <c r="J101" s="543"/>
      <c r="K101" s="543"/>
      <c r="L101" s="543"/>
      <c r="M101" s="543"/>
      <c r="N101" s="543"/>
      <c r="O101" s="167"/>
      <c r="P101" s="30"/>
      <c r="Q101" s="171" t="str">
        <f>IF(Roster!$K$1=0,"",Roster!$K$1)</f>
        <v>MA</v>
      </c>
      <c r="R101" s="544"/>
      <c r="S101" s="544"/>
      <c r="T101" s="544"/>
      <c r="U101" s="544"/>
      <c r="V101" s="544"/>
      <c r="W101" s="544"/>
      <c r="X101" s="544"/>
      <c r="Y101" s="544"/>
      <c r="Z101" s="544"/>
      <c r="AA101" s="544"/>
      <c r="AB101" s="544"/>
      <c r="AC101" s="544"/>
      <c r="AD101" s="167"/>
      <c r="AE101" s="30"/>
      <c r="AF101" s="171" t="str">
        <f>IF(Roster!$K$1=0,"",Roster!$K$1)</f>
        <v>MA</v>
      </c>
      <c r="AG101" s="528"/>
      <c r="AH101" s="528"/>
      <c r="AI101" s="528"/>
      <c r="AJ101" s="528"/>
      <c r="AK101" s="528"/>
      <c r="AL101" s="528"/>
      <c r="AM101" s="528"/>
      <c r="AN101" s="528"/>
      <c r="AO101" s="528"/>
      <c r="AP101" s="528"/>
      <c r="AQ101" s="528"/>
      <c r="AR101" s="528"/>
      <c r="AS101" s="167"/>
      <c r="AT101" s="30"/>
      <c r="AU101" s="171" t="str">
        <f>IF(Roster!$K$1=0,"",Roster!$K$1)</f>
        <v>MA</v>
      </c>
      <c r="AV101" s="528"/>
      <c r="AW101" s="528"/>
      <c r="AX101" s="528"/>
      <c r="AY101" s="528"/>
      <c r="AZ101" s="528"/>
      <c r="BA101" s="528"/>
      <c r="BB101" s="528"/>
      <c r="BC101" s="528"/>
      <c r="BD101" s="528"/>
      <c r="BE101" s="528"/>
      <c r="BF101" s="528"/>
      <c r="BG101" s="528"/>
      <c r="BH101" s="167"/>
    </row>
    <row r="102" spans="1:60" ht="37.5" customHeight="1" x14ac:dyDescent="0.2">
      <c r="A102" s="30"/>
      <c r="B102" s="173" t="str">
        <f>IF(Roster!$K$17=0,"",Roster!$K$17)</f>
        <v/>
      </c>
      <c r="C102" s="170"/>
      <c r="D102" s="543"/>
      <c r="E102" s="543"/>
      <c r="F102" s="543"/>
      <c r="G102" s="543"/>
      <c r="H102" s="543"/>
      <c r="I102" s="543"/>
      <c r="J102" s="543"/>
      <c r="K102" s="543"/>
      <c r="L102" s="543"/>
      <c r="M102" s="543"/>
      <c r="N102" s="543"/>
      <c r="O102" s="167"/>
      <c r="P102" s="30"/>
      <c r="Q102" s="173" t="str">
        <f>IF(Roster!$K$18=0,"",Roster!$K$18)</f>
        <v/>
      </c>
      <c r="R102" s="544"/>
      <c r="S102" s="544"/>
      <c r="T102" s="544"/>
      <c r="U102" s="544"/>
      <c r="V102" s="544"/>
      <c r="W102" s="544"/>
      <c r="X102" s="544"/>
      <c r="Y102" s="544"/>
      <c r="Z102" s="544"/>
      <c r="AA102" s="544"/>
      <c r="AB102" s="544"/>
      <c r="AC102" s="544"/>
      <c r="AD102" s="167"/>
      <c r="AE102" s="30"/>
      <c r="AF102" s="173" t="str">
        <f>IF(Roster!$K$19=0,"",Roster!$K$19)</f>
        <v/>
      </c>
      <c r="AG102" s="528"/>
      <c r="AH102" s="528"/>
      <c r="AI102" s="528"/>
      <c r="AJ102" s="528"/>
      <c r="AK102" s="528"/>
      <c r="AL102" s="528"/>
      <c r="AM102" s="528"/>
      <c r="AN102" s="528"/>
      <c r="AO102" s="528"/>
      <c r="AP102" s="528"/>
      <c r="AQ102" s="528"/>
      <c r="AR102" s="528"/>
      <c r="AS102" s="167"/>
      <c r="AT102" s="30"/>
      <c r="AU102" s="173" t="str">
        <f>IF(Roster!$K$20=0,"",Roster!$K$20)</f>
        <v/>
      </c>
      <c r="AV102" s="528"/>
      <c r="AW102" s="528"/>
      <c r="AX102" s="528"/>
      <c r="AY102" s="528"/>
      <c r="AZ102" s="528"/>
      <c r="BA102" s="528"/>
      <c r="BB102" s="528"/>
      <c r="BC102" s="528"/>
      <c r="BD102" s="528"/>
      <c r="BE102" s="528"/>
      <c r="BF102" s="528"/>
      <c r="BG102" s="528"/>
      <c r="BH102" s="167"/>
    </row>
    <row r="103" spans="1:60" ht="11.25" customHeight="1" x14ac:dyDescent="0.2">
      <c r="A103" s="30"/>
      <c r="B103" s="171" t="str">
        <f>IF(Roster!$L$1=0,"",Roster!$L$1)</f>
        <v>ST</v>
      </c>
      <c r="C103" s="170"/>
      <c r="D103" s="543"/>
      <c r="E103" s="543"/>
      <c r="F103" s="543"/>
      <c r="G103" s="543"/>
      <c r="H103" s="543"/>
      <c r="I103" s="543"/>
      <c r="J103" s="543"/>
      <c r="K103" s="543"/>
      <c r="L103" s="543"/>
      <c r="M103" s="543"/>
      <c r="N103" s="543"/>
      <c r="O103" s="167"/>
      <c r="P103" s="30"/>
      <c r="Q103" s="171" t="str">
        <f>IF(Roster!$L$1=0,"",Roster!$L$1)</f>
        <v>ST</v>
      </c>
      <c r="R103" s="171"/>
      <c r="S103" s="529" t="str">
        <f>IF(Roster!$K$25="Italiano","REGOLE SPECIALI",(IF(Roster!$K$25="Español","REGLA ESPECIAL","SPECIAL RULE")))</f>
        <v>SPECIAL RULE</v>
      </c>
      <c r="T103" s="484"/>
      <c r="U103" s="484"/>
      <c r="V103" s="484"/>
      <c r="W103" s="484"/>
      <c r="X103" s="484"/>
      <c r="Y103" s="484"/>
      <c r="Z103" s="484"/>
      <c r="AA103" s="484"/>
      <c r="AB103" s="484"/>
      <c r="AC103" s="485"/>
      <c r="AD103" s="167"/>
      <c r="AE103" s="30"/>
      <c r="AF103" s="171" t="str">
        <f>IF(Roster!$L$1=0,"",Roster!$L$1)</f>
        <v>ST</v>
      </c>
      <c r="AG103" s="216"/>
      <c r="AH103" s="529" t="str">
        <f>IF(Roster!$K$25="Italiano","REGOLE SPECIALI",(IF(Roster!$K$25="Español","REGLA ESPECIAL","SPECIAL RULE")))</f>
        <v>SPECIAL RULE</v>
      </c>
      <c r="AI103" s="484"/>
      <c r="AJ103" s="484"/>
      <c r="AK103" s="484"/>
      <c r="AL103" s="484"/>
      <c r="AM103" s="484"/>
      <c r="AN103" s="484"/>
      <c r="AO103" s="484"/>
      <c r="AP103" s="484"/>
      <c r="AQ103" s="484"/>
      <c r="AR103" s="485"/>
      <c r="AS103" s="167"/>
      <c r="AT103" s="30"/>
      <c r="AU103" s="171" t="str">
        <f>IF(Roster!$L$1=0,"",Roster!$L$1)</f>
        <v>ST</v>
      </c>
      <c r="AV103" s="216"/>
      <c r="AW103" s="529" t="str">
        <f>IF(Roster!$K$25="Italiano","REGOLE SPECIALI",(IF(Roster!$K$25="Español","REGLA ESPECIAL","SPECIAL RULE")))</f>
        <v>SPECIAL RULE</v>
      </c>
      <c r="AX103" s="484"/>
      <c r="AY103" s="484"/>
      <c r="AZ103" s="484"/>
      <c r="BA103" s="484"/>
      <c r="BB103" s="484"/>
      <c r="BC103" s="484"/>
      <c r="BD103" s="484"/>
      <c r="BE103" s="484"/>
      <c r="BF103" s="484"/>
      <c r="BG103" s="485"/>
      <c r="BH103" s="167"/>
    </row>
    <row r="104" spans="1:60" ht="37.5" customHeight="1" x14ac:dyDescent="0.2">
      <c r="A104" s="30"/>
      <c r="B104" s="173" t="str">
        <f>IF(Roster!$L$17=0,"",Roster!$L$17)</f>
        <v/>
      </c>
      <c r="C104" s="170"/>
      <c r="D104" s="543"/>
      <c r="E104" s="543"/>
      <c r="F104" s="543"/>
      <c r="G104" s="543"/>
      <c r="H104" s="543"/>
      <c r="I104" s="543"/>
      <c r="J104" s="543"/>
      <c r="K104" s="543"/>
      <c r="L104" s="543"/>
      <c r="M104" s="543"/>
      <c r="N104" s="543"/>
      <c r="O104" s="167"/>
      <c r="P104" s="30"/>
      <c r="Q104" s="173" t="str">
        <f>IF(Roster!$L$18=0,"",Roster!$L$18)</f>
        <v/>
      </c>
      <c r="R104" s="171"/>
      <c r="S104" s="546" t="str">
        <f>IF(Roster!$AA$18=0,"",Roster!$AA$18)</f>
        <v/>
      </c>
      <c r="T104" s="546"/>
      <c r="U104" s="546"/>
      <c r="V104" s="546"/>
      <c r="W104" s="546"/>
      <c r="X104" s="546"/>
      <c r="Y104" s="546"/>
      <c r="Z104" s="546"/>
      <c r="AA104" s="546"/>
      <c r="AB104" s="546"/>
      <c r="AC104" s="546"/>
      <c r="AD104" s="167"/>
      <c r="AE104" s="30"/>
      <c r="AF104" s="173" t="str">
        <f>IF(Roster!$L$19=0,"",Roster!$L$19)</f>
        <v/>
      </c>
      <c r="AG104" s="216"/>
      <c r="AH104" s="546" t="str">
        <f>IF(Roster!$AA$19=0,"",Roster!$AA$19)</f>
        <v/>
      </c>
      <c r="AI104" s="546"/>
      <c r="AJ104" s="546"/>
      <c r="AK104" s="546"/>
      <c r="AL104" s="546"/>
      <c r="AM104" s="546"/>
      <c r="AN104" s="546"/>
      <c r="AO104" s="546"/>
      <c r="AP104" s="546"/>
      <c r="AQ104" s="546"/>
      <c r="AR104" s="546"/>
      <c r="AS104" s="167"/>
      <c r="AT104" s="30"/>
      <c r="AU104" s="173" t="str">
        <f>IF(Roster!$L$20=0,"",Roster!$L$20)</f>
        <v/>
      </c>
      <c r="AV104" s="216"/>
      <c r="AW104" s="546" t="str">
        <f>IF(Roster!$AA$20=0,"",Roster!$AA$20)</f>
        <v/>
      </c>
      <c r="AX104" s="546"/>
      <c r="AY104" s="546"/>
      <c r="AZ104" s="546"/>
      <c r="BA104" s="546"/>
      <c r="BB104" s="546"/>
      <c r="BC104" s="546"/>
      <c r="BD104" s="546"/>
      <c r="BE104" s="546"/>
      <c r="BF104" s="546"/>
      <c r="BG104" s="546"/>
      <c r="BH104" s="167"/>
    </row>
    <row r="105" spans="1:60" ht="11.25" customHeight="1" x14ac:dyDescent="0.2">
      <c r="A105" s="30"/>
      <c r="B105" s="171" t="str">
        <f>IF(Roster!$M$1=0,"",Roster!$M$1)</f>
        <v>AG</v>
      </c>
      <c r="C105" s="170"/>
      <c r="D105" s="543"/>
      <c r="E105" s="543"/>
      <c r="F105" s="543"/>
      <c r="G105" s="543"/>
      <c r="H105" s="543"/>
      <c r="I105" s="543"/>
      <c r="J105" s="543"/>
      <c r="K105" s="543"/>
      <c r="L105" s="543"/>
      <c r="M105" s="543"/>
      <c r="N105" s="543"/>
      <c r="O105" s="167"/>
      <c r="P105" s="30"/>
      <c r="Q105" s="171" t="str">
        <f>IF(Roster!$M$1=0,"",Roster!$M$1)</f>
        <v>AG</v>
      </c>
      <c r="R105" s="171"/>
      <c r="S105" s="546"/>
      <c r="T105" s="546"/>
      <c r="U105" s="546"/>
      <c r="V105" s="546"/>
      <c r="W105" s="546"/>
      <c r="X105" s="546"/>
      <c r="Y105" s="546"/>
      <c r="Z105" s="546"/>
      <c r="AA105" s="546"/>
      <c r="AB105" s="546"/>
      <c r="AC105" s="546"/>
      <c r="AD105" s="167"/>
      <c r="AE105" s="30"/>
      <c r="AF105" s="171" t="str">
        <f>IF(Roster!$M$1=0,"",Roster!$M$1)</f>
        <v>AG</v>
      </c>
      <c r="AG105" s="216"/>
      <c r="AH105" s="546"/>
      <c r="AI105" s="546"/>
      <c r="AJ105" s="546"/>
      <c r="AK105" s="546"/>
      <c r="AL105" s="546"/>
      <c r="AM105" s="546"/>
      <c r="AN105" s="546"/>
      <c r="AO105" s="546"/>
      <c r="AP105" s="546"/>
      <c r="AQ105" s="546"/>
      <c r="AR105" s="546"/>
      <c r="AS105" s="167"/>
      <c r="AT105" s="30"/>
      <c r="AU105" s="171" t="str">
        <f>IF(Roster!$M$1=0,"",Roster!$M$1)</f>
        <v>AG</v>
      </c>
      <c r="AV105" s="216"/>
      <c r="AW105" s="546"/>
      <c r="AX105" s="546"/>
      <c r="AY105" s="546"/>
      <c r="AZ105" s="546"/>
      <c r="BA105" s="546"/>
      <c r="BB105" s="546"/>
      <c r="BC105" s="546"/>
      <c r="BD105" s="546"/>
      <c r="BE105" s="546"/>
      <c r="BF105" s="546"/>
      <c r="BG105" s="546"/>
      <c r="BH105" s="167"/>
    </row>
    <row r="106" spans="1:60" ht="37.5" customHeight="1" x14ac:dyDescent="0.2">
      <c r="A106" s="30"/>
      <c r="B106" s="173" t="str">
        <f>IF(Roster!$M$17=0&amp;"+","",Roster!$M$17)</f>
        <v/>
      </c>
      <c r="C106" s="170"/>
      <c r="D106" s="543"/>
      <c r="E106" s="543"/>
      <c r="F106" s="543"/>
      <c r="G106" s="543"/>
      <c r="H106" s="543"/>
      <c r="I106" s="543"/>
      <c r="J106" s="543"/>
      <c r="K106" s="543"/>
      <c r="L106" s="543"/>
      <c r="M106" s="543"/>
      <c r="N106" s="543"/>
      <c r="O106" s="167"/>
      <c r="P106" s="30"/>
      <c r="Q106" s="173" t="str">
        <f>IF(Roster!$M$18=0,"",Roster!$M$18)</f>
        <v/>
      </c>
      <c r="R106" s="171"/>
      <c r="S106" s="546"/>
      <c r="T106" s="546"/>
      <c r="U106" s="546"/>
      <c r="V106" s="546"/>
      <c r="W106" s="546"/>
      <c r="X106" s="546"/>
      <c r="Y106" s="546"/>
      <c r="Z106" s="546"/>
      <c r="AA106" s="546"/>
      <c r="AB106" s="546"/>
      <c r="AC106" s="546"/>
      <c r="AD106" s="167"/>
      <c r="AE106" s="30"/>
      <c r="AF106" s="173" t="str">
        <f>IF(Roster!$M$19=0,"",Roster!$M$19)</f>
        <v/>
      </c>
      <c r="AG106" s="216"/>
      <c r="AH106" s="546"/>
      <c r="AI106" s="546"/>
      <c r="AJ106" s="546"/>
      <c r="AK106" s="546"/>
      <c r="AL106" s="546"/>
      <c r="AM106" s="546"/>
      <c r="AN106" s="546"/>
      <c r="AO106" s="546"/>
      <c r="AP106" s="546"/>
      <c r="AQ106" s="546"/>
      <c r="AR106" s="546"/>
      <c r="AS106" s="167"/>
      <c r="AT106" s="30"/>
      <c r="AU106" s="173" t="str">
        <f>IF(Roster!$M$20=0,"",Roster!$M$20)</f>
        <v/>
      </c>
      <c r="AV106" s="216"/>
      <c r="AW106" s="546"/>
      <c r="AX106" s="546"/>
      <c r="AY106" s="546"/>
      <c r="AZ106" s="546"/>
      <c r="BA106" s="546"/>
      <c r="BB106" s="546"/>
      <c r="BC106" s="546"/>
      <c r="BD106" s="546"/>
      <c r="BE106" s="546"/>
      <c r="BF106" s="546"/>
      <c r="BG106" s="546"/>
      <c r="BH106" s="167"/>
    </row>
    <row r="107" spans="1:60" ht="11.25" customHeight="1" x14ac:dyDescent="0.2">
      <c r="A107" s="30"/>
      <c r="B107" s="171" t="str">
        <f>IF(Roster!$N$1=0,"",Roster!$N$1)</f>
        <v>PA</v>
      </c>
      <c r="C107" s="170"/>
      <c r="D107" s="543"/>
      <c r="E107" s="543"/>
      <c r="F107" s="543"/>
      <c r="G107" s="543"/>
      <c r="H107" s="543"/>
      <c r="I107" s="543"/>
      <c r="J107" s="543"/>
      <c r="K107" s="543"/>
      <c r="L107" s="543"/>
      <c r="M107" s="543"/>
      <c r="N107" s="543"/>
      <c r="O107" s="176"/>
      <c r="P107" s="30"/>
      <c r="Q107" s="171" t="str">
        <f>IF(Roster!$N$1=0,"",Roster!$N$1)</f>
        <v>PA</v>
      </c>
      <c r="R107" s="171"/>
      <c r="S107" s="546"/>
      <c r="T107" s="546"/>
      <c r="U107" s="546"/>
      <c r="V107" s="546"/>
      <c r="W107" s="546"/>
      <c r="X107" s="546"/>
      <c r="Y107" s="546"/>
      <c r="Z107" s="546"/>
      <c r="AA107" s="546"/>
      <c r="AB107" s="546"/>
      <c r="AC107" s="546"/>
      <c r="AD107" s="176"/>
      <c r="AE107" s="30"/>
      <c r="AF107" s="171" t="str">
        <f>IF(Roster!$N$1=0,"",Roster!$N$1)</f>
        <v>PA</v>
      </c>
      <c r="AG107" s="216"/>
      <c r="AH107" s="546"/>
      <c r="AI107" s="546"/>
      <c r="AJ107" s="546"/>
      <c r="AK107" s="546"/>
      <c r="AL107" s="546"/>
      <c r="AM107" s="546"/>
      <c r="AN107" s="546"/>
      <c r="AO107" s="546"/>
      <c r="AP107" s="546"/>
      <c r="AQ107" s="546"/>
      <c r="AR107" s="546"/>
      <c r="AS107" s="176"/>
      <c r="AT107" s="30"/>
      <c r="AU107" s="171" t="str">
        <f>IF(Roster!$N$1=0,"",Roster!$N$1)</f>
        <v>PA</v>
      </c>
      <c r="AV107" s="216"/>
      <c r="AW107" s="546"/>
      <c r="AX107" s="546"/>
      <c r="AY107" s="546"/>
      <c r="AZ107" s="546"/>
      <c r="BA107" s="546"/>
      <c r="BB107" s="546"/>
      <c r="BC107" s="546"/>
      <c r="BD107" s="546"/>
      <c r="BE107" s="546"/>
      <c r="BF107" s="546"/>
      <c r="BG107" s="546"/>
      <c r="BH107" s="176"/>
    </row>
    <row r="108" spans="1:60" ht="6" customHeight="1" x14ac:dyDescent="0.2">
      <c r="A108" s="30"/>
      <c r="B108" s="532" t="str">
        <f>IF(Roster!$N$17=0&amp;"+","",Roster!$N$17)</f>
        <v/>
      </c>
      <c r="C108" s="170"/>
      <c r="D108" s="543"/>
      <c r="E108" s="543"/>
      <c r="F108" s="543"/>
      <c r="G108" s="543"/>
      <c r="H108" s="543"/>
      <c r="I108" s="543"/>
      <c r="J108" s="543"/>
      <c r="K108" s="543"/>
      <c r="L108" s="543"/>
      <c r="M108" s="543"/>
      <c r="N108" s="543"/>
      <c r="O108" s="178"/>
      <c r="P108" s="30"/>
      <c r="Q108" s="532" t="str">
        <f>IF(Roster!$N$18=0,"",Roster!$N$18)</f>
        <v/>
      </c>
      <c r="R108" s="171"/>
      <c r="S108" s="546"/>
      <c r="T108" s="546"/>
      <c r="U108" s="546"/>
      <c r="V108" s="546"/>
      <c r="W108" s="546"/>
      <c r="X108" s="546"/>
      <c r="Y108" s="546"/>
      <c r="Z108" s="546"/>
      <c r="AA108" s="546"/>
      <c r="AB108" s="546"/>
      <c r="AC108" s="546"/>
      <c r="AD108" s="178"/>
      <c r="AE108" s="30"/>
      <c r="AF108" s="532" t="str">
        <f>IF(Roster!$N$19=0,"",Roster!$N$19)</f>
        <v/>
      </c>
      <c r="AG108" s="217"/>
      <c r="AH108" s="546"/>
      <c r="AI108" s="546"/>
      <c r="AJ108" s="546"/>
      <c r="AK108" s="546"/>
      <c r="AL108" s="546"/>
      <c r="AM108" s="546"/>
      <c r="AN108" s="546"/>
      <c r="AO108" s="546"/>
      <c r="AP108" s="546"/>
      <c r="AQ108" s="546"/>
      <c r="AR108" s="546"/>
      <c r="AS108" s="178"/>
      <c r="AT108" s="30"/>
      <c r="AU108" s="532" t="str">
        <f>IF(Roster!$N$20=0,"",Roster!$N$20)</f>
        <v/>
      </c>
      <c r="AV108" s="217"/>
      <c r="AW108" s="546"/>
      <c r="AX108" s="546"/>
      <c r="AY108" s="546"/>
      <c r="AZ108" s="546"/>
      <c r="BA108" s="546"/>
      <c r="BB108" s="546"/>
      <c r="BC108" s="546"/>
      <c r="BD108" s="546"/>
      <c r="BE108" s="546"/>
      <c r="BF108" s="546"/>
      <c r="BG108" s="546"/>
      <c r="BH108" s="178"/>
    </row>
    <row r="109" spans="1:60" ht="4.5" customHeight="1" x14ac:dyDescent="0.2">
      <c r="A109" s="30"/>
      <c r="B109" s="499"/>
      <c r="C109" s="170"/>
      <c r="D109" s="167"/>
      <c r="E109" s="177"/>
      <c r="F109" s="167"/>
      <c r="G109" s="177"/>
      <c r="H109" s="167"/>
      <c r="I109" s="177"/>
      <c r="J109" s="167"/>
      <c r="K109" s="177"/>
      <c r="L109" s="167"/>
      <c r="M109" s="177"/>
      <c r="N109" s="167"/>
      <c r="O109" s="178"/>
      <c r="P109" s="30"/>
      <c r="Q109" s="499"/>
      <c r="R109" s="171"/>
      <c r="S109" s="546"/>
      <c r="T109" s="546"/>
      <c r="U109" s="546"/>
      <c r="V109" s="546"/>
      <c r="W109" s="546"/>
      <c r="X109" s="546"/>
      <c r="Y109" s="546"/>
      <c r="Z109" s="546"/>
      <c r="AA109" s="546"/>
      <c r="AB109" s="546"/>
      <c r="AC109" s="546"/>
      <c r="AD109" s="178"/>
      <c r="AE109" s="30"/>
      <c r="AF109" s="499"/>
      <c r="AG109" s="212"/>
      <c r="AH109" s="546"/>
      <c r="AI109" s="546"/>
      <c r="AJ109" s="546"/>
      <c r="AK109" s="546"/>
      <c r="AL109" s="546"/>
      <c r="AM109" s="546"/>
      <c r="AN109" s="546"/>
      <c r="AO109" s="546"/>
      <c r="AP109" s="546"/>
      <c r="AQ109" s="546"/>
      <c r="AR109" s="546"/>
      <c r="AS109" s="178"/>
      <c r="AT109" s="30"/>
      <c r="AU109" s="499"/>
      <c r="AV109" s="212"/>
      <c r="AW109" s="546"/>
      <c r="AX109" s="546"/>
      <c r="AY109" s="546"/>
      <c r="AZ109" s="546"/>
      <c r="BA109" s="546"/>
      <c r="BB109" s="546"/>
      <c r="BC109" s="546"/>
      <c r="BD109" s="546"/>
      <c r="BE109" s="546"/>
      <c r="BF109" s="546"/>
      <c r="BG109" s="546"/>
      <c r="BH109" s="178"/>
    </row>
    <row r="110" spans="1:60" ht="11.25" customHeight="1" x14ac:dyDescent="0.2">
      <c r="A110" s="30"/>
      <c r="B110" s="499"/>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499"/>
      <c r="R110" s="171"/>
      <c r="S110" s="546"/>
      <c r="T110" s="546"/>
      <c r="U110" s="546"/>
      <c r="V110" s="546"/>
      <c r="W110" s="546"/>
      <c r="X110" s="546"/>
      <c r="Y110" s="546"/>
      <c r="Z110" s="546"/>
      <c r="AA110" s="546"/>
      <c r="AB110" s="546"/>
      <c r="AC110" s="546"/>
      <c r="AD110" s="178"/>
      <c r="AE110" s="30"/>
      <c r="AF110" s="499"/>
      <c r="AG110" s="212"/>
      <c r="AH110" s="546"/>
      <c r="AI110" s="546"/>
      <c r="AJ110" s="546"/>
      <c r="AK110" s="546"/>
      <c r="AL110" s="546"/>
      <c r="AM110" s="546"/>
      <c r="AN110" s="546"/>
      <c r="AO110" s="546"/>
      <c r="AP110" s="546"/>
      <c r="AQ110" s="546"/>
      <c r="AR110" s="546"/>
      <c r="AS110" s="178"/>
      <c r="AT110" s="30"/>
      <c r="AU110" s="499"/>
      <c r="AV110" s="212"/>
      <c r="AW110" s="546"/>
      <c r="AX110" s="546"/>
      <c r="AY110" s="546"/>
      <c r="AZ110" s="546"/>
      <c r="BA110" s="546"/>
      <c r="BB110" s="546"/>
      <c r="BC110" s="546"/>
      <c r="BD110" s="546"/>
      <c r="BE110" s="546"/>
      <c r="BF110" s="546"/>
      <c r="BG110" s="546"/>
      <c r="BH110" s="178"/>
    </row>
    <row r="111" spans="1:60" ht="15" customHeight="1" x14ac:dyDescent="0.2">
      <c r="A111" s="30"/>
      <c r="B111" s="499"/>
      <c r="C111" s="172"/>
      <c r="D111" s="180" t="str">
        <f>IF(Roster!$AD$17=0,"",Roster!$AD$17)</f>
        <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499"/>
      <c r="R111" s="171"/>
      <c r="S111" s="546"/>
      <c r="T111" s="546"/>
      <c r="U111" s="546"/>
      <c r="V111" s="546"/>
      <c r="W111" s="546"/>
      <c r="X111" s="546"/>
      <c r="Y111" s="546"/>
      <c r="Z111" s="546"/>
      <c r="AA111" s="546"/>
      <c r="AB111" s="546"/>
      <c r="AC111" s="546"/>
      <c r="AD111" s="178"/>
      <c r="AE111" s="30"/>
      <c r="AF111" s="499"/>
      <c r="AG111" s="213"/>
      <c r="AH111" s="546"/>
      <c r="AI111" s="546"/>
      <c r="AJ111" s="546"/>
      <c r="AK111" s="546"/>
      <c r="AL111" s="546"/>
      <c r="AM111" s="546"/>
      <c r="AN111" s="546"/>
      <c r="AO111" s="546"/>
      <c r="AP111" s="546"/>
      <c r="AQ111" s="546"/>
      <c r="AR111" s="546"/>
      <c r="AS111" s="178"/>
      <c r="AT111" s="30"/>
      <c r="AU111" s="499"/>
      <c r="AV111" s="213"/>
      <c r="AW111" s="546"/>
      <c r="AX111" s="546"/>
      <c r="AY111" s="546"/>
      <c r="AZ111" s="546"/>
      <c r="BA111" s="546"/>
      <c r="BB111" s="546"/>
      <c r="BC111" s="546"/>
      <c r="BD111" s="546"/>
      <c r="BE111" s="546"/>
      <c r="BF111" s="546"/>
      <c r="BG111" s="546"/>
      <c r="BH111" s="178"/>
    </row>
    <row r="112" spans="1:60" ht="4.5" customHeight="1" x14ac:dyDescent="0.2">
      <c r="A112" s="30"/>
      <c r="B112" s="500"/>
      <c r="C112" s="172"/>
      <c r="D112" s="181"/>
      <c r="E112" s="172"/>
      <c r="F112" s="181"/>
      <c r="G112" s="172"/>
      <c r="H112" s="181"/>
      <c r="I112" s="172"/>
      <c r="J112" s="181"/>
      <c r="K112" s="172"/>
      <c r="L112" s="181"/>
      <c r="M112" s="172"/>
      <c r="N112" s="181"/>
      <c r="O112" s="178"/>
      <c r="P112" s="30"/>
      <c r="Q112" s="500"/>
      <c r="R112" s="172"/>
      <c r="S112" s="186"/>
      <c r="T112" s="186"/>
      <c r="U112" s="186"/>
      <c r="V112" s="186"/>
      <c r="W112" s="186"/>
      <c r="X112" s="186"/>
      <c r="Y112" s="186"/>
      <c r="Z112" s="186"/>
      <c r="AA112" s="186"/>
      <c r="AB112" s="186"/>
      <c r="AC112" s="167"/>
      <c r="AD112" s="178"/>
      <c r="AE112" s="30"/>
      <c r="AF112" s="500"/>
      <c r="AG112" s="212"/>
      <c r="AH112" s="186"/>
      <c r="AI112" s="186"/>
      <c r="AJ112" s="186"/>
      <c r="AK112" s="186"/>
      <c r="AL112" s="186"/>
      <c r="AM112" s="186"/>
      <c r="AN112" s="186"/>
      <c r="AO112" s="186"/>
      <c r="AP112" s="186"/>
      <c r="AQ112" s="186"/>
      <c r="AR112" s="167"/>
      <c r="AS112" s="178"/>
      <c r="AT112" s="30"/>
      <c r="AU112" s="500"/>
      <c r="AV112" s="212"/>
      <c r="AW112" s="186"/>
      <c r="AX112" s="186"/>
      <c r="AY112" s="186"/>
      <c r="AZ112" s="186"/>
      <c r="BA112" s="186"/>
      <c r="BB112" s="186"/>
      <c r="BC112" s="186"/>
      <c r="BD112" s="186"/>
      <c r="BE112" s="186"/>
      <c r="BF112" s="186"/>
      <c r="BG112" s="167"/>
      <c r="BH112" s="178"/>
    </row>
    <row r="113" spans="1:60" ht="11.25" customHeight="1" x14ac:dyDescent="0.2">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29" t="str">
        <f>IF(Roster!$K$25="Italiano","ABILITÀ &amp; TRATTI",(IF(Roster!$K$25="Español","HABILIDADES Y RASGOS","SKILLS &amp; TRAITS")))</f>
        <v>SKILLS &amp; TRAITS</v>
      </c>
      <c r="T113" s="484"/>
      <c r="U113" s="484"/>
      <c r="V113" s="484"/>
      <c r="W113" s="484"/>
      <c r="X113" s="484"/>
      <c r="Y113" s="484"/>
      <c r="Z113" s="484"/>
      <c r="AA113" s="484"/>
      <c r="AB113" s="484"/>
      <c r="AC113" s="485"/>
      <c r="AD113" s="167"/>
      <c r="AE113" s="30"/>
      <c r="AF113" s="171" t="str">
        <f>IF(Roster!$O$1=0,"",Roster!$O$1)</f>
        <v>AV</v>
      </c>
      <c r="AG113" s="212"/>
      <c r="AH113" s="529" t="str">
        <f>IF(Roster!$K$25="Italiano","ABILITÀ &amp; TRATTI",(IF(Roster!$K$25="Español","HABILIDADES Y RASGOS","SKILLS &amp; TRAITS")))</f>
        <v>SKILLS &amp; TRAITS</v>
      </c>
      <c r="AI113" s="484"/>
      <c r="AJ113" s="484"/>
      <c r="AK113" s="484"/>
      <c r="AL113" s="484"/>
      <c r="AM113" s="484"/>
      <c r="AN113" s="484"/>
      <c r="AO113" s="484"/>
      <c r="AP113" s="484"/>
      <c r="AQ113" s="484"/>
      <c r="AR113" s="485"/>
      <c r="AS113" s="167"/>
      <c r="AT113" s="30"/>
      <c r="AU113" s="171" t="str">
        <f>IF(Roster!$O$1=0,"",Roster!$O$1)</f>
        <v>AV</v>
      </c>
      <c r="AV113" s="212"/>
      <c r="AW113" s="529" t="str">
        <f>IF(Roster!$K$25="Italiano","ABILITÀ &amp; TRATTI",(IF(Roster!$K$25="Español","HABILIDADES Y RASGOS","SKILLS &amp; TRAITS")))</f>
        <v>SKILLS &amp; TRAITS</v>
      </c>
      <c r="AX113" s="484"/>
      <c r="AY113" s="484"/>
      <c r="AZ113" s="484"/>
      <c r="BA113" s="484"/>
      <c r="BB113" s="484"/>
      <c r="BC113" s="484"/>
      <c r="BD113" s="484"/>
      <c r="BE113" s="484"/>
      <c r="BF113" s="484"/>
      <c r="BG113" s="485"/>
      <c r="BH113" s="167"/>
    </row>
    <row r="114" spans="1:60" ht="15" customHeight="1" x14ac:dyDescent="0.2">
      <c r="A114" s="30"/>
      <c r="B114" s="532" t="str">
        <f>IF(Roster!$O$17=0&amp;"+","",Roster!$O$17)</f>
        <v/>
      </c>
      <c r="C114" s="172"/>
      <c r="D114" s="180" t="str">
        <f>IF(Roster!$AE$17=0,"",Roster!$AE$17)</f>
        <v/>
      </c>
      <c r="E114" s="172"/>
      <c r="F114" s="180" t="str">
        <f>IF(Roster!$AF$17=0,"",Roster!$AF$17)</f>
        <v/>
      </c>
      <c r="G114" s="172"/>
      <c r="H114" s="180" t="str">
        <f>IF(Roster!$AB$17=0,"",Roster!$AB$17)</f>
        <v/>
      </c>
      <c r="I114" s="172"/>
      <c r="J114" s="180" t="str">
        <f>IF(Roster!$AJ$17=0,"",Roster!$AJ$17)</f>
        <v/>
      </c>
      <c r="K114" s="172"/>
      <c r="L114" s="180" t="str">
        <f>IF(Roster!$AK$17=0,"",Roster!$AK$17)</f>
        <v/>
      </c>
      <c r="M114" s="172"/>
      <c r="N114" s="180" t="str">
        <f>IF(Roster!$AA$17=0,"",Roster!$AA$17)</f>
        <v/>
      </c>
      <c r="O114" s="182"/>
      <c r="P114" s="30"/>
      <c r="Q114" s="532" t="str">
        <f>IF(Roster!$O$18=0,"",Roster!$O$18)</f>
        <v/>
      </c>
      <c r="R114" s="171"/>
      <c r="S114" s="545" t="str">
        <f>IF(Roster!$P$18=0,"",Roster!$P$18)</f>
        <v/>
      </c>
      <c r="T114" s="545"/>
      <c r="U114" s="545"/>
      <c r="V114" s="545"/>
      <c r="W114" s="545"/>
      <c r="X114" s="545"/>
      <c r="Y114" s="545"/>
      <c r="Z114" s="545"/>
      <c r="AA114" s="545"/>
      <c r="AB114" s="545"/>
      <c r="AC114" s="545"/>
      <c r="AD114" s="182"/>
      <c r="AE114" s="30"/>
      <c r="AF114" s="532" t="str">
        <f>IF(Roster!$O$19=0,"",Roster!$O$19)</f>
        <v/>
      </c>
      <c r="AG114" s="213"/>
      <c r="AH114" s="545" t="str">
        <f>IF(Roster!$P$19=0,"",Roster!$P$19)</f>
        <v/>
      </c>
      <c r="AI114" s="545"/>
      <c r="AJ114" s="545"/>
      <c r="AK114" s="545"/>
      <c r="AL114" s="545"/>
      <c r="AM114" s="545"/>
      <c r="AN114" s="545"/>
      <c r="AO114" s="545"/>
      <c r="AP114" s="545"/>
      <c r="AQ114" s="545"/>
      <c r="AR114" s="545"/>
      <c r="AS114" s="182"/>
      <c r="AT114" s="30"/>
      <c r="AU114" s="532" t="str">
        <f>IF(Roster!$O$20=0,"",Roster!$O$20)</f>
        <v/>
      </c>
      <c r="AV114" s="213"/>
      <c r="AW114" s="545" t="str">
        <f>IF(Roster!$P$20=0,"",Roster!$P$20)</f>
        <v/>
      </c>
      <c r="AX114" s="545"/>
      <c r="AY114" s="545"/>
      <c r="AZ114" s="545"/>
      <c r="BA114" s="545"/>
      <c r="BB114" s="545"/>
      <c r="BC114" s="545"/>
      <c r="BD114" s="545"/>
      <c r="BE114" s="545"/>
      <c r="BF114" s="545"/>
      <c r="BG114" s="545"/>
      <c r="BH114" s="182"/>
    </row>
    <row r="115" spans="1:60" ht="4.5" customHeight="1" x14ac:dyDescent="0.2">
      <c r="A115" s="30"/>
      <c r="B115" s="499"/>
      <c r="C115" s="172"/>
      <c r="D115" s="172"/>
      <c r="E115" s="172"/>
      <c r="F115" s="172"/>
      <c r="G115" s="172"/>
      <c r="H115" s="172"/>
      <c r="I115" s="172"/>
      <c r="J115" s="172"/>
      <c r="K115" s="172"/>
      <c r="L115" s="172"/>
      <c r="M115" s="172"/>
      <c r="N115" s="178"/>
      <c r="O115" s="182"/>
      <c r="P115" s="30"/>
      <c r="Q115" s="499"/>
      <c r="R115" s="186"/>
      <c r="S115" s="545"/>
      <c r="T115" s="545"/>
      <c r="U115" s="545"/>
      <c r="V115" s="545"/>
      <c r="W115" s="545"/>
      <c r="X115" s="545"/>
      <c r="Y115" s="545"/>
      <c r="Z115" s="545"/>
      <c r="AA115" s="545"/>
      <c r="AB115" s="545"/>
      <c r="AC115" s="545"/>
      <c r="AD115" s="182"/>
      <c r="AE115" s="30"/>
      <c r="AF115" s="499"/>
      <c r="AG115" s="214"/>
      <c r="AH115" s="545"/>
      <c r="AI115" s="545"/>
      <c r="AJ115" s="545"/>
      <c r="AK115" s="545"/>
      <c r="AL115" s="545"/>
      <c r="AM115" s="545"/>
      <c r="AN115" s="545"/>
      <c r="AO115" s="545"/>
      <c r="AP115" s="545"/>
      <c r="AQ115" s="545"/>
      <c r="AR115" s="545"/>
      <c r="AS115" s="182"/>
      <c r="AT115" s="30"/>
      <c r="AU115" s="499"/>
      <c r="AV115" s="214"/>
      <c r="AW115" s="545"/>
      <c r="AX115" s="545"/>
      <c r="AY115" s="545"/>
      <c r="AZ115" s="545"/>
      <c r="BA115" s="545"/>
      <c r="BB115" s="545"/>
      <c r="BC115" s="545"/>
      <c r="BD115" s="545"/>
      <c r="BE115" s="545"/>
      <c r="BF115" s="545"/>
      <c r="BG115" s="545"/>
      <c r="BH115" s="182"/>
    </row>
    <row r="116" spans="1:60" ht="11.25" customHeight="1" x14ac:dyDescent="0.2">
      <c r="A116" s="30"/>
      <c r="B116" s="499"/>
      <c r="C116" s="172"/>
      <c r="D116" s="529" t="str">
        <f>IF(Roster!$K$25="Italiano","ABILITÀ &amp; TRATTI",(IF(Roster!$K$25="Español","HABILIDADES Y RASGOS","SKILLS &amp; TRAITS")))</f>
        <v>SKILLS &amp; TRAITS</v>
      </c>
      <c r="E116" s="484"/>
      <c r="F116" s="484"/>
      <c r="G116" s="484"/>
      <c r="H116" s="484"/>
      <c r="I116" s="484"/>
      <c r="J116" s="484"/>
      <c r="K116" s="484"/>
      <c r="L116" s="484"/>
      <c r="M116" s="484"/>
      <c r="N116" s="485"/>
      <c r="O116" s="182"/>
      <c r="P116" s="30"/>
      <c r="Q116" s="499"/>
      <c r="R116" s="167"/>
      <c r="S116" s="545"/>
      <c r="T116" s="545"/>
      <c r="U116" s="545"/>
      <c r="V116" s="545"/>
      <c r="W116" s="545"/>
      <c r="X116" s="545"/>
      <c r="Y116" s="545"/>
      <c r="Z116" s="545"/>
      <c r="AA116" s="545"/>
      <c r="AB116" s="545"/>
      <c r="AC116" s="545"/>
      <c r="AD116" s="182"/>
      <c r="AE116" s="30"/>
      <c r="AF116" s="499"/>
      <c r="AG116" s="215"/>
      <c r="AH116" s="545"/>
      <c r="AI116" s="545"/>
      <c r="AJ116" s="545"/>
      <c r="AK116" s="545"/>
      <c r="AL116" s="545"/>
      <c r="AM116" s="545"/>
      <c r="AN116" s="545"/>
      <c r="AO116" s="545"/>
      <c r="AP116" s="545"/>
      <c r="AQ116" s="545"/>
      <c r="AR116" s="545"/>
      <c r="AS116" s="182"/>
      <c r="AT116" s="30"/>
      <c r="AU116" s="499"/>
      <c r="AV116" s="215"/>
      <c r="AW116" s="545"/>
      <c r="AX116" s="545"/>
      <c r="AY116" s="545"/>
      <c r="AZ116" s="545"/>
      <c r="BA116" s="545"/>
      <c r="BB116" s="545"/>
      <c r="BC116" s="545"/>
      <c r="BD116" s="545"/>
      <c r="BE116" s="545"/>
      <c r="BF116" s="545"/>
      <c r="BG116" s="545"/>
      <c r="BH116" s="182"/>
    </row>
    <row r="117" spans="1:60" ht="6.75" customHeight="1" x14ac:dyDescent="0.2">
      <c r="A117" s="30"/>
      <c r="B117" s="500"/>
      <c r="C117" s="172"/>
      <c r="D117" s="533" t="str">
        <f>IF(Roster!$P$17=0&amp;BF17,"",Roster!$P$17)</f>
        <v/>
      </c>
      <c r="E117" s="534"/>
      <c r="F117" s="534"/>
      <c r="G117" s="534"/>
      <c r="H117" s="534"/>
      <c r="I117" s="534"/>
      <c r="J117" s="534"/>
      <c r="K117" s="534"/>
      <c r="L117" s="534"/>
      <c r="M117" s="534"/>
      <c r="N117" s="535"/>
      <c r="O117" s="182"/>
      <c r="P117" s="30"/>
      <c r="Q117" s="500"/>
      <c r="R117" s="187"/>
      <c r="S117" s="545"/>
      <c r="T117" s="545"/>
      <c r="U117" s="545"/>
      <c r="V117" s="545"/>
      <c r="W117" s="545"/>
      <c r="X117" s="545"/>
      <c r="Y117" s="545"/>
      <c r="Z117" s="545"/>
      <c r="AA117" s="545"/>
      <c r="AB117" s="545"/>
      <c r="AC117" s="545"/>
      <c r="AD117" s="182"/>
      <c r="AE117" s="30"/>
      <c r="AF117" s="500"/>
      <c r="AG117" s="187"/>
      <c r="AH117" s="545"/>
      <c r="AI117" s="545"/>
      <c r="AJ117" s="545"/>
      <c r="AK117" s="545"/>
      <c r="AL117" s="545"/>
      <c r="AM117" s="545"/>
      <c r="AN117" s="545"/>
      <c r="AO117" s="545"/>
      <c r="AP117" s="545"/>
      <c r="AQ117" s="545"/>
      <c r="AR117" s="545"/>
      <c r="AS117" s="182"/>
      <c r="AT117" s="30"/>
      <c r="AU117" s="500"/>
      <c r="AV117" s="187"/>
      <c r="AW117" s="545"/>
      <c r="AX117" s="545"/>
      <c r="AY117" s="545"/>
      <c r="AZ117" s="545"/>
      <c r="BA117" s="545"/>
      <c r="BB117" s="545"/>
      <c r="BC117" s="545"/>
      <c r="BD117" s="545"/>
      <c r="BE117" s="545"/>
      <c r="BF117" s="545"/>
      <c r="BG117" s="545"/>
      <c r="BH117" s="182"/>
    </row>
    <row r="118" spans="1:60" ht="11.25" customHeight="1" x14ac:dyDescent="0.2">
      <c r="A118" s="30"/>
      <c r="B118" s="171" t="str">
        <f>IF(Roster!$AO$1=0,"",Roster!$AO$1)</f>
        <v>COST</v>
      </c>
      <c r="C118" s="171"/>
      <c r="D118" s="536"/>
      <c r="E118" s="537"/>
      <c r="F118" s="537"/>
      <c r="G118" s="537"/>
      <c r="H118" s="537"/>
      <c r="I118" s="537"/>
      <c r="J118" s="537"/>
      <c r="K118" s="537"/>
      <c r="L118" s="537"/>
      <c r="M118" s="537"/>
      <c r="N118" s="538"/>
      <c r="O118" s="183"/>
      <c r="P118" s="30"/>
      <c r="Q118" s="171" t="str">
        <f>IF(Roster!$AO$1=0,"",Roster!$AO$1)</f>
        <v>COST</v>
      </c>
      <c r="R118" s="187"/>
      <c r="S118" s="545"/>
      <c r="T118" s="545"/>
      <c r="U118" s="545"/>
      <c r="V118" s="545"/>
      <c r="W118" s="545"/>
      <c r="X118" s="545"/>
      <c r="Y118" s="545"/>
      <c r="Z118" s="545"/>
      <c r="AA118" s="545"/>
      <c r="AB118" s="545"/>
      <c r="AC118" s="545"/>
      <c r="AD118" s="183"/>
      <c r="AE118" s="30"/>
      <c r="AF118" s="171" t="str">
        <f>IF(Roster!$AO$1=0,"",Roster!$AO$1)</f>
        <v>COST</v>
      </c>
      <c r="AG118" s="187"/>
      <c r="AH118" s="545"/>
      <c r="AI118" s="545"/>
      <c r="AJ118" s="545"/>
      <c r="AK118" s="545"/>
      <c r="AL118" s="545"/>
      <c r="AM118" s="545"/>
      <c r="AN118" s="545"/>
      <c r="AO118" s="545"/>
      <c r="AP118" s="545"/>
      <c r="AQ118" s="545"/>
      <c r="AR118" s="545"/>
      <c r="AS118" s="183"/>
      <c r="AT118" s="30"/>
      <c r="AU118" s="171" t="str">
        <f>IF(Roster!$AO$1=0,"",Roster!$AO$1)</f>
        <v>COST</v>
      </c>
      <c r="AV118" s="187"/>
      <c r="AW118" s="545"/>
      <c r="AX118" s="545"/>
      <c r="AY118" s="545"/>
      <c r="AZ118" s="545"/>
      <c r="BA118" s="545"/>
      <c r="BB118" s="545"/>
      <c r="BC118" s="545"/>
      <c r="BD118" s="545"/>
      <c r="BE118" s="545"/>
      <c r="BF118" s="545"/>
      <c r="BG118" s="545"/>
      <c r="BH118" s="183"/>
    </row>
    <row r="119" spans="1:60" ht="34.5" customHeight="1" x14ac:dyDescent="0.2">
      <c r="A119" s="30"/>
      <c r="B119" s="185" t="str">
        <f>IF(Roster!$AO$17=0,"",Roster!$AO$17)</f>
        <v/>
      </c>
      <c r="C119" s="186"/>
      <c r="D119" s="539"/>
      <c r="E119" s="540"/>
      <c r="F119" s="540"/>
      <c r="G119" s="540"/>
      <c r="H119" s="540"/>
      <c r="I119" s="540"/>
      <c r="J119" s="540"/>
      <c r="K119" s="540"/>
      <c r="L119" s="540"/>
      <c r="M119" s="540"/>
      <c r="N119" s="541"/>
      <c r="O119" s="183"/>
      <c r="P119" s="30"/>
      <c r="Q119" s="185" t="str">
        <f>IF(Roster!$AO$18=0,"",Roster!$AO$18)</f>
        <v/>
      </c>
      <c r="R119" s="187"/>
      <c r="S119" s="545"/>
      <c r="T119" s="545"/>
      <c r="U119" s="545"/>
      <c r="V119" s="545"/>
      <c r="W119" s="545"/>
      <c r="X119" s="545"/>
      <c r="Y119" s="545"/>
      <c r="Z119" s="545"/>
      <c r="AA119" s="545"/>
      <c r="AB119" s="545"/>
      <c r="AC119" s="545"/>
      <c r="AD119" s="183"/>
      <c r="AE119" s="30"/>
      <c r="AF119" s="185" t="str">
        <f>IF(Roster!$AO$19=0,"",Roster!$AO$19)</f>
        <v/>
      </c>
      <c r="AG119" s="187"/>
      <c r="AH119" s="545"/>
      <c r="AI119" s="545"/>
      <c r="AJ119" s="545"/>
      <c r="AK119" s="545"/>
      <c r="AL119" s="545"/>
      <c r="AM119" s="545"/>
      <c r="AN119" s="545"/>
      <c r="AO119" s="545"/>
      <c r="AP119" s="545"/>
      <c r="AQ119" s="545"/>
      <c r="AR119" s="545"/>
      <c r="AS119" s="183"/>
      <c r="AT119" s="30"/>
      <c r="AU119" s="185" t="str">
        <f>IF(Roster!$AO$20=0,"",Roster!$AO$20)</f>
        <v/>
      </c>
      <c r="AV119" s="187"/>
      <c r="AW119" s="545"/>
      <c r="AX119" s="545"/>
      <c r="AY119" s="545"/>
      <c r="AZ119" s="545"/>
      <c r="BA119" s="545"/>
      <c r="BB119" s="545"/>
      <c r="BC119" s="545"/>
      <c r="BD119" s="545"/>
      <c r="BE119" s="545"/>
      <c r="BF119" s="545"/>
      <c r="BG119" s="545"/>
      <c r="BH119" s="183"/>
    </row>
    <row r="120" spans="1:60" ht="4.5" customHeight="1" x14ac:dyDescent="0.2">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x14ac:dyDescent="0.2">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x14ac:dyDescent="0.2">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x14ac:dyDescent="0.2">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x14ac:dyDescent="0.2">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x14ac:dyDescent="0.2">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x14ac:dyDescent="0.2">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x14ac:dyDescent="0.2">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x14ac:dyDescent="0.2">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x14ac:dyDescent="0.2">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x14ac:dyDescent="0.2">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x14ac:dyDescent="0.2">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x14ac:dyDescent="0.2">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x14ac:dyDescent="0.2">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x14ac:dyDescent="0.2">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x14ac:dyDescent="0.2">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x14ac:dyDescent="0.2">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x14ac:dyDescent="0.2">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x14ac:dyDescent="0.2">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x14ac:dyDescent="0.2">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x14ac:dyDescent="0.2">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x14ac:dyDescent="0.2">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x14ac:dyDescent="0.2">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x14ac:dyDescent="0.2">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x14ac:dyDescent="0.2">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x14ac:dyDescent="0.2">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x14ac:dyDescent="0.2">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x14ac:dyDescent="0.2">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x14ac:dyDescent="0.2">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x14ac:dyDescent="0.2">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x14ac:dyDescent="0.2">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x14ac:dyDescent="0.2">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x14ac:dyDescent="0.2">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x14ac:dyDescent="0.2">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x14ac:dyDescent="0.2">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x14ac:dyDescent="0.2">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x14ac:dyDescent="0.2">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x14ac:dyDescent="0.2">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x14ac:dyDescent="0.2">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x14ac:dyDescent="0.2">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x14ac:dyDescent="0.2">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x14ac:dyDescent="0.2">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x14ac:dyDescent="0.2">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x14ac:dyDescent="0.2">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x14ac:dyDescent="0.2">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x14ac:dyDescent="0.2">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x14ac:dyDescent="0.2">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x14ac:dyDescent="0.2">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x14ac:dyDescent="0.2">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x14ac:dyDescent="0.2">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x14ac:dyDescent="0.2">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x14ac:dyDescent="0.2">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x14ac:dyDescent="0.2">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x14ac:dyDescent="0.2">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x14ac:dyDescent="0.2">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x14ac:dyDescent="0.2">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x14ac:dyDescent="0.2">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x14ac:dyDescent="0.2">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x14ac:dyDescent="0.2">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x14ac:dyDescent="0.2">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x14ac:dyDescent="0.2">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x14ac:dyDescent="0.2">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x14ac:dyDescent="0.2">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x14ac:dyDescent="0.2">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x14ac:dyDescent="0.2">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x14ac:dyDescent="0.2">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x14ac:dyDescent="0.2">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x14ac:dyDescent="0.2">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x14ac:dyDescent="0.2">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x14ac:dyDescent="0.2">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x14ac:dyDescent="0.2">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x14ac:dyDescent="0.2">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x14ac:dyDescent="0.2">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x14ac:dyDescent="0.2">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x14ac:dyDescent="0.2">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x14ac:dyDescent="0.2">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x14ac:dyDescent="0.2">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x14ac:dyDescent="0.2">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x14ac:dyDescent="0.2">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x14ac:dyDescent="0.2">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x14ac:dyDescent="0.2">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x14ac:dyDescent="0.2">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x14ac:dyDescent="0.2">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x14ac:dyDescent="0.2">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x14ac:dyDescent="0.2">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x14ac:dyDescent="0.2">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x14ac:dyDescent="0.2">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x14ac:dyDescent="0.2">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x14ac:dyDescent="0.2">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x14ac:dyDescent="0.2">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x14ac:dyDescent="0.2">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x14ac:dyDescent="0.2">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x14ac:dyDescent="0.2">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x14ac:dyDescent="0.2">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x14ac:dyDescent="0.2">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x14ac:dyDescent="0.2">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x14ac:dyDescent="0.2">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x14ac:dyDescent="0.2">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x14ac:dyDescent="0.2">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x14ac:dyDescent="0.2">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x14ac:dyDescent="0.2">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x14ac:dyDescent="0.2">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x14ac:dyDescent="0.2">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x14ac:dyDescent="0.2">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x14ac:dyDescent="0.2">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x14ac:dyDescent="0.2">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x14ac:dyDescent="0.2">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x14ac:dyDescent="0.2">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x14ac:dyDescent="0.2">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x14ac:dyDescent="0.2">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x14ac:dyDescent="0.2">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x14ac:dyDescent="0.2">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x14ac:dyDescent="0.2">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x14ac:dyDescent="0.2">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x14ac:dyDescent="0.2">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x14ac:dyDescent="0.2">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x14ac:dyDescent="0.2">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x14ac:dyDescent="0.2">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x14ac:dyDescent="0.2">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x14ac:dyDescent="0.2">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x14ac:dyDescent="0.2">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x14ac:dyDescent="0.2">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x14ac:dyDescent="0.2">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x14ac:dyDescent="0.2">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x14ac:dyDescent="0.2">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x14ac:dyDescent="0.2">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x14ac:dyDescent="0.2">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x14ac:dyDescent="0.2">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x14ac:dyDescent="0.2">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x14ac:dyDescent="0.2">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x14ac:dyDescent="0.2">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x14ac:dyDescent="0.2">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x14ac:dyDescent="0.2">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x14ac:dyDescent="0.2">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x14ac:dyDescent="0.2">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x14ac:dyDescent="0.2">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x14ac:dyDescent="0.2">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x14ac:dyDescent="0.2">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x14ac:dyDescent="0.2">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x14ac:dyDescent="0.2">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x14ac:dyDescent="0.2">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x14ac:dyDescent="0.2">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x14ac:dyDescent="0.2">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x14ac:dyDescent="0.2">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x14ac:dyDescent="0.2">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x14ac:dyDescent="0.2">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x14ac:dyDescent="0.2">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x14ac:dyDescent="0.2">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x14ac:dyDescent="0.2">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x14ac:dyDescent="0.2">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x14ac:dyDescent="0.2">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x14ac:dyDescent="0.2">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x14ac:dyDescent="0.2">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x14ac:dyDescent="0.2">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x14ac:dyDescent="0.2">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x14ac:dyDescent="0.2">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x14ac:dyDescent="0.2">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x14ac:dyDescent="0.2">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x14ac:dyDescent="0.2">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x14ac:dyDescent="0.2">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x14ac:dyDescent="0.2">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x14ac:dyDescent="0.2">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x14ac:dyDescent="0.2">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x14ac:dyDescent="0.2">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x14ac:dyDescent="0.2">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x14ac:dyDescent="0.2">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x14ac:dyDescent="0.2">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x14ac:dyDescent="0.2">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x14ac:dyDescent="0.2">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x14ac:dyDescent="0.2">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x14ac:dyDescent="0.2">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x14ac:dyDescent="0.2">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x14ac:dyDescent="0.2">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x14ac:dyDescent="0.2">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x14ac:dyDescent="0.2">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x14ac:dyDescent="0.2">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x14ac:dyDescent="0.2">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x14ac:dyDescent="0.2">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x14ac:dyDescent="0.2">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x14ac:dyDescent="0.2">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x14ac:dyDescent="0.2">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x14ac:dyDescent="0.2">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x14ac:dyDescent="0.2">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x14ac:dyDescent="0.2">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x14ac:dyDescent="0.2">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x14ac:dyDescent="0.2">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x14ac:dyDescent="0.2">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x14ac:dyDescent="0.2">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x14ac:dyDescent="0.2">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x14ac:dyDescent="0.2">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x14ac:dyDescent="0.2">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x14ac:dyDescent="0.2">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x14ac:dyDescent="0.2">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x14ac:dyDescent="0.2">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x14ac:dyDescent="0.2">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x14ac:dyDescent="0.2">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x14ac:dyDescent="0.2">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x14ac:dyDescent="0.2">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x14ac:dyDescent="0.2">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x14ac:dyDescent="0.2">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x14ac:dyDescent="0.2">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x14ac:dyDescent="0.2">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x14ac:dyDescent="0.2">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x14ac:dyDescent="0.2">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x14ac:dyDescent="0.2">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x14ac:dyDescent="0.2">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x14ac:dyDescent="0.2">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x14ac:dyDescent="0.2">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x14ac:dyDescent="0.2">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x14ac:dyDescent="0.2">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x14ac:dyDescent="0.2">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x14ac:dyDescent="0.2">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x14ac:dyDescent="0.2">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x14ac:dyDescent="0.2">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x14ac:dyDescent="0.2">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x14ac:dyDescent="0.2">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x14ac:dyDescent="0.2">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x14ac:dyDescent="0.2">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x14ac:dyDescent="0.2">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x14ac:dyDescent="0.2">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x14ac:dyDescent="0.2">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x14ac:dyDescent="0.2">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x14ac:dyDescent="0.2">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x14ac:dyDescent="0.2">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x14ac:dyDescent="0.2">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x14ac:dyDescent="0.2">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x14ac:dyDescent="0.2">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x14ac:dyDescent="0.2">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x14ac:dyDescent="0.2">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x14ac:dyDescent="0.2">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x14ac:dyDescent="0.2">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x14ac:dyDescent="0.2">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x14ac:dyDescent="0.2">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x14ac:dyDescent="0.2">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x14ac:dyDescent="0.2">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x14ac:dyDescent="0.2">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x14ac:dyDescent="0.2">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x14ac:dyDescent="0.2">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x14ac:dyDescent="0.2">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x14ac:dyDescent="0.2">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x14ac:dyDescent="0.2">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x14ac:dyDescent="0.2">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x14ac:dyDescent="0.2">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x14ac:dyDescent="0.2">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x14ac:dyDescent="0.2">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x14ac:dyDescent="0.2">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x14ac:dyDescent="0.2">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x14ac:dyDescent="0.2">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x14ac:dyDescent="0.2">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x14ac:dyDescent="0.2">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x14ac:dyDescent="0.2">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x14ac:dyDescent="0.2">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x14ac:dyDescent="0.2">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x14ac:dyDescent="0.2">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x14ac:dyDescent="0.2">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x14ac:dyDescent="0.2">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x14ac:dyDescent="0.2">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x14ac:dyDescent="0.2">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x14ac:dyDescent="0.2">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x14ac:dyDescent="0.2">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x14ac:dyDescent="0.2">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x14ac:dyDescent="0.2">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x14ac:dyDescent="0.2">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x14ac:dyDescent="0.2">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x14ac:dyDescent="0.2">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x14ac:dyDescent="0.2">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x14ac:dyDescent="0.2">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x14ac:dyDescent="0.2">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x14ac:dyDescent="0.2">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x14ac:dyDescent="0.2">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x14ac:dyDescent="0.2">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x14ac:dyDescent="0.2">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x14ac:dyDescent="0.2">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x14ac:dyDescent="0.2">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x14ac:dyDescent="0.2">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x14ac:dyDescent="0.2">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x14ac:dyDescent="0.2">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x14ac:dyDescent="0.2">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x14ac:dyDescent="0.2">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x14ac:dyDescent="0.2">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x14ac:dyDescent="0.2">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x14ac:dyDescent="0.2">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x14ac:dyDescent="0.2">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x14ac:dyDescent="0.2">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x14ac:dyDescent="0.2">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x14ac:dyDescent="0.2">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x14ac:dyDescent="0.2">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x14ac:dyDescent="0.2">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x14ac:dyDescent="0.2">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x14ac:dyDescent="0.2">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x14ac:dyDescent="0.2">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x14ac:dyDescent="0.2">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x14ac:dyDescent="0.2">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x14ac:dyDescent="0.2">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x14ac:dyDescent="0.2">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x14ac:dyDescent="0.2">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x14ac:dyDescent="0.2">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x14ac:dyDescent="0.2">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x14ac:dyDescent="0.2">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x14ac:dyDescent="0.2">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x14ac:dyDescent="0.2">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x14ac:dyDescent="0.2">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x14ac:dyDescent="0.2">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x14ac:dyDescent="0.2">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x14ac:dyDescent="0.2">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x14ac:dyDescent="0.2">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x14ac:dyDescent="0.2">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x14ac:dyDescent="0.2">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x14ac:dyDescent="0.2">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x14ac:dyDescent="0.2">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x14ac:dyDescent="0.2">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x14ac:dyDescent="0.2">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x14ac:dyDescent="0.2">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x14ac:dyDescent="0.2">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x14ac:dyDescent="0.2">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x14ac:dyDescent="0.2">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x14ac:dyDescent="0.2">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x14ac:dyDescent="0.2">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x14ac:dyDescent="0.2">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x14ac:dyDescent="0.2">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x14ac:dyDescent="0.2">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x14ac:dyDescent="0.2">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x14ac:dyDescent="0.2">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x14ac:dyDescent="0.2">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x14ac:dyDescent="0.2">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x14ac:dyDescent="0.2">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x14ac:dyDescent="0.2">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x14ac:dyDescent="0.2">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x14ac:dyDescent="0.2">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x14ac:dyDescent="0.2">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x14ac:dyDescent="0.2">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x14ac:dyDescent="0.2">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x14ac:dyDescent="0.2">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x14ac:dyDescent="0.2">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x14ac:dyDescent="0.2">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x14ac:dyDescent="0.2">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x14ac:dyDescent="0.2">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x14ac:dyDescent="0.2">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x14ac:dyDescent="0.2">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x14ac:dyDescent="0.2">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x14ac:dyDescent="0.2">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x14ac:dyDescent="0.2">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x14ac:dyDescent="0.2">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x14ac:dyDescent="0.2">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x14ac:dyDescent="0.2">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x14ac:dyDescent="0.2">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x14ac:dyDescent="0.2">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x14ac:dyDescent="0.2">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x14ac:dyDescent="0.2">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x14ac:dyDescent="0.2">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x14ac:dyDescent="0.2">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x14ac:dyDescent="0.2">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x14ac:dyDescent="0.2">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x14ac:dyDescent="0.2">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x14ac:dyDescent="0.2">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x14ac:dyDescent="0.2">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x14ac:dyDescent="0.2">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x14ac:dyDescent="0.2">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x14ac:dyDescent="0.2">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x14ac:dyDescent="0.2">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x14ac:dyDescent="0.2">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x14ac:dyDescent="0.2">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x14ac:dyDescent="0.2">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x14ac:dyDescent="0.2">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x14ac:dyDescent="0.2">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x14ac:dyDescent="0.2">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x14ac:dyDescent="0.2">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x14ac:dyDescent="0.2">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x14ac:dyDescent="0.2">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x14ac:dyDescent="0.2">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x14ac:dyDescent="0.2">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x14ac:dyDescent="0.2">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x14ac:dyDescent="0.2">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x14ac:dyDescent="0.2">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x14ac:dyDescent="0.2">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x14ac:dyDescent="0.2">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x14ac:dyDescent="0.2">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x14ac:dyDescent="0.2">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x14ac:dyDescent="0.2">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x14ac:dyDescent="0.2">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x14ac:dyDescent="0.2">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x14ac:dyDescent="0.2">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x14ac:dyDescent="0.2">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x14ac:dyDescent="0.2">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x14ac:dyDescent="0.2">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x14ac:dyDescent="0.2">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x14ac:dyDescent="0.2">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x14ac:dyDescent="0.2">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x14ac:dyDescent="0.2">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x14ac:dyDescent="0.2">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x14ac:dyDescent="0.2">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x14ac:dyDescent="0.2">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x14ac:dyDescent="0.2">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x14ac:dyDescent="0.2">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x14ac:dyDescent="0.2">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x14ac:dyDescent="0.2">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x14ac:dyDescent="0.2">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x14ac:dyDescent="0.2">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x14ac:dyDescent="0.2">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x14ac:dyDescent="0.2">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x14ac:dyDescent="0.2">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x14ac:dyDescent="0.2">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x14ac:dyDescent="0.2">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x14ac:dyDescent="0.2">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x14ac:dyDescent="0.2">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x14ac:dyDescent="0.2">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x14ac:dyDescent="0.2">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x14ac:dyDescent="0.2">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x14ac:dyDescent="0.2">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x14ac:dyDescent="0.2">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x14ac:dyDescent="0.2">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x14ac:dyDescent="0.2">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x14ac:dyDescent="0.2">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x14ac:dyDescent="0.2">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x14ac:dyDescent="0.2">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x14ac:dyDescent="0.2">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x14ac:dyDescent="0.2">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x14ac:dyDescent="0.2">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x14ac:dyDescent="0.2">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x14ac:dyDescent="0.2">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x14ac:dyDescent="0.2">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x14ac:dyDescent="0.2">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x14ac:dyDescent="0.2">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x14ac:dyDescent="0.2">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x14ac:dyDescent="0.2">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x14ac:dyDescent="0.2">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x14ac:dyDescent="0.2">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x14ac:dyDescent="0.2">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x14ac:dyDescent="0.2">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x14ac:dyDescent="0.2">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x14ac:dyDescent="0.2">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x14ac:dyDescent="0.2">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x14ac:dyDescent="0.2">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x14ac:dyDescent="0.2">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x14ac:dyDescent="0.2">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x14ac:dyDescent="0.2">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x14ac:dyDescent="0.2">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x14ac:dyDescent="0.2">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x14ac:dyDescent="0.2">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x14ac:dyDescent="0.2">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x14ac:dyDescent="0.2">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x14ac:dyDescent="0.2">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x14ac:dyDescent="0.2">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x14ac:dyDescent="0.2">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x14ac:dyDescent="0.2">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x14ac:dyDescent="0.2">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x14ac:dyDescent="0.2">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x14ac:dyDescent="0.2">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x14ac:dyDescent="0.2">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x14ac:dyDescent="0.2">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x14ac:dyDescent="0.2">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x14ac:dyDescent="0.2">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x14ac:dyDescent="0.2">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x14ac:dyDescent="0.2">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x14ac:dyDescent="0.2">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x14ac:dyDescent="0.2">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x14ac:dyDescent="0.2">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x14ac:dyDescent="0.2">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x14ac:dyDescent="0.2">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x14ac:dyDescent="0.2">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x14ac:dyDescent="0.2">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x14ac:dyDescent="0.2">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x14ac:dyDescent="0.2">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x14ac:dyDescent="0.2">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x14ac:dyDescent="0.2">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x14ac:dyDescent="0.2">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x14ac:dyDescent="0.2">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x14ac:dyDescent="0.2">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x14ac:dyDescent="0.2">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x14ac:dyDescent="0.2">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x14ac:dyDescent="0.2">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x14ac:dyDescent="0.2">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x14ac:dyDescent="0.2">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x14ac:dyDescent="0.2">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x14ac:dyDescent="0.2">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x14ac:dyDescent="0.2">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x14ac:dyDescent="0.2">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x14ac:dyDescent="0.2">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x14ac:dyDescent="0.2">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x14ac:dyDescent="0.2">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x14ac:dyDescent="0.2">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x14ac:dyDescent="0.2">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x14ac:dyDescent="0.2">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x14ac:dyDescent="0.2">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x14ac:dyDescent="0.2">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x14ac:dyDescent="0.2">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x14ac:dyDescent="0.2">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x14ac:dyDescent="0.2">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x14ac:dyDescent="0.2">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x14ac:dyDescent="0.2">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x14ac:dyDescent="0.2">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x14ac:dyDescent="0.2">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x14ac:dyDescent="0.2">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x14ac:dyDescent="0.2">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x14ac:dyDescent="0.2">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x14ac:dyDescent="0.2">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x14ac:dyDescent="0.2">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x14ac:dyDescent="0.2">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x14ac:dyDescent="0.2">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x14ac:dyDescent="0.2">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x14ac:dyDescent="0.2">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x14ac:dyDescent="0.2">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x14ac:dyDescent="0.2">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x14ac:dyDescent="0.2">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x14ac:dyDescent="0.2">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x14ac:dyDescent="0.2">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x14ac:dyDescent="0.2">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x14ac:dyDescent="0.2">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x14ac:dyDescent="0.2">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x14ac:dyDescent="0.2">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x14ac:dyDescent="0.2">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x14ac:dyDescent="0.2">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x14ac:dyDescent="0.2">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x14ac:dyDescent="0.2">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x14ac:dyDescent="0.2">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x14ac:dyDescent="0.2">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x14ac:dyDescent="0.2">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x14ac:dyDescent="0.2">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x14ac:dyDescent="0.2">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x14ac:dyDescent="0.2">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x14ac:dyDescent="0.2">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x14ac:dyDescent="0.2">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x14ac:dyDescent="0.2">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x14ac:dyDescent="0.2">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x14ac:dyDescent="0.2">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x14ac:dyDescent="0.2">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x14ac:dyDescent="0.2">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x14ac:dyDescent="0.2">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x14ac:dyDescent="0.2">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x14ac:dyDescent="0.2">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x14ac:dyDescent="0.2">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x14ac:dyDescent="0.2">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x14ac:dyDescent="0.2">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x14ac:dyDescent="0.2">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x14ac:dyDescent="0.2">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x14ac:dyDescent="0.2">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x14ac:dyDescent="0.2">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x14ac:dyDescent="0.2">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x14ac:dyDescent="0.2">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x14ac:dyDescent="0.2">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x14ac:dyDescent="0.2">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x14ac:dyDescent="0.2">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x14ac:dyDescent="0.2">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x14ac:dyDescent="0.2">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x14ac:dyDescent="0.2">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x14ac:dyDescent="0.2">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x14ac:dyDescent="0.2">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x14ac:dyDescent="0.2">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x14ac:dyDescent="0.2">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x14ac:dyDescent="0.2">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x14ac:dyDescent="0.2">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x14ac:dyDescent="0.2">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x14ac:dyDescent="0.2">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x14ac:dyDescent="0.2">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x14ac:dyDescent="0.2">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x14ac:dyDescent="0.2">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x14ac:dyDescent="0.2">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x14ac:dyDescent="0.2">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x14ac:dyDescent="0.2">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x14ac:dyDescent="0.2">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x14ac:dyDescent="0.2">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x14ac:dyDescent="0.2">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x14ac:dyDescent="0.2">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x14ac:dyDescent="0.2">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x14ac:dyDescent="0.2">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x14ac:dyDescent="0.2">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x14ac:dyDescent="0.2">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x14ac:dyDescent="0.2">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x14ac:dyDescent="0.2">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x14ac:dyDescent="0.2">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x14ac:dyDescent="0.2">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x14ac:dyDescent="0.2">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x14ac:dyDescent="0.2">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x14ac:dyDescent="0.2">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x14ac:dyDescent="0.2">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x14ac:dyDescent="0.2">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x14ac:dyDescent="0.2">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x14ac:dyDescent="0.2">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x14ac:dyDescent="0.2">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x14ac:dyDescent="0.2">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x14ac:dyDescent="0.2">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x14ac:dyDescent="0.2">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x14ac:dyDescent="0.2">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x14ac:dyDescent="0.2">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x14ac:dyDescent="0.2">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x14ac:dyDescent="0.2">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x14ac:dyDescent="0.2">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x14ac:dyDescent="0.2">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x14ac:dyDescent="0.2">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x14ac:dyDescent="0.2">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x14ac:dyDescent="0.2">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x14ac:dyDescent="0.2">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x14ac:dyDescent="0.2">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x14ac:dyDescent="0.2">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x14ac:dyDescent="0.2">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x14ac:dyDescent="0.2">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x14ac:dyDescent="0.2">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x14ac:dyDescent="0.2">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x14ac:dyDescent="0.2">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x14ac:dyDescent="0.2">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x14ac:dyDescent="0.2">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x14ac:dyDescent="0.2">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x14ac:dyDescent="0.2">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x14ac:dyDescent="0.2">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x14ac:dyDescent="0.2">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x14ac:dyDescent="0.2">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x14ac:dyDescent="0.2">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x14ac:dyDescent="0.2">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x14ac:dyDescent="0.2">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x14ac:dyDescent="0.2">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x14ac:dyDescent="0.2">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x14ac:dyDescent="0.2">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x14ac:dyDescent="0.2">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x14ac:dyDescent="0.2">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x14ac:dyDescent="0.2">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x14ac:dyDescent="0.2">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x14ac:dyDescent="0.2">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x14ac:dyDescent="0.2">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x14ac:dyDescent="0.2">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x14ac:dyDescent="0.2">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x14ac:dyDescent="0.2">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x14ac:dyDescent="0.2">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x14ac:dyDescent="0.2">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x14ac:dyDescent="0.2">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x14ac:dyDescent="0.2">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x14ac:dyDescent="0.2">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x14ac:dyDescent="0.2">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x14ac:dyDescent="0.2">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x14ac:dyDescent="0.2">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x14ac:dyDescent="0.2">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x14ac:dyDescent="0.2">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x14ac:dyDescent="0.2">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x14ac:dyDescent="0.2">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x14ac:dyDescent="0.2">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x14ac:dyDescent="0.2">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x14ac:dyDescent="0.2">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x14ac:dyDescent="0.2">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x14ac:dyDescent="0.2">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x14ac:dyDescent="0.2">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x14ac:dyDescent="0.2">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x14ac:dyDescent="0.2">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x14ac:dyDescent="0.2">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x14ac:dyDescent="0.2">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x14ac:dyDescent="0.2">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x14ac:dyDescent="0.2">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x14ac:dyDescent="0.2">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x14ac:dyDescent="0.2">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x14ac:dyDescent="0.2">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x14ac:dyDescent="0.2">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x14ac:dyDescent="0.2">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x14ac:dyDescent="0.2">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x14ac:dyDescent="0.2">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x14ac:dyDescent="0.2">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x14ac:dyDescent="0.2">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x14ac:dyDescent="0.2">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x14ac:dyDescent="0.2">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x14ac:dyDescent="0.2">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x14ac:dyDescent="0.2">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x14ac:dyDescent="0.2">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x14ac:dyDescent="0.2">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x14ac:dyDescent="0.2">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x14ac:dyDescent="0.2">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x14ac:dyDescent="0.2">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x14ac:dyDescent="0.2">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x14ac:dyDescent="0.2">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x14ac:dyDescent="0.2">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x14ac:dyDescent="0.2">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x14ac:dyDescent="0.2">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x14ac:dyDescent="0.2">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x14ac:dyDescent="0.2">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x14ac:dyDescent="0.2">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x14ac:dyDescent="0.2">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x14ac:dyDescent="0.2">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x14ac:dyDescent="0.2">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x14ac:dyDescent="0.2">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x14ac:dyDescent="0.2">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x14ac:dyDescent="0.2">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x14ac:dyDescent="0.2">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x14ac:dyDescent="0.2">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x14ac:dyDescent="0.2">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x14ac:dyDescent="0.2">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x14ac:dyDescent="0.2">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x14ac:dyDescent="0.2">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x14ac:dyDescent="0.2">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x14ac:dyDescent="0.2">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x14ac:dyDescent="0.2">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x14ac:dyDescent="0.2">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x14ac:dyDescent="0.2">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x14ac:dyDescent="0.2">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x14ac:dyDescent="0.2">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x14ac:dyDescent="0.2">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x14ac:dyDescent="0.2">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x14ac:dyDescent="0.2">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x14ac:dyDescent="0.2">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x14ac:dyDescent="0.2">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x14ac:dyDescent="0.2">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x14ac:dyDescent="0.2">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x14ac:dyDescent="0.2">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x14ac:dyDescent="0.2">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x14ac:dyDescent="0.2">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x14ac:dyDescent="0.2">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x14ac:dyDescent="0.2">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x14ac:dyDescent="0.2">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x14ac:dyDescent="0.2">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x14ac:dyDescent="0.2">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x14ac:dyDescent="0.2">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x14ac:dyDescent="0.2">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x14ac:dyDescent="0.2">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x14ac:dyDescent="0.2">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x14ac:dyDescent="0.2">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x14ac:dyDescent="0.2">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x14ac:dyDescent="0.2">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x14ac:dyDescent="0.2">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x14ac:dyDescent="0.2">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x14ac:dyDescent="0.2">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x14ac:dyDescent="0.2">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x14ac:dyDescent="0.2">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x14ac:dyDescent="0.2">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x14ac:dyDescent="0.2">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x14ac:dyDescent="0.2">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x14ac:dyDescent="0.2">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x14ac:dyDescent="0.2">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x14ac:dyDescent="0.2">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x14ac:dyDescent="0.2">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x14ac:dyDescent="0.2">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x14ac:dyDescent="0.2">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x14ac:dyDescent="0.2">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x14ac:dyDescent="0.2">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x14ac:dyDescent="0.2">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x14ac:dyDescent="0.2">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x14ac:dyDescent="0.2">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x14ac:dyDescent="0.2">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x14ac:dyDescent="0.2">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x14ac:dyDescent="0.2">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x14ac:dyDescent="0.2">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x14ac:dyDescent="0.2">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x14ac:dyDescent="0.2">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x14ac:dyDescent="0.2">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x14ac:dyDescent="0.2">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x14ac:dyDescent="0.2">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x14ac:dyDescent="0.2">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x14ac:dyDescent="0.2">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x14ac:dyDescent="0.2">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x14ac:dyDescent="0.2">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x14ac:dyDescent="0.2">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x14ac:dyDescent="0.2">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x14ac:dyDescent="0.2">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x14ac:dyDescent="0.2">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x14ac:dyDescent="0.2">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x14ac:dyDescent="0.2">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x14ac:dyDescent="0.2">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x14ac:dyDescent="0.2">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x14ac:dyDescent="0.2">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x14ac:dyDescent="0.2">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x14ac:dyDescent="0.2">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x14ac:dyDescent="0.2">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x14ac:dyDescent="0.2">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x14ac:dyDescent="0.2">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x14ac:dyDescent="0.2">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x14ac:dyDescent="0.2">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x14ac:dyDescent="0.2">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x14ac:dyDescent="0.2">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x14ac:dyDescent="0.2">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x14ac:dyDescent="0.2">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x14ac:dyDescent="0.2">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x14ac:dyDescent="0.2">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x14ac:dyDescent="0.2">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x14ac:dyDescent="0.2">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x14ac:dyDescent="0.2">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x14ac:dyDescent="0.2">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x14ac:dyDescent="0.2">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x14ac:dyDescent="0.2">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x14ac:dyDescent="0.2">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x14ac:dyDescent="0.2">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x14ac:dyDescent="0.2">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x14ac:dyDescent="0.2">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x14ac:dyDescent="0.2">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x14ac:dyDescent="0.2">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x14ac:dyDescent="0.2">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x14ac:dyDescent="0.2">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x14ac:dyDescent="0.2">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x14ac:dyDescent="0.2">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x14ac:dyDescent="0.2">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x14ac:dyDescent="0.2">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x14ac:dyDescent="0.2">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x14ac:dyDescent="0.2">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x14ac:dyDescent="0.2">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x14ac:dyDescent="0.2">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x14ac:dyDescent="0.2">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x14ac:dyDescent="0.2">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B108:B112"/>
    <mergeCell ref="B114:B117"/>
    <mergeCell ref="B26:B28"/>
    <mergeCell ref="B36:B40"/>
    <mergeCell ref="B42:B45"/>
    <mergeCell ref="B50:B52"/>
    <mergeCell ref="B60:B64"/>
    <mergeCell ref="B66:B69"/>
    <mergeCell ref="B74:B76"/>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1000"/>
  <sheetViews>
    <sheetView showGridLines="0" zoomScaleNormal="100" workbookViewId="0"/>
  </sheetViews>
  <sheetFormatPr defaultColWidth="0" defaultRowHeight="15" customHeight="1" zeroHeight="1" x14ac:dyDescent="0.2"/>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2" customWidth="1"/>
    <col min="47" max="47" width="7.85546875" style="252" customWidth="1"/>
    <col min="48" max="48" width="0.85546875" style="252" customWidth="1"/>
    <col min="49" max="49" width="5" style="252" customWidth="1"/>
    <col min="50" max="50" width="0.85546875" style="252" customWidth="1"/>
    <col min="51" max="51" width="5" style="252" customWidth="1"/>
    <col min="52" max="52" width="0.85546875" style="252" customWidth="1"/>
    <col min="53" max="53" width="5" style="252" customWidth="1"/>
    <col min="54" max="54" width="0.85546875" style="252" customWidth="1"/>
    <col min="55" max="55" width="5" style="252" customWidth="1"/>
    <col min="56" max="56" width="0.85546875" style="252" customWidth="1"/>
    <col min="57" max="57" width="5" style="252" customWidth="1"/>
    <col min="58" max="58" width="0.85546875" style="252" customWidth="1"/>
    <col min="59" max="59" width="5" style="252" customWidth="1"/>
    <col min="60" max="60" width="0.85546875" style="252" customWidth="1"/>
    <col min="61" max="61" width="14.42578125" style="252" hidden="1" customWidth="1"/>
    <col min="62" max="16384" width="14.42578125" style="31" hidden="1"/>
  </cols>
  <sheetData>
    <row r="1" spans="1:60" s="31" customFormat="1" ht="11.25" customHeight="1" x14ac:dyDescent="0.2">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x14ac:dyDescent="0.2">
      <c r="A2" s="30"/>
      <c r="B2" s="574"/>
      <c r="C2" s="188"/>
      <c r="D2" s="188"/>
      <c r="E2" s="188"/>
      <c r="F2" s="188"/>
      <c r="G2" s="188"/>
      <c r="H2" s="188"/>
      <c r="I2" s="188"/>
      <c r="J2" s="188"/>
      <c r="K2" s="188"/>
      <c r="L2" s="188"/>
      <c r="M2" s="188"/>
      <c r="N2" s="188"/>
      <c r="O2" s="189"/>
      <c r="P2" s="30"/>
      <c r="Q2" s="574" t="str">
        <f>IF(Roster!$A$2=0,"","#"&amp;Roster!$A$2)</f>
        <v>#1</v>
      </c>
      <c r="R2" s="188"/>
      <c r="S2" s="188"/>
      <c r="T2" s="188"/>
      <c r="U2" s="188"/>
      <c r="V2" s="188"/>
      <c r="W2" s="188"/>
      <c r="X2" s="188"/>
      <c r="Y2" s="188"/>
      <c r="Z2" s="188"/>
      <c r="AA2" s="188"/>
      <c r="AB2" s="188"/>
      <c r="AC2" s="188"/>
      <c r="AD2" s="189"/>
      <c r="AE2" s="30"/>
      <c r="AF2" s="574" t="str">
        <f>IF(Roster!$A$3=0,"","#"&amp;Roster!$A$3)</f>
        <v>#2</v>
      </c>
      <c r="AG2" s="188"/>
      <c r="AH2" s="188"/>
      <c r="AI2" s="188"/>
      <c r="AJ2" s="188"/>
      <c r="AK2" s="188"/>
      <c r="AL2" s="188"/>
      <c r="AM2" s="188"/>
      <c r="AN2" s="188"/>
      <c r="AO2" s="188"/>
      <c r="AP2" s="188"/>
      <c r="AQ2" s="188"/>
      <c r="AR2" s="188"/>
      <c r="AS2" s="189"/>
      <c r="AT2" s="30"/>
      <c r="AU2" s="574" t="str">
        <f>IF(Roster!$A$4=0,"","#"&amp;Roster!$A$4)</f>
        <v>#3</v>
      </c>
      <c r="AV2" s="188"/>
      <c r="AW2" s="188"/>
      <c r="AX2" s="188"/>
      <c r="AY2" s="188"/>
      <c r="AZ2" s="188"/>
      <c r="BA2" s="188"/>
      <c r="BB2" s="188"/>
      <c r="BC2" s="188"/>
      <c r="BD2" s="188"/>
      <c r="BE2" s="188"/>
      <c r="BF2" s="188"/>
      <c r="BG2" s="188"/>
      <c r="BH2" s="189"/>
    </row>
    <row r="3" spans="1:60" s="31" customFormat="1" ht="15" customHeight="1" x14ac:dyDescent="0.25">
      <c r="A3" s="30"/>
      <c r="B3" s="575"/>
      <c r="C3" s="560" t="str">
        <f>IF(Roster!$K$24=0,Roster!$D$24,Roster!$K$24)</f>
        <v>HEAD COACH</v>
      </c>
      <c r="D3" s="484"/>
      <c r="E3" s="484"/>
      <c r="F3" s="484"/>
      <c r="G3" s="484"/>
      <c r="H3" s="484"/>
      <c r="I3" s="484"/>
      <c r="J3" s="484"/>
      <c r="K3" s="484"/>
      <c r="L3" s="484"/>
      <c r="M3" s="484"/>
      <c r="N3" s="485"/>
      <c r="O3" s="190"/>
      <c r="P3" s="30"/>
      <c r="Q3" s="575"/>
      <c r="R3" s="560" t="str">
        <f>IF(Roster!$B$2=0,"",Roster!$B$2)</f>
        <v/>
      </c>
      <c r="S3" s="484"/>
      <c r="T3" s="484"/>
      <c r="U3" s="484"/>
      <c r="V3" s="484"/>
      <c r="W3" s="484"/>
      <c r="X3" s="484"/>
      <c r="Y3" s="484"/>
      <c r="Z3" s="484"/>
      <c r="AA3" s="484"/>
      <c r="AB3" s="484"/>
      <c r="AC3" s="485"/>
      <c r="AD3" s="190"/>
      <c r="AE3" s="30"/>
      <c r="AF3" s="575"/>
      <c r="AG3" s="560" t="str">
        <f>IF(Roster!$B$3=0,"",Roster!$B$3)</f>
        <v/>
      </c>
      <c r="AH3" s="484"/>
      <c r="AI3" s="484"/>
      <c r="AJ3" s="484"/>
      <c r="AK3" s="484"/>
      <c r="AL3" s="484"/>
      <c r="AM3" s="484"/>
      <c r="AN3" s="484"/>
      <c r="AO3" s="484"/>
      <c r="AP3" s="484"/>
      <c r="AQ3" s="484"/>
      <c r="AR3" s="485"/>
      <c r="AS3" s="190"/>
      <c r="AT3" s="30"/>
      <c r="AU3" s="575"/>
      <c r="AV3" s="560" t="str">
        <f>IF(Roster!$B$4=0,"",Roster!$B$4)</f>
        <v/>
      </c>
      <c r="AW3" s="484"/>
      <c r="AX3" s="484"/>
      <c r="AY3" s="484"/>
      <c r="AZ3" s="484"/>
      <c r="BA3" s="484"/>
      <c r="BB3" s="484"/>
      <c r="BC3" s="484"/>
      <c r="BD3" s="484"/>
      <c r="BE3" s="484"/>
      <c r="BF3" s="484"/>
      <c r="BG3" s="485"/>
      <c r="BH3" s="190"/>
    </row>
    <row r="4" spans="1:60" s="31" customFormat="1" ht="11.25" customHeight="1" x14ac:dyDescent="0.2">
      <c r="A4" s="30"/>
      <c r="B4" s="575"/>
      <c r="C4" s="577" t="str">
        <f>IF(Roster!$K$21="SPONSORS",Roster!$K$23,Roster!$K$23&amp;"; Sponsor: "&amp;Roster!$K$21)</f>
        <v>Amazon</v>
      </c>
      <c r="D4" s="484"/>
      <c r="E4" s="484"/>
      <c r="F4" s="484"/>
      <c r="G4" s="484"/>
      <c r="H4" s="484"/>
      <c r="I4" s="484"/>
      <c r="J4" s="484"/>
      <c r="K4" s="484"/>
      <c r="L4" s="484"/>
      <c r="M4" s="484"/>
      <c r="N4" s="485"/>
      <c r="O4" s="191"/>
      <c r="P4" s="30"/>
      <c r="Q4" s="576"/>
      <c r="R4" s="577" t="str">
        <f>IF(Roster!$D$2=0,"",Roster!$D$2)</f>
        <v/>
      </c>
      <c r="S4" s="484"/>
      <c r="T4" s="484"/>
      <c r="U4" s="484"/>
      <c r="V4" s="484"/>
      <c r="W4" s="484"/>
      <c r="X4" s="484"/>
      <c r="Y4" s="484"/>
      <c r="Z4" s="484"/>
      <c r="AA4" s="484"/>
      <c r="AB4" s="484"/>
      <c r="AC4" s="485"/>
      <c r="AD4" s="191"/>
      <c r="AE4" s="30"/>
      <c r="AF4" s="576"/>
      <c r="AG4" s="577" t="str">
        <f>IF(Roster!$D$3=0,"",Roster!$D$3)</f>
        <v/>
      </c>
      <c r="AH4" s="484"/>
      <c r="AI4" s="484"/>
      <c r="AJ4" s="484"/>
      <c r="AK4" s="484"/>
      <c r="AL4" s="484"/>
      <c r="AM4" s="484"/>
      <c r="AN4" s="484"/>
      <c r="AO4" s="484"/>
      <c r="AP4" s="484"/>
      <c r="AQ4" s="484"/>
      <c r="AR4" s="485"/>
      <c r="AS4" s="191"/>
      <c r="AT4" s="30"/>
      <c r="AU4" s="576"/>
      <c r="AV4" s="577" t="str">
        <f>IF(Roster!$D$4=0,"",Roster!$D$4)</f>
        <v/>
      </c>
      <c r="AW4" s="484"/>
      <c r="AX4" s="484"/>
      <c r="AY4" s="484"/>
      <c r="AZ4" s="484"/>
      <c r="BA4" s="484"/>
      <c r="BB4" s="484"/>
      <c r="BC4" s="484"/>
      <c r="BD4" s="484"/>
      <c r="BE4" s="484"/>
      <c r="BF4" s="484"/>
      <c r="BG4" s="485"/>
      <c r="BH4" s="191"/>
    </row>
    <row r="5" spans="1:60" s="31" customFormat="1" ht="11.25" customHeight="1" x14ac:dyDescent="0.2">
      <c r="A5" s="30"/>
      <c r="B5" s="576"/>
      <c r="C5" s="192"/>
      <c r="D5" s="577" t="str">
        <f>IF(Roster!$D$32=0,"",Roster!$D$32)</f>
        <v>TEAM VALUE</v>
      </c>
      <c r="E5" s="484"/>
      <c r="F5" s="485"/>
      <c r="G5" s="193"/>
      <c r="H5" s="577" t="str">
        <f>IF(Roster!$D$26=0,"",Roster!$D$26)</f>
        <v>TEAM NAME</v>
      </c>
      <c r="I5" s="484"/>
      <c r="J5" s="485"/>
      <c r="K5" s="193"/>
      <c r="L5" s="577" t="str">
        <f>IF(Roster!$AE$21=0,"",Roster!$AE$21)</f>
        <v>TOTAL REROLLS</v>
      </c>
      <c r="M5" s="484"/>
      <c r="N5" s="485"/>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x14ac:dyDescent="0.2">
      <c r="A6" s="30"/>
      <c r="B6" s="612" t="str">
        <f>IF(Roster!$K$22=0,"",Roster!$K$22)</f>
        <v>STADIUM</v>
      </c>
      <c r="C6" s="196"/>
      <c r="D6" s="613">
        <f>Roster!$K$32</f>
        <v>0</v>
      </c>
      <c r="E6" s="361"/>
      <c r="F6" s="362"/>
      <c r="G6" s="193"/>
      <c r="H6" s="613" t="str">
        <f>IF(Roster!$K$26=0,"",Roster!$K$26)</f>
        <v/>
      </c>
      <c r="I6" s="361"/>
      <c r="J6" s="362"/>
      <c r="K6" s="193"/>
      <c r="L6" s="613">
        <f>Roster!$AJ$22</f>
        <v>0</v>
      </c>
      <c r="M6" s="361"/>
      <c r="N6" s="362"/>
      <c r="O6" s="190"/>
      <c r="P6" s="30"/>
      <c r="Q6" s="197" t="str">
        <f>IF(Roster!$K$2=0,"",Roster!$K$2)</f>
        <v/>
      </c>
      <c r="R6" s="195"/>
      <c r="S6" s="617"/>
      <c r="T6" s="618"/>
      <c r="U6" s="618"/>
      <c r="V6" s="618"/>
      <c r="W6" s="618"/>
      <c r="X6" s="618"/>
      <c r="Y6" s="618"/>
      <c r="Z6" s="618"/>
      <c r="AA6" s="618"/>
      <c r="AB6" s="618"/>
      <c r="AC6" s="619"/>
      <c r="AD6" s="190"/>
      <c r="AE6" s="30"/>
      <c r="AF6" s="197" t="str">
        <f>IF(Roster!$K$3=0,"",Roster!$K$3)</f>
        <v/>
      </c>
      <c r="AG6" s="195"/>
      <c r="AH6" s="578"/>
      <c r="AI6" s="579"/>
      <c r="AJ6" s="579"/>
      <c r="AK6" s="579"/>
      <c r="AL6" s="579"/>
      <c r="AM6" s="579"/>
      <c r="AN6" s="579"/>
      <c r="AO6" s="579"/>
      <c r="AP6" s="579"/>
      <c r="AQ6" s="579"/>
      <c r="AR6" s="580"/>
      <c r="AS6" s="190"/>
      <c r="AT6" s="30"/>
      <c r="AU6" s="197" t="str">
        <f>IF(Roster!$K$4=0,"",Roster!$K$4)</f>
        <v/>
      </c>
      <c r="AV6" s="195"/>
      <c r="AW6" s="578"/>
      <c r="AX6" s="579"/>
      <c r="AY6" s="579"/>
      <c r="AZ6" s="579"/>
      <c r="BA6" s="579"/>
      <c r="BB6" s="579"/>
      <c r="BC6" s="579"/>
      <c r="BD6" s="579"/>
      <c r="BE6" s="579"/>
      <c r="BF6" s="579"/>
      <c r="BG6" s="580"/>
      <c r="BH6" s="190"/>
    </row>
    <row r="7" spans="1:60" s="31" customFormat="1" ht="11.25" customHeight="1" x14ac:dyDescent="0.2">
      <c r="A7" s="30"/>
      <c r="B7" s="575"/>
      <c r="C7" s="195"/>
      <c r="D7" s="577" t="str">
        <f>IF(Roster!$S$22=0,"",Roster!$S$22)</f>
        <v>APOTHECARY</v>
      </c>
      <c r="E7" s="484"/>
      <c r="F7" s="485"/>
      <c r="G7" s="193"/>
      <c r="H7" s="577" t="str">
        <f>IF(Roster!$S$23=0,"",Roster!$S$23)</f>
        <v>CHEERLEADERS</v>
      </c>
      <c r="I7" s="484"/>
      <c r="J7" s="485"/>
      <c r="K7" s="193"/>
      <c r="L7" s="577" t="str">
        <f>IF(Roster!$S$24=0,"",Roster!$S$24)</f>
        <v>ASSISTANT COACHES</v>
      </c>
      <c r="M7" s="484"/>
      <c r="N7" s="485"/>
      <c r="O7" s="190"/>
      <c r="P7" s="30"/>
      <c r="Q7" s="194" t="str">
        <f>IF(Roster!$L$1=0,"",Roster!$L$1)</f>
        <v>ST</v>
      </c>
      <c r="R7" s="195"/>
      <c r="S7" s="620"/>
      <c r="T7" s="621"/>
      <c r="U7" s="621"/>
      <c r="V7" s="621"/>
      <c r="W7" s="621"/>
      <c r="X7" s="621"/>
      <c r="Y7" s="621"/>
      <c r="Z7" s="621"/>
      <c r="AA7" s="621"/>
      <c r="AB7" s="621"/>
      <c r="AC7" s="622"/>
      <c r="AD7" s="190"/>
      <c r="AE7" s="30"/>
      <c r="AF7" s="194" t="str">
        <f>IF(Roster!$L$1=0,"",Roster!$L$1)</f>
        <v>ST</v>
      </c>
      <c r="AG7" s="195"/>
      <c r="AH7" s="581"/>
      <c r="AI7" s="582"/>
      <c r="AJ7" s="582"/>
      <c r="AK7" s="582"/>
      <c r="AL7" s="582"/>
      <c r="AM7" s="582"/>
      <c r="AN7" s="582"/>
      <c r="AO7" s="582"/>
      <c r="AP7" s="582"/>
      <c r="AQ7" s="582"/>
      <c r="AR7" s="583"/>
      <c r="AS7" s="190"/>
      <c r="AT7" s="30"/>
      <c r="AU7" s="194" t="str">
        <f>IF(Roster!$L$1=0,"",Roster!$L$1)</f>
        <v>ST</v>
      </c>
      <c r="AV7" s="195"/>
      <c r="AW7" s="581"/>
      <c r="AX7" s="582"/>
      <c r="AY7" s="582"/>
      <c r="AZ7" s="582"/>
      <c r="BA7" s="582"/>
      <c r="BB7" s="582"/>
      <c r="BC7" s="582"/>
      <c r="BD7" s="582"/>
      <c r="BE7" s="582"/>
      <c r="BF7" s="582"/>
      <c r="BG7" s="583"/>
      <c r="BH7" s="190"/>
    </row>
    <row r="8" spans="1:60" s="31" customFormat="1" ht="37.5" customHeight="1" x14ac:dyDescent="0.2">
      <c r="A8" s="30"/>
      <c r="B8" s="575"/>
      <c r="C8" s="198"/>
      <c r="D8" s="613">
        <f>Roster!$X$22</f>
        <v>0</v>
      </c>
      <c r="E8" s="361"/>
      <c r="F8" s="362"/>
      <c r="G8" s="193"/>
      <c r="H8" s="613">
        <f>Roster!$X$23</f>
        <v>0</v>
      </c>
      <c r="I8" s="361"/>
      <c r="J8" s="362"/>
      <c r="K8" s="193"/>
      <c r="L8" s="613">
        <f>Roster!$X$24</f>
        <v>0</v>
      </c>
      <c r="M8" s="361"/>
      <c r="N8" s="362"/>
      <c r="O8" s="190"/>
      <c r="P8" s="30"/>
      <c r="Q8" s="197" t="str">
        <f>IF(Roster!$L$2=0,"",Roster!$L$2)</f>
        <v/>
      </c>
      <c r="R8" s="195"/>
      <c r="S8" s="620"/>
      <c r="T8" s="621"/>
      <c r="U8" s="621"/>
      <c r="V8" s="621"/>
      <c r="W8" s="621"/>
      <c r="X8" s="621"/>
      <c r="Y8" s="621"/>
      <c r="Z8" s="621"/>
      <c r="AA8" s="621"/>
      <c r="AB8" s="621"/>
      <c r="AC8" s="622"/>
      <c r="AD8" s="190"/>
      <c r="AE8" s="30"/>
      <c r="AF8" s="197" t="str">
        <f>IF(Roster!$L$3=0,"",Roster!$L$3)</f>
        <v/>
      </c>
      <c r="AG8" s="195"/>
      <c r="AH8" s="581"/>
      <c r="AI8" s="582"/>
      <c r="AJ8" s="582"/>
      <c r="AK8" s="582"/>
      <c r="AL8" s="582"/>
      <c r="AM8" s="582"/>
      <c r="AN8" s="582"/>
      <c r="AO8" s="582"/>
      <c r="AP8" s="582"/>
      <c r="AQ8" s="582"/>
      <c r="AR8" s="583"/>
      <c r="AS8" s="190"/>
      <c r="AT8" s="30"/>
      <c r="AU8" s="197" t="str">
        <f>IF(Roster!$L$4=0,"",Roster!$L$4)</f>
        <v/>
      </c>
      <c r="AV8" s="195"/>
      <c r="AW8" s="581"/>
      <c r="AX8" s="582"/>
      <c r="AY8" s="582"/>
      <c r="AZ8" s="582"/>
      <c r="BA8" s="582"/>
      <c r="BB8" s="582"/>
      <c r="BC8" s="582"/>
      <c r="BD8" s="582"/>
      <c r="BE8" s="582"/>
      <c r="BF8" s="582"/>
      <c r="BG8" s="583"/>
      <c r="BH8" s="190"/>
    </row>
    <row r="9" spans="1:60" s="31" customFormat="1" ht="11.25" customHeight="1" x14ac:dyDescent="0.2">
      <c r="A9" s="30"/>
      <c r="B9" s="575"/>
      <c r="C9" s="192"/>
      <c r="D9" s="577" t="str">
        <f>IF(Roster!$S$25=0,"",Roster!$S$25)</f>
        <v>BLOODWEISER KEGS</v>
      </c>
      <c r="E9" s="484"/>
      <c r="F9" s="485"/>
      <c r="G9" s="193"/>
      <c r="H9" s="577" t="str">
        <f>IF(Roster!$S$29=0,"",Roster!$S$29)</f>
        <v>BRIBES</v>
      </c>
      <c r="I9" s="484"/>
      <c r="J9" s="485"/>
      <c r="K9" s="193"/>
      <c r="L9" s="577" t="str">
        <f>IF(Roster!$S$30=0,"",Roster!$S$30)</f>
        <v>MASTER CHEF</v>
      </c>
      <c r="M9" s="484"/>
      <c r="N9" s="485"/>
      <c r="O9" s="190"/>
      <c r="P9" s="30"/>
      <c r="Q9" s="194" t="str">
        <f>IF(Roster!$M$1=0,"",Roster!$M$1)</f>
        <v>AG</v>
      </c>
      <c r="R9" s="195"/>
      <c r="S9" s="620"/>
      <c r="T9" s="621"/>
      <c r="U9" s="621"/>
      <c r="V9" s="621"/>
      <c r="W9" s="621"/>
      <c r="X9" s="621"/>
      <c r="Y9" s="621"/>
      <c r="Z9" s="621"/>
      <c r="AA9" s="621"/>
      <c r="AB9" s="621"/>
      <c r="AC9" s="622"/>
      <c r="AD9" s="190"/>
      <c r="AE9" s="30"/>
      <c r="AF9" s="194" t="str">
        <f>IF(Roster!$M$1=0,"",Roster!$M$1)</f>
        <v>AG</v>
      </c>
      <c r="AG9" s="195"/>
      <c r="AH9" s="581"/>
      <c r="AI9" s="582"/>
      <c r="AJ9" s="582"/>
      <c r="AK9" s="582"/>
      <c r="AL9" s="582"/>
      <c r="AM9" s="582"/>
      <c r="AN9" s="582"/>
      <c r="AO9" s="582"/>
      <c r="AP9" s="582"/>
      <c r="AQ9" s="582"/>
      <c r="AR9" s="583"/>
      <c r="AS9" s="190"/>
      <c r="AT9" s="30"/>
      <c r="AU9" s="194" t="str">
        <f>IF(Roster!$M$1=0,"",Roster!$M$1)</f>
        <v>AG</v>
      </c>
      <c r="AV9" s="195"/>
      <c r="AW9" s="581"/>
      <c r="AX9" s="582"/>
      <c r="AY9" s="582"/>
      <c r="AZ9" s="582"/>
      <c r="BA9" s="582"/>
      <c r="BB9" s="582"/>
      <c r="BC9" s="582"/>
      <c r="BD9" s="582"/>
      <c r="BE9" s="582"/>
      <c r="BF9" s="582"/>
      <c r="BG9" s="583"/>
      <c r="BH9" s="190"/>
    </row>
    <row r="10" spans="1:60" s="31" customFormat="1" ht="37.5" customHeight="1" x14ac:dyDescent="0.2">
      <c r="A10" s="30"/>
      <c r="B10" s="575"/>
      <c r="C10" s="198"/>
      <c r="D10" s="613">
        <f>Roster!$X$25</f>
        <v>0</v>
      </c>
      <c r="E10" s="361"/>
      <c r="F10" s="362"/>
      <c r="G10" s="193"/>
      <c r="H10" s="613">
        <f>Roster!$X$29</f>
        <v>0</v>
      </c>
      <c r="I10" s="361"/>
      <c r="J10" s="362"/>
      <c r="K10" s="193"/>
      <c r="L10" s="613">
        <f>Roster!$X$30</f>
        <v>0</v>
      </c>
      <c r="M10" s="361"/>
      <c r="N10" s="362"/>
      <c r="O10" s="190"/>
      <c r="P10" s="30"/>
      <c r="Q10" s="197" t="str">
        <f>IF(Roster!$M$2=0&amp;"+","",Roster!$M$2)</f>
        <v/>
      </c>
      <c r="R10" s="195"/>
      <c r="S10" s="620"/>
      <c r="T10" s="621"/>
      <c r="U10" s="621"/>
      <c r="V10" s="621"/>
      <c r="W10" s="621"/>
      <c r="X10" s="621"/>
      <c r="Y10" s="621"/>
      <c r="Z10" s="621"/>
      <c r="AA10" s="621"/>
      <c r="AB10" s="621"/>
      <c r="AC10" s="622"/>
      <c r="AD10" s="190"/>
      <c r="AE10" s="30"/>
      <c r="AF10" s="197" t="str">
        <f>IF(Roster!$M$3=0&amp;"+","",Roster!$M$3)</f>
        <v/>
      </c>
      <c r="AG10" s="195"/>
      <c r="AH10" s="581"/>
      <c r="AI10" s="582"/>
      <c r="AJ10" s="582"/>
      <c r="AK10" s="582"/>
      <c r="AL10" s="582"/>
      <c r="AM10" s="582"/>
      <c r="AN10" s="582"/>
      <c r="AO10" s="582"/>
      <c r="AP10" s="582"/>
      <c r="AQ10" s="582"/>
      <c r="AR10" s="583"/>
      <c r="AS10" s="190"/>
      <c r="AT10" s="30"/>
      <c r="AU10" s="197" t="str">
        <f>IF(Roster!$M$4=0&amp;"+","",Roster!$M$4)</f>
        <v/>
      </c>
      <c r="AV10" s="195"/>
      <c r="AW10" s="581"/>
      <c r="AX10" s="582"/>
      <c r="AY10" s="582"/>
      <c r="AZ10" s="582"/>
      <c r="BA10" s="582"/>
      <c r="BB10" s="582"/>
      <c r="BC10" s="582"/>
      <c r="BD10" s="582"/>
      <c r="BE10" s="582"/>
      <c r="BF10" s="582"/>
      <c r="BG10" s="583"/>
      <c r="BH10" s="190"/>
    </row>
    <row r="11" spans="1:60" s="31" customFormat="1" ht="11.25" customHeight="1" x14ac:dyDescent="0.2">
      <c r="A11" s="30"/>
      <c r="B11" s="575"/>
      <c r="C11" s="195"/>
      <c r="D11" s="610" t="str">
        <f>IF(Roster!$S$31=0,"",Roster!$S$31)</f>
        <v>RIOTOUS ROOKIES</v>
      </c>
      <c r="E11" s="484"/>
      <c r="F11" s="485"/>
      <c r="G11" s="195"/>
      <c r="H11" s="610" t="str">
        <f>IF(Roster!$AE$25=0,"",Roster!$AE$25)</f>
        <v>WIZARDS</v>
      </c>
      <c r="I11" s="484"/>
      <c r="J11" s="485"/>
      <c r="K11" s="195"/>
      <c r="L11" s="577" t="str">
        <f>IF(Roster!$AE$24=0,"",Roster!$AE$24)</f>
        <v>WEATHER MAGE</v>
      </c>
      <c r="M11" s="484"/>
      <c r="N11" s="485"/>
      <c r="O11" s="199"/>
      <c r="P11" s="30"/>
      <c r="Q11" s="194" t="str">
        <f>IF(Roster!$N$1=0,"",Roster!$N$1)</f>
        <v>PA</v>
      </c>
      <c r="R11" s="195"/>
      <c r="S11" s="620"/>
      <c r="T11" s="621"/>
      <c r="U11" s="621"/>
      <c r="V11" s="621"/>
      <c r="W11" s="621"/>
      <c r="X11" s="621"/>
      <c r="Y11" s="621"/>
      <c r="Z11" s="621"/>
      <c r="AA11" s="621"/>
      <c r="AB11" s="621"/>
      <c r="AC11" s="622"/>
      <c r="AD11" s="199"/>
      <c r="AE11" s="30"/>
      <c r="AF11" s="194" t="str">
        <f>IF(Roster!$N$1=0,"",Roster!$N$1)</f>
        <v>PA</v>
      </c>
      <c r="AG11" s="195"/>
      <c r="AH11" s="581"/>
      <c r="AI11" s="582"/>
      <c r="AJ11" s="582"/>
      <c r="AK11" s="582"/>
      <c r="AL11" s="582"/>
      <c r="AM11" s="582"/>
      <c r="AN11" s="582"/>
      <c r="AO11" s="582"/>
      <c r="AP11" s="582"/>
      <c r="AQ11" s="582"/>
      <c r="AR11" s="583"/>
      <c r="AS11" s="199"/>
      <c r="AT11" s="30"/>
      <c r="AU11" s="194" t="str">
        <f>IF(Roster!$N$1=0,"",Roster!$N$1)</f>
        <v>PA</v>
      </c>
      <c r="AV11" s="195"/>
      <c r="AW11" s="581"/>
      <c r="AX11" s="582"/>
      <c r="AY11" s="582"/>
      <c r="AZ11" s="582"/>
      <c r="BA11" s="582"/>
      <c r="BB11" s="582"/>
      <c r="BC11" s="582"/>
      <c r="BD11" s="582"/>
      <c r="BE11" s="582"/>
      <c r="BF11" s="582"/>
      <c r="BG11" s="583"/>
      <c r="BH11" s="199"/>
    </row>
    <row r="12" spans="1:60" s="31" customFormat="1" ht="6" customHeight="1" x14ac:dyDescent="0.2">
      <c r="A12" s="30"/>
      <c r="B12" s="575"/>
      <c r="C12" s="196"/>
      <c r="D12" s="614">
        <f>Roster!$X$31</f>
        <v>0</v>
      </c>
      <c r="E12" s="408"/>
      <c r="F12" s="381"/>
      <c r="G12" s="200"/>
      <c r="H12" s="614">
        <f>Roster!$AJ$25</f>
        <v>0</v>
      </c>
      <c r="I12" s="408"/>
      <c r="J12" s="381"/>
      <c r="K12" s="200"/>
      <c r="L12" s="614">
        <f>Roster!$AJ$24</f>
        <v>0</v>
      </c>
      <c r="M12" s="408"/>
      <c r="N12" s="381"/>
      <c r="O12" s="201"/>
      <c r="P12" s="30"/>
      <c r="Q12" s="571" t="str">
        <f>IF(Roster!$N$2=0&amp;"+","",Roster!$N$2)</f>
        <v/>
      </c>
      <c r="R12" s="195"/>
      <c r="S12" s="623"/>
      <c r="T12" s="624"/>
      <c r="U12" s="624"/>
      <c r="V12" s="624"/>
      <c r="W12" s="624"/>
      <c r="X12" s="624"/>
      <c r="Y12" s="624"/>
      <c r="Z12" s="624"/>
      <c r="AA12" s="624"/>
      <c r="AB12" s="624"/>
      <c r="AC12" s="625"/>
      <c r="AD12" s="201"/>
      <c r="AE12" s="30"/>
      <c r="AF12" s="571" t="str">
        <f>IF(Roster!$N$3=0&amp;"+","",Roster!$N$3)</f>
        <v/>
      </c>
      <c r="AG12" s="195"/>
      <c r="AH12" s="584"/>
      <c r="AI12" s="585"/>
      <c r="AJ12" s="585"/>
      <c r="AK12" s="585"/>
      <c r="AL12" s="585"/>
      <c r="AM12" s="585"/>
      <c r="AN12" s="585"/>
      <c r="AO12" s="585"/>
      <c r="AP12" s="585"/>
      <c r="AQ12" s="585"/>
      <c r="AR12" s="586"/>
      <c r="AS12" s="201"/>
      <c r="AT12" s="30"/>
      <c r="AU12" s="571" t="str">
        <f>IF(Roster!$N$4=0&amp;"+","",Roster!$N$4)</f>
        <v/>
      </c>
      <c r="AV12" s="195"/>
      <c r="AW12" s="584"/>
      <c r="AX12" s="585"/>
      <c r="AY12" s="585"/>
      <c r="AZ12" s="585"/>
      <c r="BA12" s="585"/>
      <c r="BB12" s="585"/>
      <c r="BC12" s="585"/>
      <c r="BD12" s="585"/>
      <c r="BE12" s="585"/>
      <c r="BF12" s="585"/>
      <c r="BG12" s="586"/>
      <c r="BH12" s="201"/>
    </row>
    <row r="13" spans="1:60" s="31" customFormat="1" ht="4.5" customHeight="1" x14ac:dyDescent="0.2">
      <c r="A13" s="30"/>
      <c r="B13" s="575"/>
      <c r="C13" s="196"/>
      <c r="D13" s="615"/>
      <c r="E13" s="396"/>
      <c r="F13" s="616"/>
      <c r="G13" s="200"/>
      <c r="H13" s="615"/>
      <c r="I13" s="396"/>
      <c r="J13" s="616"/>
      <c r="K13" s="200"/>
      <c r="L13" s="615"/>
      <c r="M13" s="396"/>
      <c r="N13" s="616"/>
      <c r="O13" s="201"/>
      <c r="P13" s="30"/>
      <c r="Q13" s="572"/>
      <c r="R13" s="193"/>
      <c r="S13" s="202"/>
      <c r="T13" s="200"/>
      <c r="U13" s="202"/>
      <c r="V13" s="200"/>
      <c r="W13" s="202"/>
      <c r="X13" s="200"/>
      <c r="Y13" s="202"/>
      <c r="Z13" s="200"/>
      <c r="AA13" s="202"/>
      <c r="AB13" s="200"/>
      <c r="AC13" s="202"/>
      <c r="AD13" s="201"/>
      <c r="AE13" s="30"/>
      <c r="AF13" s="572"/>
      <c r="AG13" s="193"/>
      <c r="AH13" s="202"/>
      <c r="AI13" s="200"/>
      <c r="AJ13" s="202"/>
      <c r="AK13" s="200"/>
      <c r="AL13" s="202"/>
      <c r="AM13" s="200"/>
      <c r="AN13" s="202"/>
      <c r="AO13" s="200"/>
      <c r="AP13" s="202"/>
      <c r="AQ13" s="200"/>
      <c r="AR13" s="202"/>
      <c r="AS13" s="201"/>
      <c r="AT13" s="30"/>
      <c r="AU13" s="572"/>
      <c r="AV13" s="193"/>
      <c r="AW13" s="202"/>
      <c r="AX13" s="200"/>
      <c r="AY13" s="202"/>
      <c r="AZ13" s="200"/>
      <c r="BA13" s="202"/>
      <c r="BB13" s="200"/>
      <c r="BC13" s="202"/>
      <c r="BD13" s="200"/>
      <c r="BE13" s="202"/>
      <c r="BF13" s="200"/>
      <c r="BG13" s="202"/>
      <c r="BH13" s="201"/>
    </row>
    <row r="14" spans="1:60" s="31" customFormat="1" ht="11.25" customHeight="1" x14ac:dyDescent="0.2">
      <c r="A14" s="30"/>
      <c r="B14" s="575"/>
      <c r="C14" s="196"/>
      <c r="D14" s="615"/>
      <c r="E14" s="396"/>
      <c r="F14" s="616"/>
      <c r="G14" s="200"/>
      <c r="H14" s="615"/>
      <c r="I14" s="396"/>
      <c r="J14" s="616"/>
      <c r="K14" s="200"/>
      <c r="L14" s="615"/>
      <c r="M14" s="396"/>
      <c r="N14" s="616"/>
      <c r="O14" s="201"/>
      <c r="P14" s="30"/>
      <c r="Q14" s="572"/>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72"/>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72"/>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x14ac:dyDescent="0.2">
      <c r="A15" s="30"/>
      <c r="B15" s="575"/>
      <c r="C15" s="196"/>
      <c r="D15" s="615"/>
      <c r="E15" s="396"/>
      <c r="F15" s="616"/>
      <c r="G15" s="196"/>
      <c r="H15" s="615"/>
      <c r="I15" s="396"/>
      <c r="J15" s="616"/>
      <c r="K15" s="196"/>
      <c r="L15" s="615"/>
      <c r="M15" s="396"/>
      <c r="N15" s="616"/>
      <c r="O15" s="201"/>
      <c r="P15" s="30"/>
      <c r="Q15" s="572"/>
      <c r="R15" s="196"/>
      <c r="S15" s="235" t="str">
        <f>IF(Roster!$AD$2=0,"",Roster!$AD$2)</f>
        <v/>
      </c>
      <c r="T15" s="230"/>
      <c r="U15" s="235" t="str">
        <f>IF((SUM(W15,Y15,AA15))=0,"",(SUM(W15,Y15,AA15)))</f>
        <v/>
      </c>
      <c r="V15" s="230"/>
      <c r="W15" s="235" t="str">
        <f>IF(Roster!$AG$2=0,"",Roster!$AG$2)</f>
        <v/>
      </c>
      <c r="X15" s="230"/>
      <c r="Y15" s="235" t="str">
        <f>IF(Roster!$AH$2=0,"",Roster!$AH$2)</f>
        <v/>
      </c>
      <c r="Z15" s="230"/>
      <c r="AA15" s="235" t="str">
        <f>IF(Roster!$AI$2=0,"",Roster!$AI$2)</f>
        <v/>
      </c>
      <c r="AB15" s="230"/>
      <c r="AC15" s="235" t="str">
        <f>IF(Roster!$AC$2=0,"",Roster!$AC$2)</f>
        <v/>
      </c>
      <c r="AD15" s="201"/>
      <c r="AE15" s="30"/>
      <c r="AF15" s="572"/>
      <c r="AG15" s="196"/>
      <c r="AH15" s="235" t="str">
        <f>IF(Roster!$AD$3=0,"",Roster!$AD$3)</f>
        <v/>
      </c>
      <c r="AI15" s="230"/>
      <c r="AJ15" s="235" t="str">
        <f>IF((SUM(AL15,AN15,AP15))=0,"",(SUM(AL15,AN15,AP15)))</f>
        <v/>
      </c>
      <c r="AK15" s="230"/>
      <c r="AL15" s="235" t="str">
        <f>IF(Roster!$AG$3=0,"",Roster!$AG$3)</f>
        <v/>
      </c>
      <c r="AM15" s="230"/>
      <c r="AN15" s="235" t="str">
        <f>IF(Roster!$AH$3=0,"",Roster!$AH$3)</f>
        <v/>
      </c>
      <c r="AO15" s="230"/>
      <c r="AP15" s="235" t="str">
        <f>IF(Roster!$AI$3=0,"",Roster!$AI$3)</f>
        <v/>
      </c>
      <c r="AQ15" s="230"/>
      <c r="AR15" s="235" t="str">
        <f>IF(Roster!$AC$3=0,"",Roster!$AC$3)</f>
        <v/>
      </c>
      <c r="AS15" s="201"/>
      <c r="AT15" s="30"/>
      <c r="AU15" s="572"/>
      <c r="AV15" s="196"/>
      <c r="AW15" s="235" t="str">
        <f>IF(Roster!$AD$4=0,"",Roster!$AD$4)</f>
        <v/>
      </c>
      <c r="AX15" s="230"/>
      <c r="AY15" s="235" t="str">
        <f>IF((SUM(BA15,BC15,BE15))=0,"",(SUM(BA15,BC15,BE15)))</f>
        <v/>
      </c>
      <c r="AZ15" s="230"/>
      <c r="BA15" s="235" t="str">
        <f>IF(Roster!$AG$4=0,"",Roster!$AG$4)</f>
        <v/>
      </c>
      <c r="BB15" s="230"/>
      <c r="BC15" s="235" t="str">
        <f>IF(Roster!$AH$4=0,"",Roster!$AH$4)</f>
        <v/>
      </c>
      <c r="BD15" s="230"/>
      <c r="BE15" s="235" t="str">
        <f>IF(Roster!$AI$4=0,"",Roster!$AI$4)</f>
        <v/>
      </c>
      <c r="BF15" s="230"/>
      <c r="BG15" s="235" t="str">
        <f>IF(Roster!$AC$4=0,"",Roster!$AC$4)</f>
        <v/>
      </c>
      <c r="BH15" s="201"/>
    </row>
    <row r="16" spans="1:60" s="31" customFormat="1" ht="4.5" customHeight="1" x14ac:dyDescent="0.2">
      <c r="A16" s="30"/>
      <c r="B16" s="575"/>
      <c r="C16" s="196"/>
      <c r="D16" s="382"/>
      <c r="E16" s="409"/>
      <c r="F16" s="383"/>
      <c r="G16" s="196"/>
      <c r="H16" s="382"/>
      <c r="I16" s="409"/>
      <c r="J16" s="383"/>
      <c r="K16" s="196"/>
      <c r="L16" s="382"/>
      <c r="M16" s="409"/>
      <c r="N16" s="383"/>
      <c r="O16" s="201"/>
      <c r="P16" s="30"/>
      <c r="Q16" s="445"/>
      <c r="R16" s="196"/>
      <c r="S16" s="231"/>
      <c r="T16" s="230"/>
      <c r="U16" s="231"/>
      <c r="V16" s="230"/>
      <c r="W16" s="231"/>
      <c r="X16" s="230"/>
      <c r="Y16" s="231"/>
      <c r="Z16" s="230"/>
      <c r="AA16" s="231"/>
      <c r="AB16" s="230"/>
      <c r="AC16" s="231"/>
      <c r="AD16" s="201"/>
      <c r="AE16" s="30"/>
      <c r="AF16" s="445"/>
      <c r="AG16" s="196"/>
      <c r="AH16" s="231"/>
      <c r="AI16" s="230"/>
      <c r="AJ16" s="231"/>
      <c r="AK16" s="230"/>
      <c r="AL16" s="231"/>
      <c r="AM16" s="230"/>
      <c r="AN16" s="231"/>
      <c r="AO16" s="230"/>
      <c r="AP16" s="231"/>
      <c r="AQ16" s="230"/>
      <c r="AR16" s="231"/>
      <c r="AS16" s="201"/>
      <c r="AT16" s="30"/>
      <c r="AU16" s="445"/>
      <c r="AV16" s="196"/>
      <c r="AW16" s="231"/>
      <c r="AX16" s="230"/>
      <c r="AY16" s="231"/>
      <c r="AZ16" s="230"/>
      <c r="BA16" s="231"/>
      <c r="BB16" s="230"/>
      <c r="BC16" s="231"/>
      <c r="BD16" s="230"/>
      <c r="BE16" s="231"/>
      <c r="BF16" s="230"/>
      <c r="BG16" s="231"/>
      <c r="BH16" s="201"/>
    </row>
    <row r="17" spans="1:60" s="31" customFormat="1" ht="11.25" customHeight="1" x14ac:dyDescent="0.2">
      <c r="A17" s="30"/>
      <c r="B17" s="575"/>
      <c r="C17" s="195"/>
      <c r="D17" s="577" t="str">
        <f>IF(Roster!$S$26=0,"",Roster!$S$26)</f>
        <v>SPECIAL CARD</v>
      </c>
      <c r="E17" s="484"/>
      <c r="F17" s="485"/>
      <c r="G17" s="195"/>
      <c r="H17" s="610" t="str">
        <f>IF(Roster!$AE$26=0,"",Roster!$AE$26)</f>
        <v>(IN)FAMOUS COACHES</v>
      </c>
      <c r="I17" s="484"/>
      <c r="J17" s="485"/>
      <c r="K17" s="195"/>
      <c r="L17" s="610" t="str">
        <f>IF(Roster!$AE$27=0,"",Roster!$AE$27)</f>
        <v>(IN)FAMOUS COACHES</v>
      </c>
      <c r="M17" s="484"/>
      <c r="N17" s="485"/>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x14ac:dyDescent="0.2">
      <c r="A18" s="30"/>
      <c r="B18" s="575"/>
      <c r="C18" s="196"/>
      <c r="D18" s="614">
        <f>Roster!$X$26</f>
        <v>0</v>
      </c>
      <c r="E18" s="408"/>
      <c r="F18" s="381"/>
      <c r="G18" s="196"/>
      <c r="H18" s="614">
        <f>Roster!$AJ$26</f>
        <v>0</v>
      </c>
      <c r="I18" s="408"/>
      <c r="J18" s="381"/>
      <c r="K18" s="196"/>
      <c r="L18" s="614">
        <f>Roster!$AJ$27</f>
        <v>0</v>
      </c>
      <c r="M18" s="408"/>
      <c r="N18" s="381"/>
      <c r="O18" s="203"/>
      <c r="P18" s="30"/>
      <c r="Q18" s="571" t="str">
        <f>IF(Roster!$O$2=0&amp;"+","",Roster!$O$2)</f>
        <v/>
      </c>
      <c r="R18" s="196"/>
      <c r="S18" s="235" t="str">
        <f>IF(Roster!$AE$2=0,"",Roster!$AE$2)</f>
        <v/>
      </c>
      <c r="T18" s="230"/>
      <c r="U18" s="235" t="str">
        <f>IF(Roster!$AF$2=0,"",Roster!$AF$2)</f>
        <v/>
      </c>
      <c r="V18" s="230"/>
      <c r="W18" s="235" t="str">
        <f>IF(Roster!$AB$2=0,"",Roster!$AB$2)</f>
        <v/>
      </c>
      <c r="X18" s="230"/>
      <c r="Y18" s="235" t="str">
        <f>IF(Roster!$AJ$2=0,"",Roster!$AJ$2)</f>
        <v/>
      </c>
      <c r="Z18" s="230"/>
      <c r="AA18" s="235" t="str">
        <f>IF(Roster!$AK$2=0,"",Roster!$AK$2)</f>
        <v/>
      </c>
      <c r="AB18" s="230"/>
      <c r="AC18" s="235" t="str">
        <f>IF(Roster!$AA$2=0,"",Roster!$AA$2)</f>
        <v/>
      </c>
      <c r="AD18" s="203"/>
      <c r="AE18" s="30"/>
      <c r="AF18" s="571" t="str">
        <f>IF(Roster!$O$3=0&amp;"+","",Roster!$O$3)</f>
        <v/>
      </c>
      <c r="AG18" s="196"/>
      <c r="AH18" s="235" t="str">
        <f>IF(Roster!$AE$3=0,"",Roster!$AE$3)</f>
        <v/>
      </c>
      <c r="AI18" s="230"/>
      <c r="AJ18" s="235" t="str">
        <f>IF(Roster!$AF$3=0,"",Roster!$AF$3)</f>
        <v/>
      </c>
      <c r="AK18" s="230"/>
      <c r="AL18" s="235" t="str">
        <f>IF(Roster!$AB$3=0,"",Roster!$AB$3)</f>
        <v/>
      </c>
      <c r="AM18" s="230"/>
      <c r="AN18" s="235" t="str">
        <f>IF(Roster!$AJ$3=0,"",Roster!$AJ$3)</f>
        <v/>
      </c>
      <c r="AO18" s="230"/>
      <c r="AP18" s="235" t="str">
        <f>IF(Roster!$AK$3=0,"",Roster!$AK$3)</f>
        <v/>
      </c>
      <c r="AQ18" s="230"/>
      <c r="AR18" s="235" t="str">
        <f>IF(Roster!$AA$3=0,"",Roster!$AA$3)</f>
        <v/>
      </c>
      <c r="AS18" s="203"/>
      <c r="AT18" s="30"/>
      <c r="AU18" s="571" t="str">
        <f>IF(Roster!$O$4=0&amp;"+","",Roster!$O$4)</f>
        <v/>
      </c>
      <c r="AV18" s="196"/>
      <c r="AW18" s="235" t="str">
        <f>IF(Roster!$AE$4=0,"",Roster!$AE$4)</f>
        <v/>
      </c>
      <c r="AX18" s="230"/>
      <c r="AY18" s="235" t="str">
        <f>IF(Roster!$AF$4=0,"",Roster!$AF$4)</f>
        <v/>
      </c>
      <c r="AZ18" s="230"/>
      <c r="BA18" s="235" t="str">
        <f>IF(Roster!$AB$4=0,"",Roster!$AB$4)</f>
        <v/>
      </c>
      <c r="BB18" s="230"/>
      <c r="BC18" s="235" t="str">
        <f>IF(Roster!$AJ$4=0,"",Roster!$AJ$4)</f>
        <v/>
      </c>
      <c r="BD18" s="230"/>
      <c r="BE18" s="235" t="str">
        <f>IF(Roster!$AK$4=0,"",Roster!$AK$4)</f>
        <v/>
      </c>
      <c r="BF18" s="230"/>
      <c r="BG18" s="235" t="str">
        <f>IF(Roster!$AA$4=0,"",Roster!$AA$4)</f>
        <v/>
      </c>
      <c r="BH18" s="203"/>
    </row>
    <row r="19" spans="1:60" s="31" customFormat="1" ht="4.5" customHeight="1" x14ac:dyDescent="0.2">
      <c r="A19" s="30"/>
      <c r="B19" s="575"/>
      <c r="C19" s="196"/>
      <c r="D19" s="615"/>
      <c r="E19" s="396"/>
      <c r="F19" s="616"/>
      <c r="G19" s="196"/>
      <c r="H19" s="615"/>
      <c r="I19" s="396"/>
      <c r="J19" s="616"/>
      <c r="K19" s="196"/>
      <c r="L19" s="615"/>
      <c r="M19" s="396"/>
      <c r="N19" s="616"/>
      <c r="O19" s="203"/>
      <c r="P19" s="30"/>
      <c r="Q19" s="572"/>
      <c r="R19" s="196"/>
      <c r="S19" s="230"/>
      <c r="T19" s="230"/>
      <c r="U19" s="230"/>
      <c r="V19" s="230"/>
      <c r="W19" s="230"/>
      <c r="X19" s="230"/>
      <c r="Y19" s="230"/>
      <c r="Z19" s="230"/>
      <c r="AA19" s="230"/>
      <c r="AB19" s="230"/>
      <c r="AC19" s="233"/>
      <c r="AD19" s="203"/>
      <c r="AE19" s="30"/>
      <c r="AF19" s="572"/>
      <c r="AG19" s="196"/>
      <c r="AH19" s="230"/>
      <c r="AI19" s="230"/>
      <c r="AJ19" s="230"/>
      <c r="AK19" s="230"/>
      <c r="AL19" s="230"/>
      <c r="AM19" s="230"/>
      <c r="AN19" s="230"/>
      <c r="AO19" s="230"/>
      <c r="AP19" s="230"/>
      <c r="AQ19" s="230"/>
      <c r="AR19" s="233"/>
      <c r="AS19" s="203"/>
      <c r="AT19" s="30"/>
      <c r="AU19" s="572"/>
      <c r="AV19" s="196"/>
      <c r="AW19" s="230"/>
      <c r="AX19" s="230"/>
      <c r="AY19" s="230"/>
      <c r="AZ19" s="230"/>
      <c r="BA19" s="230"/>
      <c r="BB19" s="230"/>
      <c r="BC19" s="230"/>
      <c r="BD19" s="230"/>
      <c r="BE19" s="230"/>
      <c r="BF19" s="230"/>
      <c r="BG19" s="233"/>
      <c r="BH19" s="203"/>
    </row>
    <row r="20" spans="1:60" s="31" customFormat="1" ht="11.25" customHeight="1" x14ac:dyDescent="0.2">
      <c r="A20" s="30"/>
      <c r="B20" s="575"/>
      <c r="C20" s="196"/>
      <c r="D20" s="615"/>
      <c r="E20" s="396"/>
      <c r="F20" s="616"/>
      <c r="G20" s="204"/>
      <c r="H20" s="615"/>
      <c r="I20" s="396"/>
      <c r="J20" s="616"/>
      <c r="K20" s="204"/>
      <c r="L20" s="615"/>
      <c r="M20" s="396"/>
      <c r="N20" s="616"/>
      <c r="O20" s="203"/>
      <c r="P20" s="30"/>
      <c r="Q20" s="572"/>
      <c r="R20" s="196"/>
      <c r="S20" s="568" t="str">
        <f>IF(Roster!$K$25="Italiano","ABILITÀ &amp; TRATTI",(IF(Roster!$K$25="Español","HABILIDADES Y RASGOS","SKILLS &amp; TRAITS")))</f>
        <v>SKILLS &amp; TRAITS</v>
      </c>
      <c r="T20" s="569"/>
      <c r="U20" s="569"/>
      <c r="V20" s="569"/>
      <c r="W20" s="569"/>
      <c r="X20" s="569"/>
      <c r="Y20" s="569"/>
      <c r="Z20" s="569"/>
      <c r="AA20" s="569"/>
      <c r="AB20" s="569"/>
      <c r="AC20" s="570"/>
      <c r="AD20" s="203"/>
      <c r="AE20" s="30"/>
      <c r="AF20" s="572"/>
      <c r="AG20" s="196"/>
      <c r="AH20" s="568" t="str">
        <f>IF(Roster!$K$25="Italiano","ABILITÀ &amp; TRATTI",(IF(Roster!$K$25="Español","HABILIDADES Y RASGOS","SKILLS &amp; TRAITS")))</f>
        <v>SKILLS &amp; TRAITS</v>
      </c>
      <c r="AI20" s="569"/>
      <c r="AJ20" s="569"/>
      <c r="AK20" s="569"/>
      <c r="AL20" s="569"/>
      <c r="AM20" s="569"/>
      <c r="AN20" s="569"/>
      <c r="AO20" s="569"/>
      <c r="AP20" s="569"/>
      <c r="AQ20" s="569"/>
      <c r="AR20" s="570"/>
      <c r="AS20" s="203"/>
      <c r="AT20" s="30"/>
      <c r="AU20" s="572"/>
      <c r="AV20" s="196"/>
      <c r="AW20" s="568" t="str">
        <f>IF(Roster!$K$25="Italiano","ABILITÀ &amp; TRATTI",(IF(Roster!$K$25="Español","HABILIDADES Y RASGOS","SKILLS &amp; TRAITS")))</f>
        <v>SKILLS &amp; TRAITS</v>
      </c>
      <c r="AX20" s="569"/>
      <c r="AY20" s="569"/>
      <c r="AZ20" s="569"/>
      <c r="BA20" s="569"/>
      <c r="BB20" s="569"/>
      <c r="BC20" s="569"/>
      <c r="BD20" s="569"/>
      <c r="BE20" s="569"/>
      <c r="BF20" s="569"/>
      <c r="BG20" s="570"/>
      <c r="BH20" s="203"/>
    </row>
    <row r="21" spans="1:60" s="31" customFormat="1" ht="6.75" customHeight="1" x14ac:dyDescent="0.2">
      <c r="A21" s="30"/>
      <c r="B21" s="575"/>
      <c r="C21" s="196"/>
      <c r="D21" s="382"/>
      <c r="E21" s="409"/>
      <c r="F21" s="383"/>
      <c r="G21" s="205"/>
      <c r="H21" s="382"/>
      <c r="I21" s="409"/>
      <c r="J21" s="383"/>
      <c r="K21" s="205"/>
      <c r="L21" s="382"/>
      <c r="M21" s="409"/>
      <c r="N21" s="383"/>
      <c r="O21" s="203"/>
      <c r="P21" s="30"/>
      <c r="Q21" s="445"/>
      <c r="R21" s="196"/>
      <c r="S21" s="561" t="str">
        <f>IF(Roster!$P$2=0&amp;BF2,"",Roster!$P$2)</f>
        <v/>
      </c>
      <c r="T21" s="541"/>
      <c r="U21" s="541"/>
      <c r="V21" s="541"/>
      <c r="W21" s="541"/>
      <c r="X21" s="541"/>
      <c r="Y21" s="541"/>
      <c r="Z21" s="541"/>
      <c r="AA21" s="541"/>
      <c r="AB21" s="541"/>
      <c r="AC21" s="562"/>
      <c r="AD21" s="203"/>
      <c r="AE21" s="30"/>
      <c r="AF21" s="445"/>
      <c r="AG21" s="196"/>
      <c r="AH21" s="561" t="str">
        <f>IF(Roster!$P$3=0&amp;BU3,"",Roster!$P$3)</f>
        <v/>
      </c>
      <c r="AI21" s="541"/>
      <c r="AJ21" s="541"/>
      <c r="AK21" s="541"/>
      <c r="AL21" s="541"/>
      <c r="AM21" s="541"/>
      <c r="AN21" s="541"/>
      <c r="AO21" s="541"/>
      <c r="AP21" s="541"/>
      <c r="AQ21" s="541"/>
      <c r="AR21" s="562"/>
      <c r="AS21" s="203"/>
      <c r="AT21" s="30"/>
      <c r="AU21" s="445"/>
      <c r="AV21" s="196"/>
      <c r="AW21" s="561" t="str">
        <f>IF(Roster!$P$4=0&amp;CJ4,"",Roster!$P$4)</f>
        <v/>
      </c>
      <c r="AX21" s="541"/>
      <c r="AY21" s="541"/>
      <c r="AZ21" s="541"/>
      <c r="BA21" s="541"/>
      <c r="BB21" s="541"/>
      <c r="BC21" s="541"/>
      <c r="BD21" s="541"/>
      <c r="BE21" s="541"/>
      <c r="BF21" s="541"/>
      <c r="BG21" s="562"/>
      <c r="BH21" s="203"/>
    </row>
    <row r="22" spans="1:60" s="31" customFormat="1" ht="11.25" customHeight="1" x14ac:dyDescent="0.2">
      <c r="A22" s="30"/>
      <c r="B22" s="575"/>
      <c r="C22" s="192"/>
      <c r="D22" s="610" t="str">
        <f>IF(Roster!$AE$28=0,"",Roster!$AE$28)</f>
        <v>BIASED REFEREE</v>
      </c>
      <c r="E22" s="484"/>
      <c r="F22" s="485"/>
      <c r="G22" s="205"/>
      <c r="H22" s="610" t="str">
        <f>IF(Roster!$AE$29=0,"",Roster!$AE$29)</f>
        <v>OTHER INDUCEMENTS</v>
      </c>
      <c r="I22" s="484"/>
      <c r="J22" s="485"/>
      <c r="K22" s="205"/>
      <c r="L22" s="577" t="str">
        <f>IF(Roster!$AE$31=0,"",Roster!$AE$31)</f>
        <v>WANDERING APO</v>
      </c>
      <c r="M22" s="484"/>
      <c r="N22" s="485"/>
      <c r="O22" s="206"/>
      <c r="P22" s="30"/>
      <c r="Q22" s="194" t="str">
        <f>IF(Roster!$AO$1=0,"",Roster!$AO$1)</f>
        <v>COST</v>
      </c>
      <c r="R22" s="195"/>
      <c r="S22" s="563"/>
      <c r="T22" s="564"/>
      <c r="U22" s="564"/>
      <c r="V22" s="564"/>
      <c r="W22" s="564"/>
      <c r="X22" s="564"/>
      <c r="Y22" s="564"/>
      <c r="Z22" s="564"/>
      <c r="AA22" s="564"/>
      <c r="AB22" s="564"/>
      <c r="AC22" s="562"/>
      <c r="AD22" s="206"/>
      <c r="AE22" s="30"/>
      <c r="AF22" s="194" t="str">
        <f>IF(Roster!$AO$1=0,"",Roster!$AO$1)</f>
        <v>COST</v>
      </c>
      <c r="AG22" s="195"/>
      <c r="AH22" s="563"/>
      <c r="AI22" s="564"/>
      <c r="AJ22" s="564"/>
      <c r="AK22" s="564"/>
      <c r="AL22" s="564"/>
      <c r="AM22" s="564"/>
      <c r="AN22" s="564"/>
      <c r="AO22" s="564"/>
      <c r="AP22" s="564"/>
      <c r="AQ22" s="564"/>
      <c r="AR22" s="562"/>
      <c r="AS22" s="206"/>
      <c r="AT22" s="30"/>
      <c r="AU22" s="194" t="str">
        <f>IF(Roster!$AO$1=0,"",Roster!$AO$1)</f>
        <v>COST</v>
      </c>
      <c r="AV22" s="195"/>
      <c r="AW22" s="563"/>
      <c r="AX22" s="564"/>
      <c r="AY22" s="564"/>
      <c r="AZ22" s="564"/>
      <c r="BA22" s="564"/>
      <c r="BB22" s="564"/>
      <c r="BC22" s="564"/>
      <c r="BD22" s="564"/>
      <c r="BE22" s="564"/>
      <c r="BF22" s="564"/>
      <c r="BG22" s="562"/>
      <c r="BH22" s="206"/>
    </row>
    <row r="23" spans="1:60" s="31" customFormat="1" ht="34.5" customHeight="1" x14ac:dyDescent="0.2">
      <c r="A23" s="30"/>
      <c r="B23" s="576"/>
      <c r="C23" s="207"/>
      <c r="D23" s="611">
        <f>Roster!$AJ$28</f>
        <v>0</v>
      </c>
      <c r="E23" s="361"/>
      <c r="F23" s="362"/>
      <c r="G23" s="205"/>
      <c r="H23" s="611">
        <f>Roster!$AJ$29</f>
        <v>0</v>
      </c>
      <c r="I23" s="361"/>
      <c r="J23" s="362"/>
      <c r="K23" s="205"/>
      <c r="L23" s="611">
        <f>Roster!$AJ$31</f>
        <v>0</v>
      </c>
      <c r="M23" s="361"/>
      <c r="N23" s="362"/>
      <c r="O23" s="206"/>
      <c r="P23" s="30"/>
      <c r="Q23" s="208" t="str">
        <f>IF(Roster!$AO$2=0,"",Roster!$AO$2)</f>
        <v/>
      </c>
      <c r="R23" s="209"/>
      <c r="S23" s="565"/>
      <c r="T23" s="566"/>
      <c r="U23" s="566"/>
      <c r="V23" s="566"/>
      <c r="W23" s="566"/>
      <c r="X23" s="566"/>
      <c r="Y23" s="566"/>
      <c r="Z23" s="566"/>
      <c r="AA23" s="566"/>
      <c r="AB23" s="566"/>
      <c r="AC23" s="567"/>
      <c r="AD23" s="206"/>
      <c r="AE23" s="30"/>
      <c r="AF23" s="208" t="str">
        <f>IF(Roster!$AO$3=0,"",Roster!$AO$3)</f>
        <v/>
      </c>
      <c r="AG23" s="209"/>
      <c r="AH23" s="565"/>
      <c r="AI23" s="566"/>
      <c r="AJ23" s="566"/>
      <c r="AK23" s="566"/>
      <c r="AL23" s="566"/>
      <c r="AM23" s="566"/>
      <c r="AN23" s="566"/>
      <c r="AO23" s="566"/>
      <c r="AP23" s="566"/>
      <c r="AQ23" s="566"/>
      <c r="AR23" s="567"/>
      <c r="AS23" s="206"/>
      <c r="AT23" s="30"/>
      <c r="AU23" s="208" t="str">
        <f>IF(Roster!$AO$4=0,"",Roster!$AO$4)</f>
        <v/>
      </c>
      <c r="AV23" s="209"/>
      <c r="AW23" s="565"/>
      <c r="AX23" s="566"/>
      <c r="AY23" s="566"/>
      <c r="AZ23" s="566"/>
      <c r="BA23" s="566"/>
      <c r="BB23" s="566"/>
      <c r="BC23" s="566"/>
      <c r="BD23" s="566"/>
      <c r="BE23" s="566"/>
      <c r="BF23" s="566"/>
      <c r="BG23" s="567"/>
      <c r="BH23" s="206"/>
    </row>
    <row r="24" spans="1:60" s="31" customFormat="1" ht="4.5" customHeight="1" x14ac:dyDescent="0.2">
      <c r="A24" s="30"/>
      <c r="B24" s="573"/>
      <c r="C24" s="375"/>
      <c r="D24" s="375"/>
      <c r="E24" s="375"/>
      <c r="F24" s="375"/>
      <c r="G24" s="375"/>
      <c r="H24" s="375"/>
      <c r="I24" s="375"/>
      <c r="J24" s="375"/>
      <c r="K24" s="375"/>
      <c r="L24" s="375"/>
      <c r="M24" s="375"/>
      <c r="N24" s="376"/>
      <c r="O24" s="210"/>
      <c r="P24" s="30"/>
      <c r="Q24" s="573"/>
      <c r="R24" s="375"/>
      <c r="S24" s="375"/>
      <c r="T24" s="375"/>
      <c r="U24" s="375"/>
      <c r="V24" s="375"/>
      <c r="W24" s="375"/>
      <c r="X24" s="375"/>
      <c r="Y24" s="375"/>
      <c r="Z24" s="375"/>
      <c r="AA24" s="375"/>
      <c r="AB24" s="375"/>
      <c r="AC24" s="376"/>
      <c r="AD24" s="210"/>
      <c r="AE24" s="30"/>
      <c r="AF24" s="573"/>
      <c r="AG24" s="375"/>
      <c r="AH24" s="375"/>
      <c r="AI24" s="375"/>
      <c r="AJ24" s="375"/>
      <c r="AK24" s="375"/>
      <c r="AL24" s="375"/>
      <c r="AM24" s="375"/>
      <c r="AN24" s="375"/>
      <c r="AO24" s="375"/>
      <c r="AP24" s="375"/>
      <c r="AQ24" s="375"/>
      <c r="AR24" s="376"/>
      <c r="AS24" s="210"/>
      <c r="AT24" s="30"/>
      <c r="AU24" s="573"/>
      <c r="AV24" s="375"/>
      <c r="AW24" s="375"/>
      <c r="AX24" s="375"/>
      <c r="AY24" s="375"/>
      <c r="AZ24" s="375"/>
      <c r="BA24" s="375"/>
      <c r="BB24" s="375"/>
      <c r="BC24" s="375"/>
      <c r="BD24" s="375"/>
      <c r="BE24" s="375"/>
      <c r="BF24" s="375"/>
      <c r="BG24" s="376"/>
      <c r="BH24" s="210"/>
    </row>
    <row r="25" spans="1:60" s="31" customFormat="1" ht="11.25"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x14ac:dyDescent="0.2">
      <c r="A26" s="30"/>
      <c r="B26" s="574" t="str">
        <f>IF(Roster!$A$5=0,"","#"&amp;Roster!$A$5)</f>
        <v>#4</v>
      </c>
      <c r="C26" s="188"/>
      <c r="D26" s="188"/>
      <c r="E26" s="188"/>
      <c r="F26" s="188"/>
      <c r="G26" s="188"/>
      <c r="H26" s="188"/>
      <c r="I26" s="188"/>
      <c r="J26" s="188"/>
      <c r="K26" s="188"/>
      <c r="L26" s="188"/>
      <c r="M26" s="188"/>
      <c r="N26" s="188"/>
      <c r="O26" s="189"/>
      <c r="P26" s="30"/>
      <c r="Q26" s="574" t="str">
        <f>IF(Roster!$A$6=0,"","#"&amp;Roster!$A$6)</f>
        <v>#5</v>
      </c>
      <c r="R26" s="188"/>
      <c r="S26" s="188"/>
      <c r="T26" s="188"/>
      <c r="U26" s="188"/>
      <c r="V26" s="188"/>
      <c r="W26" s="188"/>
      <c r="X26" s="188"/>
      <c r="Y26" s="188"/>
      <c r="Z26" s="188"/>
      <c r="AA26" s="188"/>
      <c r="AB26" s="188"/>
      <c r="AC26" s="188"/>
      <c r="AD26" s="189"/>
      <c r="AE26" s="30"/>
      <c r="AF26" s="574" t="str">
        <f>IF(Roster!$A$7=0,"","#"&amp;Roster!$A$7)</f>
        <v>#6</v>
      </c>
      <c r="AG26" s="188"/>
      <c r="AH26" s="188"/>
      <c r="AI26" s="188"/>
      <c r="AJ26" s="188"/>
      <c r="AK26" s="188"/>
      <c r="AL26" s="188"/>
      <c r="AM26" s="188"/>
      <c r="AN26" s="188"/>
      <c r="AO26" s="188"/>
      <c r="AP26" s="188"/>
      <c r="AQ26" s="188"/>
      <c r="AR26" s="188"/>
      <c r="AS26" s="189"/>
      <c r="AT26" s="30"/>
      <c r="AU26" s="574" t="str">
        <f>IF(Roster!$A$8=0,"","#"&amp;Roster!$A$8)</f>
        <v>#7</v>
      </c>
      <c r="AV26" s="188"/>
      <c r="AW26" s="188"/>
      <c r="AX26" s="188"/>
      <c r="AY26" s="188"/>
      <c r="AZ26" s="188"/>
      <c r="BA26" s="188"/>
      <c r="BB26" s="188"/>
      <c r="BC26" s="188"/>
      <c r="BD26" s="188"/>
      <c r="BE26" s="188"/>
      <c r="BF26" s="188"/>
      <c r="BG26" s="188"/>
      <c r="BH26" s="189"/>
    </row>
    <row r="27" spans="1:60" s="31" customFormat="1" ht="15" customHeight="1" x14ac:dyDescent="0.25">
      <c r="A27" s="30"/>
      <c r="B27" s="575"/>
      <c r="C27" s="560" t="str">
        <f>IF(Roster!$B$5=0,"",Roster!$B$5)</f>
        <v/>
      </c>
      <c r="D27" s="484"/>
      <c r="E27" s="484"/>
      <c r="F27" s="484"/>
      <c r="G27" s="484"/>
      <c r="H27" s="484"/>
      <c r="I27" s="484"/>
      <c r="J27" s="484"/>
      <c r="K27" s="484"/>
      <c r="L27" s="484"/>
      <c r="M27" s="484"/>
      <c r="N27" s="485"/>
      <c r="O27" s="190"/>
      <c r="P27" s="30"/>
      <c r="Q27" s="575"/>
      <c r="R27" s="560" t="str">
        <f>IF(Roster!$B$6=0,"",Roster!$B$6)</f>
        <v/>
      </c>
      <c r="S27" s="484"/>
      <c r="T27" s="484"/>
      <c r="U27" s="484"/>
      <c r="V27" s="484"/>
      <c r="W27" s="484"/>
      <c r="X27" s="484"/>
      <c r="Y27" s="484"/>
      <c r="Z27" s="484"/>
      <c r="AA27" s="484"/>
      <c r="AB27" s="484"/>
      <c r="AC27" s="485"/>
      <c r="AD27" s="190"/>
      <c r="AE27" s="30"/>
      <c r="AF27" s="575"/>
      <c r="AG27" s="560" t="str">
        <f>IF(Roster!$B$7=0,"",Roster!$B$7)</f>
        <v/>
      </c>
      <c r="AH27" s="484"/>
      <c r="AI27" s="484"/>
      <c r="AJ27" s="484"/>
      <c r="AK27" s="484"/>
      <c r="AL27" s="484"/>
      <c r="AM27" s="484"/>
      <c r="AN27" s="484"/>
      <c r="AO27" s="484"/>
      <c r="AP27" s="484"/>
      <c r="AQ27" s="484"/>
      <c r="AR27" s="485"/>
      <c r="AS27" s="190"/>
      <c r="AT27" s="30"/>
      <c r="AU27" s="575"/>
      <c r="AV27" s="560" t="str">
        <f>IF(Roster!$B$8=0,"",Roster!$B$8)</f>
        <v/>
      </c>
      <c r="AW27" s="484"/>
      <c r="AX27" s="484"/>
      <c r="AY27" s="484"/>
      <c r="AZ27" s="484"/>
      <c r="BA27" s="484"/>
      <c r="BB27" s="484"/>
      <c r="BC27" s="484"/>
      <c r="BD27" s="484"/>
      <c r="BE27" s="484"/>
      <c r="BF27" s="484"/>
      <c r="BG27" s="485"/>
      <c r="BH27" s="190"/>
    </row>
    <row r="28" spans="1:60" s="31" customFormat="1" ht="11.25" customHeight="1" x14ac:dyDescent="0.2">
      <c r="A28" s="30"/>
      <c r="B28" s="576"/>
      <c r="C28" s="577" t="str">
        <f>IF(Roster!$D$5=0,"",Roster!$D$5)</f>
        <v/>
      </c>
      <c r="D28" s="484"/>
      <c r="E28" s="484"/>
      <c r="F28" s="484"/>
      <c r="G28" s="484"/>
      <c r="H28" s="484"/>
      <c r="I28" s="484"/>
      <c r="J28" s="484"/>
      <c r="K28" s="484"/>
      <c r="L28" s="484"/>
      <c r="M28" s="484"/>
      <c r="N28" s="485"/>
      <c r="O28" s="191"/>
      <c r="P28" s="30"/>
      <c r="Q28" s="576"/>
      <c r="R28" s="577" t="str">
        <f>IF(Roster!$D$6=0,"",Roster!$D$6)</f>
        <v/>
      </c>
      <c r="S28" s="484"/>
      <c r="T28" s="484"/>
      <c r="U28" s="484"/>
      <c r="V28" s="484"/>
      <c r="W28" s="484"/>
      <c r="X28" s="484"/>
      <c r="Y28" s="484"/>
      <c r="Z28" s="484"/>
      <c r="AA28" s="484"/>
      <c r="AB28" s="484"/>
      <c r="AC28" s="485"/>
      <c r="AD28" s="191"/>
      <c r="AE28" s="30"/>
      <c r="AF28" s="576"/>
      <c r="AG28" s="577" t="str">
        <f>IF(Roster!$D$7=0,"",Roster!$D$7)</f>
        <v/>
      </c>
      <c r="AH28" s="484"/>
      <c r="AI28" s="484"/>
      <c r="AJ28" s="484"/>
      <c r="AK28" s="484"/>
      <c r="AL28" s="484"/>
      <c r="AM28" s="484"/>
      <c r="AN28" s="484"/>
      <c r="AO28" s="484"/>
      <c r="AP28" s="484"/>
      <c r="AQ28" s="484"/>
      <c r="AR28" s="485"/>
      <c r="AS28" s="191"/>
      <c r="AT28" s="30"/>
      <c r="AU28" s="576"/>
      <c r="AV28" s="577" t="str">
        <f>IF(Roster!$D$8=0,"",Roster!$D$8)</f>
        <v/>
      </c>
      <c r="AW28" s="484"/>
      <c r="AX28" s="484"/>
      <c r="AY28" s="484"/>
      <c r="AZ28" s="484"/>
      <c r="BA28" s="484"/>
      <c r="BB28" s="484"/>
      <c r="BC28" s="484"/>
      <c r="BD28" s="484"/>
      <c r="BE28" s="484"/>
      <c r="BF28" s="484"/>
      <c r="BG28" s="485"/>
      <c r="BH28" s="191"/>
    </row>
    <row r="29" spans="1:60" s="31" customFormat="1" ht="11.25" customHeight="1" x14ac:dyDescent="0.2">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x14ac:dyDescent="0.2">
      <c r="A30" s="30"/>
      <c r="B30" s="197" t="str">
        <f>IF(Roster!$K$5=0,"",Roster!$K$5)</f>
        <v/>
      </c>
      <c r="C30" s="195"/>
      <c r="D30" s="578"/>
      <c r="E30" s="579"/>
      <c r="F30" s="579"/>
      <c r="G30" s="579"/>
      <c r="H30" s="579"/>
      <c r="I30" s="579"/>
      <c r="J30" s="579"/>
      <c r="K30" s="579"/>
      <c r="L30" s="579"/>
      <c r="M30" s="579"/>
      <c r="N30" s="580"/>
      <c r="O30" s="190"/>
      <c r="P30" s="30"/>
      <c r="Q30" s="197" t="str">
        <f>IF(Roster!$K$6=0,"",Roster!$K$6)</f>
        <v/>
      </c>
      <c r="R30" s="195"/>
      <c r="S30" s="578"/>
      <c r="T30" s="579"/>
      <c r="U30" s="579"/>
      <c r="V30" s="579"/>
      <c r="W30" s="579"/>
      <c r="X30" s="579"/>
      <c r="Y30" s="579"/>
      <c r="Z30" s="579"/>
      <c r="AA30" s="579"/>
      <c r="AB30" s="579"/>
      <c r="AC30" s="580"/>
      <c r="AD30" s="190"/>
      <c r="AE30" s="30"/>
      <c r="AF30" s="197" t="str">
        <f>IF(Roster!$K$7=0,"",Roster!$K$7)</f>
        <v/>
      </c>
      <c r="AG30" s="195"/>
      <c r="AH30" s="578"/>
      <c r="AI30" s="579"/>
      <c r="AJ30" s="579"/>
      <c r="AK30" s="579"/>
      <c r="AL30" s="579"/>
      <c r="AM30" s="579"/>
      <c r="AN30" s="579"/>
      <c r="AO30" s="579"/>
      <c r="AP30" s="579"/>
      <c r="AQ30" s="579"/>
      <c r="AR30" s="580"/>
      <c r="AS30" s="190"/>
      <c r="AT30" s="30"/>
      <c r="AU30" s="197" t="str">
        <f>IF(Roster!$K$8=0,"",Roster!$K$8)</f>
        <v/>
      </c>
      <c r="AV30" s="195"/>
      <c r="AW30" s="578"/>
      <c r="AX30" s="579"/>
      <c r="AY30" s="579"/>
      <c r="AZ30" s="579"/>
      <c r="BA30" s="579"/>
      <c r="BB30" s="579"/>
      <c r="BC30" s="579"/>
      <c r="BD30" s="579"/>
      <c r="BE30" s="579"/>
      <c r="BF30" s="579"/>
      <c r="BG30" s="580"/>
      <c r="BH30" s="190"/>
    </row>
    <row r="31" spans="1:60" s="31" customFormat="1" ht="11.25" customHeight="1" x14ac:dyDescent="0.2">
      <c r="A31" s="30"/>
      <c r="B31" s="194" t="str">
        <f>IF(Roster!$L$1=0,"",Roster!$L$1)</f>
        <v>ST</v>
      </c>
      <c r="C31" s="195"/>
      <c r="D31" s="581"/>
      <c r="E31" s="582"/>
      <c r="F31" s="582"/>
      <c r="G31" s="582"/>
      <c r="H31" s="582"/>
      <c r="I31" s="582"/>
      <c r="J31" s="582"/>
      <c r="K31" s="582"/>
      <c r="L31" s="582"/>
      <c r="M31" s="582"/>
      <c r="N31" s="583"/>
      <c r="O31" s="190"/>
      <c r="P31" s="30"/>
      <c r="Q31" s="194" t="str">
        <f>IF(Roster!$L$1=0,"",Roster!$L$1)</f>
        <v>ST</v>
      </c>
      <c r="R31" s="195"/>
      <c r="S31" s="581"/>
      <c r="T31" s="582"/>
      <c r="U31" s="582"/>
      <c r="V31" s="582"/>
      <c r="W31" s="582"/>
      <c r="X31" s="582"/>
      <c r="Y31" s="582"/>
      <c r="Z31" s="582"/>
      <c r="AA31" s="582"/>
      <c r="AB31" s="582"/>
      <c r="AC31" s="583"/>
      <c r="AD31" s="190"/>
      <c r="AE31" s="30"/>
      <c r="AF31" s="194" t="str">
        <f>IF(Roster!$L$1=0,"",Roster!$L$1)</f>
        <v>ST</v>
      </c>
      <c r="AG31" s="195"/>
      <c r="AH31" s="581"/>
      <c r="AI31" s="582"/>
      <c r="AJ31" s="582"/>
      <c r="AK31" s="582"/>
      <c r="AL31" s="582"/>
      <c r="AM31" s="582"/>
      <c r="AN31" s="582"/>
      <c r="AO31" s="582"/>
      <c r="AP31" s="582"/>
      <c r="AQ31" s="582"/>
      <c r="AR31" s="583"/>
      <c r="AS31" s="190"/>
      <c r="AT31" s="30"/>
      <c r="AU31" s="194" t="str">
        <f>IF(Roster!$L$1=0,"",Roster!$L$1)</f>
        <v>ST</v>
      </c>
      <c r="AV31" s="195"/>
      <c r="AW31" s="581"/>
      <c r="AX31" s="582"/>
      <c r="AY31" s="582"/>
      <c r="AZ31" s="582"/>
      <c r="BA31" s="582"/>
      <c r="BB31" s="582"/>
      <c r="BC31" s="582"/>
      <c r="BD31" s="582"/>
      <c r="BE31" s="582"/>
      <c r="BF31" s="582"/>
      <c r="BG31" s="583"/>
      <c r="BH31" s="190"/>
    </row>
    <row r="32" spans="1:60" s="31" customFormat="1" ht="37.5" customHeight="1" x14ac:dyDescent="0.2">
      <c r="A32" s="30"/>
      <c r="B32" s="197" t="str">
        <f>IF(Roster!$L$5=0,"",Roster!$L$5)</f>
        <v/>
      </c>
      <c r="C32" s="195"/>
      <c r="D32" s="581"/>
      <c r="E32" s="582"/>
      <c r="F32" s="582"/>
      <c r="G32" s="582"/>
      <c r="H32" s="582"/>
      <c r="I32" s="582"/>
      <c r="J32" s="582"/>
      <c r="K32" s="582"/>
      <c r="L32" s="582"/>
      <c r="M32" s="582"/>
      <c r="N32" s="583"/>
      <c r="O32" s="190"/>
      <c r="P32" s="30"/>
      <c r="Q32" s="197" t="str">
        <f>IF(Roster!$L$6=0,"",Roster!$L$6)</f>
        <v/>
      </c>
      <c r="R32" s="195"/>
      <c r="S32" s="581"/>
      <c r="T32" s="582"/>
      <c r="U32" s="582"/>
      <c r="V32" s="582"/>
      <c r="W32" s="582"/>
      <c r="X32" s="582"/>
      <c r="Y32" s="582"/>
      <c r="Z32" s="582"/>
      <c r="AA32" s="582"/>
      <c r="AB32" s="582"/>
      <c r="AC32" s="583"/>
      <c r="AD32" s="190"/>
      <c r="AE32" s="30"/>
      <c r="AF32" s="197" t="str">
        <f>IF(Roster!$L$7=0,"",Roster!$L$7)</f>
        <v/>
      </c>
      <c r="AG32" s="195"/>
      <c r="AH32" s="581"/>
      <c r="AI32" s="582"/>
      <c r="AJ32" s="582"/>
      <c r="AK32" s="582"/>
      <c r="AL32" s="582"/>
      <c r="AM32" s="582"/>
      <c r="AN32" s="582"/>
      <c r="AO32" s="582"/>
      <c r="AP32" s="582"/>
      <c r="AQ32" s="582"/>
      <c r="AR32" s="583"/>
      <c r="AS32" s="190"/>
      <c r="AT32" s="30"/>
      <c r="AU32" s="197" t="str">
        <f>IF(Roster!$L$8=0,"",Roster!$L$8)</f>
        <v/>
      </c>
      <c r="AV32" s="195"/>
      <c r="AW32" s="581"/>
      <c r="AX32" s="582"/>
      <c r="AY32" s="582"/>
      <c r="AZ32" s="582"/>
      <c r="BA32" s="582"/>
      <c r="BB32" s="582"/>
      <c r="BC32" s="582"/>
      <c r="BD32" s="582"/>
      <c r="BE32" s="582"/>
      <c r="BF32" s="582"/>
      <c r="BG32" s="583"/>
      <c r="BH32" s="190"/>
    </row>
    <row r="33" spans="1:60" s="31" customFormat="1" ht="11.25" customHeight="1" x14ac:dyDescent="0.2">
      <c r="A33" s="30"/>
      <c r="B33" s="194" t="str">
        <f>IF(Roster!$M$1=0,"",Roster!$M$1)</f>
        <v>AG</v>
      </c>
      <c r="C33" s="195"/>
      <c r="D33" s="581"/>
      <c r="E33" s="582"/>
      <c r="F33" s="582"/>
      <c r="G33" s="582"/>
      <c r="H33" s="582"/>
      <c r="I33" s="582"/>
      <c r="J33" s="582"/>
      <c r="K33" s="582"/>
      <c r="L33" s="582"/>
      <c r="M33" s="582"/>
      <c r="N33" s="583"/>
      <c r="O33" s="190"/>
      <c r="P33" s="30"/>
      <c r="Q33" s="194" t="str">
        <f>IF(Roster!$M$1=0,"",Roster!$M$1)</f>
        <v>AG</v>
      </c>
      <c r="R33" s="195"/>
      <c r="S33" s="581"/>
      <c r="T33" s="582"/>
      <c r="U33" s="582"/>
      <c r="V33" s="582"/>
      <c r="W33" s="582"/>
      <c r="X33" s="582"/>
      <c r="Y33" s="582"/>
      <c r="Z33" s="582"/>
      <c r="AA33" s="582"/>
      <c r="AB33" s="582"/>
      <c r="AC33" s="583"/>
      <c r="AD33" s="190"/>
      <c r="AE33" s="30"/>
      <c r="AF33" s="194" t="str">
        <f>IF(Roster!$M$1=0,"",Roster!$M$1)</f>
        <v>AG</v>
      </c>
      <c r="AG33" s="195"/>
      <c r="AH33" s="581"/>
      <c r="AI33" s="582"/>
      <c r="AJ33" s="582"/>
      <c r="AK33" s="582"/>
      <c r="AL33" s="582"/>
      <c r="AM33" s="582"/>
      <c r="AN33" s="582"/>
      <c r="AO33" s="582"/>
      <c r="AP33" s="582"/>
      <c r="AQ33" s="582"/>
      <c r="AR33" s="583"/>
      <c r="AS33" s="190"/>
      <c r="AT33" s="30"/>
      <c r="AU33" s="194" t="str">
        <f>IF(Roster!$M$1=0,"",Roster!$M$1)</f>
        <v>AG</v>
      </c>
      <c r="AV33" s="195"/>
      <c r="AW33" s="581"/>
      <c r="AX33" s="582"/>
      <c r="AY33" s="582"/>
      <c r="AZ33" s="582"/>
      <c r="BA33" s="582"/>
      <c r="BB33" s="582"/>
      <c r="BC33" s="582"/>
      <c r="BD33" s="582"/>
      <c r="BE33" s="582"/>
      <c r="BF33" s="582"/>
      <c r="BG33" s="583"/>
      <c r="BH33" s="190"/>
    </row>
    <row r="34" spans="1:60" s="31" customFormat="1" ht="37.5" customHeight="1" x14ac:dyDescent="0.2">
      <c r="A34" s="30"/>
      <c r="B34" s="197" t="str">
        <f>IF(Roster!$M$5=0&amp;"+","",Roster!$M$5)</f>
        <v/>
      </c>
      <c r="C34" s="195"/>
      <c r="D34" s="581"/>
      <c r="E34" s="582"/>
      <c r="F34" s="582"/>
      <c r="G34" s="582"/>
      <c r="H34" s="582"/>
      <c r="I34" s="582"/>
      <c r="J34" s="582"/>
      <c r="K34" s="582"/>
      <c r="L34" s="582"/>
      <c r="M34" s="582"/>
      <c r="N34" s="583"/>
      <c r="O34" s="190"/>
      <c r="P34" s="30"/>
      <c r="Q34" s="197" t="str">
        <f>IF(Roster!$M$6=0&amp;"+","",Roster!$M$6)</f>
        <v/>
      </c>
      <c r="R34" s="195"/>
      <c r="S34" s="581"/>
      <c r="T34" s="582"/>
      <c r="U34" s="582"/>
      <c r="V34" s="582"/>
      <c r="W34" s="582"/>
      <c r="X34" s="582"/>
      <c r="Y34" s="582"/>
      <c r="Z34" s="582"/>
      <c r="AA34" s="582"/>
      <c r="AB34" s="582"/>
      <c r="AC34" s="583"/>
      <c r="AD34" s="190"/>
      <c r="AE34" s="30"/>
      <c r="AF34" s="197" t="str">
        <f>IF(Roster!$M$7=0&amp;"+","",Roster!$M$7)</f>
        <v/>
      </c>
      <c r="AG34" s="195"/>
      <c r="AH34" s="581"/>
      <c r="AI34" s="582"/>
      <c r="AJ34" s="582"/>
      <c r="AK34" s="582"/>
      <c r="AL34" s="582"/>
      <c r="AM34" s="582"/>
      <c r="AN34" s="582"/>
      <c r="AO34" s="582"/>
      <c r="AP34" s="582"/>
      <c r="AQ34" s="582"/>
      <c r="AR34" s="583"/>
      <c r="AS34" s="190"/>
      <c r="AT34" s="30"/>
      <c r="AU34" s="197" t="str">
        <f>IF(Roster!$M$8=0&amp;"+","",Roster!$M$8)</f>
        <v/>
      </c>
      <c r="AV34" s="195"/>
      <c r="AW34" s="581"/>
      <c r="AX34" s="582"/>
      <c r="AY34" s="582"/>
      <c r="AZ34" s="582"/>
      <c r="BA34" s="582"/>
      <c r="BB34" s="582"/>
      <c r="BC34" s="582"/>
      <c r="BD34" s="582"/>
      <c r="BE34" s="582"/>
      <c r="BF34" s="582"/>
      <c r="BG34" s="583"/>
      <c r="BH34" s="190"/>
    </row>
    <row r="35" spans="1:60" s="31" customFormat="1" ht="11.25" customHeight="1" x14ac:dyDescent="0.2">
      <c r="A35" s="30"/>
      <c r="B35" s="194" t="str">
        <f>IF(Roster!$N$1=0,"",Roster!$N$1)</f>
        <v>PA</v>
      </c>
      <c r="C35" s="195"/>
      <c r="D35" s="581"/>
      <c r="E35" s="582"/>
      <c r="F35" s="582"/>
      <c r="G35" s="582"/>
      <c r="H35" s="582"/>
      <c r="I35" s="582"/>
      <c r="J35" s="582"/>
      <c r="K35" s="582"/>
      <c r="L35" s="582"/>
      <c r="M35" s="582"/>
      <c r="N35" s="583"/>
      <c r="O35" s="199"/>
      <c r="P35" s="30"/>
      <c r="Q35" s="194" t="str">
        <f>IF(Roster!$N$1=0,"",Roster!$N$1)</f>
        <v>PA</v>
      </c>
      <c r="R35" s="195"/>
      <c r="S35" s="581"/>
      <c r="T35" s="582"/>
      <c r="U35" s="582"/>
      <c r="V35" s="582"/>
      <c r="W35" s="582"/>
      <c r="X35" s="582"/>
      <c r="Y35" s="582"/>
      <c r="Z35" s="582"/>
      <c r="AA35" s="582"/>
      <c r="AB35" s="582"/>
      <c r="AC35" s="583"/>
      <c r="AD35" s="199"/>
      <c r="AE35" s="30"/>
      <c r="AF35" s="194" t="str">
        <f>IF(Roster!$N$1=0,"",Roster!$N$1)</f>
        <v>PA</v>
      </c>
      <c r="AG35" s="195"/>
      <c r="AH35" s="581"/>
      <c r="AI35" s="582"/>
      <c r="AJ35" s="582"/>
      <c r="AK35" s="582"/>
      <c r="AL35" s="582"/>
      <c r="AM35" s="582"/>
      <c r="AN35" s="582"/>
      <c r="AO35" s="582"/>
      <c r="AP35" s="582"/>
      <c r="AQ35" s="582"/>
      <c r="AR35" s="583"/>
      <c r="AS35" s="199"/>
      <c r="AT35" s="30"/>
      <c r="AU35" s="194" t="str">
        <f>IF(Roster!$N$1=0,"",Roster!$N$1)</f>
        <v>PA</v>
      </c>
      <c r="AV35" s="195"/>
      <c r="AW35" s="581"/>
      <c r="AX35" s="582"/>
      <c r="AY35" s="582"/>
      <c r="AZ35" s="582"/>
      <c r="BA35" s="582"/>
      <c r="BB35" s="582"/>
      <c r="BC35" s="582"/>
      <c r="BD35" s="582"/>
      <c r="BE35" s="582"/>
      <c r="BF35" s="582"/>
      <c r="BG35" s="583"/>
      <c r="BH35" s="199"/>
    </row>
    <row r="36" spans="1:60" s="31" customFormat="1" ht="6" customHeight="1" x14ac:dyDescent="0.2">
      <c r="A36" s="30"/>
      <c r="B36" s="571" t="str">
        <f>IF(Roster!$N$5=0&amp;"+","",Roster!$N$5)</f>
        <v/>
      </c>
      <c r="C36" s="195"/>
      <c r="D36" s="584"/>
      <c r="E36" s="585"/>
      <c r="F36" s="585"/>
      <c r="G36" s="585"/>
      <c r="H36" s="585"/>
      <c r="I36" s="585"/>
      <c r="J36" s="585"/>
      <c r="K36" s="585"/>
      <c r="L36" s="585"/>
      <c r="M36" s="585"/>
      <c r="N36" s="586"/>
      <c r="O36" s="201"/>
      <c r="P36" s="30"/>
      <c r="Q36" s="571" t="str">
        <f>IF(Roster!$N$6=0&amp;"+","",Roster!$N$6)</f>
        <v/>
      </c>
      <c r="R36" s="195"/>
      <c r="S36" s="584"/>
      <c r="T36" s="585"/>
      <c r="U36" s="585"/>
      <c r="V36" s="585"/>
      <c r="W36" s="585"/>
      <c r="X36" s="585"/>
      <c r="Y36" s="585"/>
      <c r="Z36" s="585"/>
      <c r="AA36" s="585"/>
      <c r="AB36" s="585"/>
      <c r="AC36" s="586"/>
      <c r="AD36" s="201"/>
      <c r="AE36" s="30"/>
      <c r="AF36" s="571" t="str">
        <f>IF(Roster!$N$7=0&amp;"+","",Roster!$N$7)</f>
        <v/>
      </c>
      <c r="AG36" s="195"/>
      <c r="AH36" s="584"/>
      <c r="AI36" s="585"/>
      <c r="AJ36" s="585"/>
      <c r="AK36" s="585"/>
      <c r="AL36" s="585"/>
      <c r="AM36" s="585"/>
      <c r="AN36" s="585"/>
      <c r="AO36" s="585"/>
      <c r="AP36" s="585"/>
      <c r="AQ36" s="585"/>
      <c r="AR36" s="586"/>
      <c r="AS36" s="201"/>
      <c r="AT36" s="30"/>
      <c r="AU36" s="571" t="str">
        <f>IF(Roster!$N$8=0&amp;"+","",Roster!$N$8)</f>
        <v/>
      </c>
      <c r="AV36" s="195"/>
      <c r="AW36" s="584"/>
      <c r="AX36" s="585"/>
      <c r="AY36" s="585"/>
      <c r="AZ36" s="585"/>
      <c r="BA36" s="585"/>
      <c r="BB36" s="585"/>
      <c r="BC36" s="585"/>
      <c r="BD36" s="585"/>
      <c r="BE36" s="585"/>
      <c r="BF36" s="585"/>
      <c r="BG36" s="586"/>
      <c r="BH36" s="201"/>
    </row>
    <row r="37" spans="1:60" s="31" customFormat="1" ht="4.5" customHeight="1" x14ac:dyDescent="0.2">
      <c r="A37" s="30"/>
      <c r="B37" s="572"/>
      <c r="C37" s="193"/>
      <c r="D37" s="202"/>
      <c r="E37" s="200"/>
      <c r="F37" s="202"/>
      <c r="G37" s="200"/>
      <c r="H37" s="202"/>
      <c r="I37" s="200"/>
      <c r="J37" s="202"/>
      <c r="K37" s="200"/>
      <c r="L37" s="202"/>
      <c r="M37" s="200"/>
      <c r="N37" s="202"/>
      <c r="O37" s="201"/>
      <c r="P37" s="30"/>
      <c r="Q37" s="572"/>
      <c r="R37" s="193"/>
      <c r="S37" s="202"/>
      <c r="T37" s="200"/>
      <c r="U37" s="202"/>
      <c r="V37" s="200"/>
      <c r="W37" s="202"/>
      <c r="X37" s="200"/>
      <c r="Y37" s="202"/>
      <c r="Z37" s="200"/>
      <c r="AA37" s="202"/>
      <c r="AB37" s="200"/>
      <c r="AC37" s="202"/>
      <c r="AD37" s="201"/>
      <c r="AE37" s="30"/>
      <c r="AF37" s="572"/>
      <c r="AG37" s="193"/>
      <c r="AH37" s="202"/>
      <c r="AI37" s="200"/>
      <c r="AJ37" s="202"/>
      <c r="AK37" s="200"/>
      <c r="AL37" s="202"/>
      <c r="AM37" s="200"/>
      <c r="AN37" s="202"/>
      <c r="AO37" s="200"/>
      <c r="AP37" s="202"/>
      <c r="AQ37" s="200"/>
      <c r="AR37" s="202"/>
      <c r="AS37" s="201"/>
      <c r="AT37" s="30"/>
      <c r="AU37" s="572"/>
      <c r="AV37" s="193"/>
      <c r="AW37" s="202"/>
      <c r="AX37" s="200"/>
      <c r="AY37" s="202"/>
      <c r="AZ37" s="200"/>
      <c r="BA37" s="202"/>
      <c r="BB37" s="200"/>
      <c r="BC37" s="202"/>
      <c r="BD37" s="200"/>
      <c r="BE37" s="202"/>
      <c r="BF37" s="200"/>
      <c r="BG37" s="202"/>
      <c r="BH37" s="201"/>
    </row>
    <row r="38" spans="1:60" s="31" customFormat="1" ht="11.25" customHeight="1" x14ac:dyDescent="0.2">
      <c r="A38" s="30"/>
      <c r="B38" s="572"/>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72"/>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72"/>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72"/>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x14ac:dyDescent="0.2">
      <c r="A39" s="30"/>
      <c r="B39" s="572"/>
      <c r="C39" s="196"/>
      <c r="D39" s="235" t="str">
        <f>IF(Roster!$AD$5=0,"",Roster!$AD$5)</f>
        <v/>
      </c>
      <c r="E39" s="230"/>
      <c r="F39" s="235" t="str">
        <f>IF((SUM(H39,J39,L39))=0,"",(SUM(H39,J39,L39)))</f>
        <v/>
      </c>
      <c r="G39" s="230"/>
      <c r="H39" s="235" t="str">
        <f>IF(Roster!$AG$5=0,"",Roster!$AG$5)</f>
        <v/>
      </c>
      <c r="I39" s="230"/>
      <c r="J39" s="235" t="str">
        <f>IF(Roster!$AH$5=0,"",Roster!$AH$5)</f>
        <v/>
      </c>
      <c r="K39" s="230"/>
      <c r="L39" s="235" t="str">
        <f>IF(Roster!$AI$5=0,"",Roster!$AI$5)</f>
        <v/>
      </c>
      <c r="M39" s="230"/>
      <c r="N39" s="235" t="str">
        <f>IF(Roster!$AC$5=0,"",Roster!$AC$5)</f>
        <v/>
      </c>
      <c r="O39" s="201"/>
      <c r="P39" s="30"/>
      <c r="Q39" s="572"/>
      <c r="R39" s="196"/>
      <c r="S39" s="235" t="str">
        <f>IF(Roster!$AD$6=0,"",Roster!$AD$6)</f>
        <v/>
      </c>
      <c r="T39" s="230"/>
      <c r="U39" s="235" t="str">
        <f>IF((SUM(W39,Y39,AA39))=0,"",(SUM(W39,Y39,AA39)))</f>
        <v/>
      </c>
      <c r="V39" s="230"/>
      <c r="W39" s="235" t="str">
        <f>IF(Roster!$AG$6=0,"",Roster!$AG$6)</f>
        <v/>
      </c>
      <c r="X39" s="230"/>
      <c r="Y39" s="235" t="str">
        <f>IF(Roster!$AH$6=0,"",Roster!$AH$6)</f>
        <v/>
      </c>
      <c r="Z39" s="230"/>
      <c r="AA39" s="235" t="str">
        <f>IF(Roster!$AI$6=0,"",Roster!$AI$6)</f>
        <v/>
      </c>
      <c r="AB39" s="230"/>
      <c r="AC39" s="235" t="str">
        <f>IF(Roster!$AC$6=0,"",Roster!$AC$6)</f>
        <v/>
      </c>
      <c r="AD39" s="201"/>
      <c r="AE39" s="30"/>
      <c r="AF39" s="572"/>
      <c r="AG39" s="196"/>
      <c r="AH39" s="235" t="str">
        <f>IF(Roster!$AD$7=0,"",Roster!$AD$7)</f>
        <v/>
      </c>
      <c r="AI39" s="230"/>
      <c r="AJ39" s="235" t="str">
        <f>IF((SUM(AL39,AN39,AP39))=0,"",(SUM(AL39,AN39,AP39)))</f>
        <v/>
      </c>
      <c r="AK39" s="230"/>
      <c r="AL39" s="235" t="str">
        <f>IF(Roster!$AG$7=0,"",Roster!$AG$7)</f>
        <v/>
      </c>
      <c r="AM39" s="230"/>
      <c r="AN39" s="235" t="str">
        <f>IF(Roster!$AH$7=0,"",Roster!$AH$7)</f>
        <v/>
      </c>
      <c r="AO39" s="230"/>
      <c r="AP39" s="235" t="str">
        <f>IF(Roster!$AI$7=0,"",Roster!$AI$7)</f>
        <v/>
      </c>
      <c r="AQ39" s="230"/>
      <c r="AR39" s="235" t="str">
        <f>IF(Roster!$AC$7=0,"",Roster!$AC$7)</f>
        <v/>
      </c>
      <c r="AS39" s="201"/>
      <c r="AT39" s="30"/>
      <c r="AU39" s="572"/>
      <c r="AV39" s="196"/>
      <c r="AW39" s="235" t="str">
        <f>IF(Roster!$AD$8=0,"",Roster!$AD$8)</f>
        <v/>
      </c>
      <c r="AX39" s="230"/>
      <c r="AY39" s="235" t="str">
        <f>IF((SUM(BA39,BC39,BE39))=0,"",(SUM(BA39,BC39,BE39)))</f>
        <v/>
      </c>
      <c r="AZ39" s="230"/>
      <c r="BA39" s="235" t="str">
        <f>IF(Roster!$AG$8=0,"",Roster!$AG$8)</f>
        <v/>
      </c>
      <c r="BB39" s="230"/>
      <c r="BC39" s="235" t="str">
        <f>IF(Roster!$AH$8=0,"",Roster!$AH$8)</f>
        <v/>
      </c>
      <c r="BD39" s="230"/>
      <c r="BE39" s="235" t="str">
        <f>IF(Roster!$AI$8=0,"",Roster!$AI$8)</f>
        <v/>
      </c>
      <c r="BF39" s="230"/>
      <c r="BG39" s="235" t="str">
        <f>IF(Roster!$AC$8=0,"",Roster!$AC$8)</f>
        <v/>
      </c>
      <c r="BH39" s="201"/>
    </row>
    <row r="40" spans="1:60" s="31" customFormat="1" ht="4.5" customHeight="1" x14ac:dyDescent="0.2">
      <c r="A40" s="30"/>
      <c r="B40" s="445"/>
      <c r="C40" s="196"/>
      <c r="D40" s="231"/>
      <c r="E40" s="230"/>
      <c r="F40" s="231"/>
      <c r="G40" s="230"/>
      <c r="H40" s="231"/>
      <c r="I40" s="230"/>
      <c r="J40" s="231"/>
      <c r="K40" s="230"/>
      <c r="L40" s="231"/>
      <c r="M40" s="230"/>
      <c r="N40" s="231"/>
      <c r="O40" s="201"/>
      <c r="P40" s="30"/>
      <c r="Q40" s="445"/>
      <c r="R40" s="196"/>
      <c r="S40" s="231"/>
      <c r="T40" s="230"/>
      <c r="U40" s="231"/>
      <c r="V40" s="230"/>
      <c r="W40" s="231"/>
      <c r="X40" s="230"/>
      <c r="Y40" s="231"/>
      <c r="Z40" s="230"/>
      <c r="AA40" s="231"/>
      <c r="AB40" s="230"/>
      <c r="AC40" s="231"/>
      <c r="AD40" s="201"/>
      <c r="AE40" s="30"/>
      <c r="AF40" s="445"/>
      <c r="AG40" s="196"/>
      <c r="AH40" s="231"/>
      <c r="AI40" s="230"/>
      <c r="AJ40" s="231"/>
      <c r="AK40" s="230"/>
      <c r="AL40" s="231"/>
      <c r="AM40" s="230"/>
      <c r="AN40" s="231"/>
      <c r="AO40" s="230"/>
      <c r="AP40" s="231"/>
      <c r="AQ40" s="230"/>
      <c r="AR40" s="231"/>
      <c r="AS40" s="201"/>
      <c r="AT40" s="30"/>
      <c r="AU40" s="445"/>
      <c r="AV40" s="196"/>
      <c r="AW40" s="231"/>
      <c r="AX40" s="230"/>
      <c r="AY40" s="231"/>
      <c r="AZ40" s="230"/>
      <c r="BA40" s="231"/>
      <c r="BB40" s="230"/>
      <c r="BC40" s="231"/>
      <c r="BD40" s="230"/>
      <c r="BE40" s="231"/>
      <c r="BF40" s="230"/>
      <c r="BG40" s="231"/>
      <c r="BH40" s="201"/>
    </row>
    <row r="41" spans="1:60" s="31" customFormat="1" ht="11.25" customHeight="1" x14ac:dyDescent="0.2">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x14ac:dyDescent="0.2">
      <c r="A42" s="30"/>
      <c r="B42" s="571" t="str">
        <f>IF(Roster!$O$5=0&amp;"+","",Roster!$O$5)</f>
        <v/>
      </c>
      <c r="C42" s="196"/>
      <c r="D42" s="235" t="str">
        <f>IF(Roster!$AE$5=0,"",Roster!$AE$5)</f>
        <v/>
      </c>
      <c r="E42" s="230"/>
      <c r="F42" s="235" t="str">
        <f>IF(Roster!$AF$5=0,"",Roster!$AF$5)</f>
        <v/>
      </c>
      <c r="G42" s="230"/>
      <c r="H42" s="235" t="str">
        <f>IF(Roster!$AB$5=0,"",Roster!$AB$5)</f>
        <v/>
      </c>
      <c r="I42" s="230"/>
      <c r="J42" s="235" t="str">
        <f>IF(Roster!$AJ$5=0,"",Roster!$AJ$5)</f>
        <v/>
      </c>
      <c r="K42" s="230"/>
      <c r="L42" s="235" t="str">
        <f>IF(Roster!$AK$5=0,"",Roster!$AK$5)</f>
        <v/>
      </c>
      <c r="M42" s="230"/>
      <c r="N42" s="235" t="str">
        <f>IF(Roster!$AA$5=0,"",Roster!$AA$5)</f>
        <v/>
      </c>
      <c r="O42" s="203"/>
      <c r="P42" s="30"/>
      <c r="Q42" s="571" t="str">
        <f>IF(Roster!$O$6=0&amp;"+","",Roster!$O$6)</f>
        <v/>
      </c>
      <c r="R42" s="196"/>
      <c r="S42" s="235" t="str">
        <f>IF(Roster!$AE$6=0,"",Roster!$AE$6)</f>
        <v/>
      </c>
      <c r="T42" s="230"/>
      <c r="U42" s="235" t="str">
        <f>IF(Roster!$AF$6=0,"",Roster!$AF$6)</f>
        <v/>
      </c>
      <c r="V42" s="230"/>
      <c r="W42" s="235" t="str">
        <f>IF(Roster!$AB$6=0,"",Roster!$AB$6)</f>
        <v/>
      </c>
      <c r="X42" s="230"/>
      <c r="Y42" s="235" t="str">
        <f>IF(Roster!$AJ$6=0,"",Roster!$AJ$6)</f>
        <v/>
      </c>
      <c r="Z42" s="230"/>
      <c r="AA42" s="235" t="str">
        <f>IF(Roster!$AK$6=0,"",Roster!$AK$6)</f>
        <v/>
      </c>
      <c r="AB42" s="230"/>
      <c r="AC42" s="235" t="str">
        <f>IF(Roster!$AA$6=0,"",Roster!$AA$6)</f>
        <v/>
      </c>
      <c r="AD42" s="203"/>
      <c r="AE42" s="30"/>
      <c r="AF42" s="571" t="str">
        <f>IF(Roster!$O$7=0&amp;"+","",Roster!$O$7)</f>
        <v/>
      </c>
      <c r="AG42" s="196"/>
      <c r="AH42" s="235" t="str">
        <f>IF(Roster!$AE$7=0,"",Roster!$AE$7)</f>
        <v/>
      </c>
      <c r="AI42" s="230"/>
      <c r="AJ42" s="235" t="str">
        <f>IF(Roster!$AF$7=0,"",Roster!$AF$7)</f>
        <v/>
      </c>
      <c r="AK42" s="230"/>
      <c r="AL42" s="235" t="str">
        <f>IF(Roster!$AB$7=0,"",Roster!$AB$7)</f>
        <v/>
      </c>
      <c r="AM42" s="230"/>
      <c r="AN42" s="235" t="str">
        <f>IF(Roster!$AJ$7=0,"",Roster!$AJ$7)</f>
        <v/>
      </c>
      <c r="AO42" s="230"/>
      <c r="AP42" s="235" t="str">
        <f>IF(Roster!$AK$7=0,"",Roster!$AK$7)</f>
        <v/>
      </c>
      <c r="AQ42" s="230"/>
      <c r="AR42" s="235" t="str">
        <f>IF(Roster!$AA$7=0,"",Roster!$AA$7)</f>
        <v/>
      </c>
      <c r="AS42" s="203"/>
      <c r="AT42" s="30"/>
      <c r="AU42" s="571" t="str">
        <f>IF(Roster!$O$8=0&amp;"+","",Roster!$O$8)</f>
        <v/>
      </c>
      <c r="AV42" s="196"/>
      <c r="AW42" s="235" t="str">
        <f>IF(Roster!$AE$8=0,"",Roster!$AE$8)</f>
        <v/>
      </c>
      <c r="AX42" s="230"/>
      <c r="AY42" s="235" t="str">
        <f>IF(Roster!$AF$8=0,"",Roster!$AF$8)</f>
        <v/>
      </c>
      <c r="AZ42" s="230"/>
      <c r="BA42" s="235" t="str">
        <f>IF(Roster!$AB$8=0,"",Roster!$AB$8)</f>
        <v/>
      </c>
      <c r="BB42" s="230"/>
      <c r="BC42" s="235" t="str">
        <f>IF(Roster!$AJ$8=0,"",Roster!$AJ$8)</f>
        <v/>
      </c>
      <c r="BD42" s="230"/>
      <c r="BE42" s="235" t="str">
        <f>IF(Roster!$AK$8=0,"",Roster!$AK$8)</f>
        <v/>
      </c>
      <c r="BF42" s="230"/>
      <c r="BG42" s="235" t="str">
        <f>IF(Roster!$AA$8=0,"",Roster!$AA$8)</f>
        <v/>
      </c>
      <c r="BH42" s="203"/>
    </row>
    <row r="43" spans="1:60" s="31" customFormat="1" ht="4.5" customHeight="1" x14ac:dyDescent="0.2">
      <c r="A43" s="30"/>
      <c r="B43" s="572"/>
      <c r="C43" s="196"/>
      <c r="D43" s="230"/>
      <c r="E43" s="230"/>
      <c r="F43" s="230"/>
      <c r="G43" s="230"/>
      <c r="H43" s="230"/>
      <c r="I43" s="230"/>
      <c r="J43" s="230"/>
      <c r="K43" s="230"/>
      <c r="L43" s="230"/>
      <c r="M43" s="230"/>
      <c r="N43" s="233"/>
      <c r="O43" s="203"/>
      <c r="P43" s="30"/>
      <c r="Q43" s="572"/>
      <c r="R43" s="196"/>
      <c r="S43" s="230"/>
      <c r="T43" s="230"/>
      <c r="U43" s="230"/>
      <c r="V43" s="230"/>
      <c r="W43" s="230"/>
      <c r="X43" s="230"/>
      <c r="Y43" s="230"/>
      <c r="Z43" s="230"/>
      <c r="AA43" s="230"/>
      <c r="AB43" s="230"/>
      <c r="AC43" s="233"/>
      <c r="AD43" s="203"/>
      <c r="AE43" s="30"/>
      <c r="AF43" s="572"/>
      <c r="AG43" s="196"/>
      <c r="AH43" s="230"/>
      <c r="AI43" s="230"/>
      <c r="AJ43" s="230"/>
      <c r="AK43" s="230"/>
      <c r="AL43" s="230"/>
      <c r="AM43" s="230"/>
      <c r="AN43" s="230"/>
      <c r="AO43" s="230"/>
      <c r="AP43" s="230"/>
      <c r="AQ43" s="230"/>
      <c r="AR43" s="233"/>
      <c r="AS43" s="203"/>
      <c r="AT43" s="30"/>
      <c r="AU43" s="572"/>
      <c r="AV43" s="196"/>
      <c r="AW43" s="230"/>
      <c r="AX43" s="230"/>
      <c r="AY43" s="230"/>
      <c r="AZ43" s="230"/>
      <c r="BA43" s="230"/>
      <c r="BB43" s="230"/>
      <c r="BC43" s="230"/>
      <c r="BD43" s="230"/>
      <c r="BE43" s="230"/>
      <c r="BF43" s="230"/>
      <c r="BG43" s="233"/>
      <c r="BH43" s="203"/>
    </row>
    <row r="44" spans="1:60" s="31" customFormat="1" ht="11.25" customHeight="1" x14ac:dyDescent="0.2">
      <c r="A44" s="30"/>
      <c r="B44" s="572"/>
      <c r="C44" s="196"/>
      <c r="D44" s="568" t="str">
        <f>IF(Roster!$K$25="Italiano","ABILITÀ &amp; TRATTI",(IF(Roster!$K$25="Español","HABILIDADES Y RASGOS","SKILLS &amp; TRAITS")))</f>
        <v>SKILLS &amp; TRAITS</v>
      </c>
      <c r="E44" s="569"/>
      <c r="F44" s="569"/>
      <c r="G44" s="569"/>
      <c r="H44" s="569"/>
      <c r="I44" s="569"/>
      <c r="J44" s="569"/>
      <c r="K44" s="569"/>
      <c r="L44" s="569"/>
      <c r="M44" s="569"/>
      <c r="N44" s="570"/>
      <c r="O44" s="203"/>
      <c r="P44" s="30"/>
      <c r="Q44" s="572"/>
      <c r="R44" s="196"/>
      <c r="S44" s="568" t="str">
        <f>IF(Roster!$K$25="Italiano","ABILITÀ &amp; TRATTI",(IF(Roster!$K$25="Español","HABILIDADES Y RASGOS","SKILLS &amp; TRAITS")))</f>
        <v>SKILLS &amp; TRAITS</v>
      </c>
      <c r="T44" s="569"/>
      <c r="U44" s="569"/>
      <c r="V44" s="569"/>
      <c r="W44" s="569"/>
      <c r="X44" s="569"/>
      <c r="Y44" s="569"/>
      <c r="Z44" s="569"/>
      <c r="AA44" s="569"/>
      <c r="AB44" s="569"/>
      <c r="AC44" s="570"/>
      <c r="AD44" s="203"/>
      <c r="AE44" s="30"/>
      <c r="AF44" s="572"/>
      <c r="AG44" s="196"/>
      <c r="AH44" s="568" t="str">
        <f>IF(Roster!$K$25="Italiano","ABILITÀ &amp; TRATTI",(IF(Roster!$K$25="Español","HABILIDADES Y RASGOS","SKILLS &amp; TRAITS")))</f>
        <v>SKILLS &amp; TRAITS</v>
      </c>
      <c r="AI44" s="569"/>
      <c r="AJ44" s="569"/>
      <c r="AK44" s="569"/>
      <c r="AL44" s="569"/>
      <c r="AM44" s="569"/>
      <c r="AN44" s="569"/>
      <c r="AO44" s="569"/>
      <c r="AP44" s="569"/>
      <c r="AQ44" s="569"/>
      <c r="AR44" s="570"/>
      <c r="AS44" s="203"/>
      <c r="AT44" s="30"/>
      <c r="AU44" s="572"/>
      <c r="AV44" s="196"/>
      <c r="AW44" s="568" t="str">
        <f>IF(Roster!$K$25="Italiano","ABILITÀ &amp; TRATTI",(IF(Roster!$K$25="Español","HABILIDADES Y RASGOS","SKILLS &amp; TRAITS")))</f>
        <v>SKILLS &amp; TRAITS</v>
      </c>
      <c r="AX44" s="569"/>
      <c r="AY44" s="569"/>
      <c r="AZ44" s="569"/>
      <c r="BA44" s="569"/>
      <c r="BB44" s="569"/>
      <c r="BC44" s="569"/>
      <c r="BD44" s="569"/>
      <c r="BE44" s="569"/>
      <c r="BF44" s="569"/>
      <c r="BG44" s="570"/>
      <c r="BH44" s="203"/>
    </row>
    <row r="45" spans="1:60" s="31" customFormat="1" ht="6.75" customHeight="1" x14ac:dyDescent="0.2">
      <c r="A45" s="30"/>
      <c r="B45" s="445"/>
      <c r="C45" s="196"/>
      <c r="D45" s="561" t="str">
        <f>IF(Roster!$P$5=0&amp;AQ56,"",Roster!$P$5)</f>
        <v/>
      </c>
      <c r="E45" s="541"/>
      <c r="F45" s="541"/>
      <c r="G45" s="541"/>
      <c r="H45" s="541"/>
      <c r="I45" s="541"/>
      <c r="J45" s="541"/>
      <c r="K45" s="541"/>
      <c r="L45" s="541"/>
      <c r="M45" s="541"/>
      <c r="N45" s="562"/>
      <c r="O45" s="203"/>
      <c r="P45" s="30"/>
      <c r="Q45" s="445"/>
      <c r="R45" s="196"/>
      <c r="S45" s="561" t="str">
        <f>IF(Roster!$P$6=0&amp;BF66,"",Roster!$P$6)</f>
        <v/>
      </c>
      <c r="T45" s="541"/>
      <c r="U45" s="541"/>
      <c r="V45" s="541"/>
      <c r="W45" s="541"/>
      <c r="X45" s="541"/>
      <c r="Y45" s="541"/>
      <c r="Z45" s="541"/>
      <c r="AA45" s="541"/>
      <c r="AB45" s="541"/>
      <c r="AC45" s="562"/>
      <c r="AD45" s="203"/>
      <c r="AE45" s="30"/>
      <c r="AF45" s="445"/>
      <c r="AG45" s="196"/>
      <c r="AH45" s="561" t="str">
        <f>IF(Roster!$P$7=0&amp;BU76,"",Roster!$P$7)</f>
        <v/>
      </c>
      <c r="AI45" s="541"/>
      <c r="AJ45" s="541"/>
      <c r="AK45" s="541"/>
      <c r="AL45" s="541"/>
      <c r="AM45" s="541"/>
      <c r="AN45" s="541"/>
      <c r="AO45" s="541"/>
      <c r="AP45" s="541"/>
      <c r="AQ45" s="541"/>
      <c r="AR45" s="562"/>
      <c r="AS45" s="203"/>
      <c r="AT45" s="30"/>
      <c r="AU45" s="445"/>
      <c r="AV45" s="196"/>
      <c r="AW45" s="561" t="str">
        <f>IF(Roster!$P$8=0&amp;CJ86,"",Roster!$P$8)</f>
        <v/>
      </c>
      <c r="AX45" s="541"/>
      <c r="AY45" s="541"/>
      <c r="AZ45" s="541"/>
      <c r="BA45" s="541"/>
      <c r="BB45" s="541"/>
      <c r="BC45" s="541"/>
      <c r="BD45" s="541"/>
      <c r="BE45" s="541"/>
      <c r="BF45" s="541"/>
      <c r="BG45" s="562"/>
      <c r="BH45" s="203"/>
    </row>
    <row r="46" spans="1:60" s="31" customFormat="1" ht="11.25" customHeight="1" x14ac:dyDescent="0.2">
      <c r="A46" s="30"/>
      <c r="B46" s="194" t="str">
        <f>IF(Roster!$AO$1=0,"",Roster!$AO$1)</f>
        <v>COST</v>
      </c>
      <c r="C46" s="195"/>
      <c r="D46" s="563"/>
      <c r="E46" s="564"/>
      <c r="F46" s="564"/>
      <c r="G46" s="564"/>
      <c r="H46" s="564"/>
      <c r="I46" s="564"/>
      <c r="J46" s="564"/>
      <c r="K46" s="564"/>
      <c r="L46" s="564"/>
      <c r="M46" s="564"/>
      <c r="N46" s="562"/>
      <c r="O46" s="206"/>
      <c r="P46" s="30"/>
      <c r="Q46" s="194" t="str">
        <f>IF(Roster!$AO$1=0,"",Roster!$AO$1)</f>
        <v>COST</v>
      </c>
      <c r="R46" s="195"/>
      <c r="S46" s="563"/>
      <c r="T46" s="564"/>
      <c r="U46" s="564"/>
      <c r="V46" s="564"/>
      <c r="W46" s="564"/>
      <c r="X46" s="564"/>
      <c r="Y46" s="564"/>
      <c r="Z46" s="564"/>
      <c r="AA46" s="564"/>
      <c r="AB46" s="564"/>
      <c r="AC46" s="562"/>
      <c r="AD46" s="206"/>
      <c r="AE46" s="30"/>
      <c r="AF46" s="194" t="str">
        <f>IF(Roster!$AO$1=0,"",Roster!$AO$1)</f>
        <v>COST</v>
      </c>
      <c r="AG46" s="195"/>
      <c r="AH46" s="563"/>
      <c r="AI46" s="564"/>
      <c r="AJ46" s="564"/>
      <c r="AK46" s="564"/>
      <c r="AL46" s="564"/>
      <c r="AM46" s="564"/>
      <c r="AN46" s="564"/>
      <c r="AO46" s="564"/>
      <c r="AP46" s="564"/>
      <c r="AQ46" s="564"/>
      <c r="AR46" s="562"/>
      <c r="AS46" s="206"/>
      <c r="AT46" s="30"/>
      <c r="AU46" s="194" t="str">
        <f>IF(Roster!$AO$1=0,"",Roster!$AO$1)</f>
        <v>COST</v>
      </c>
      <c r="AV46" s="195"/>
      <c r="AW46" s="563"/>
      <c r="AX46" s="564"/>
      <c r="AY46" s="564"/>
      <c r="AZ46" s="564"/>
      <c r="BA46" s="564"/>
      <c r="BB46" s="564"/>
      <c r="BC46" s="564"/>
      <c r="BD46" s="564"/>
      <c r="BE46" s="564"/>
      <c r="BF46" s="564"/>
      <c r="BG46" s="562"/>
      <c r="BH46" s="206"/>
    </row>
    <row r="47" spans="1:60" s="31" customFormat="1" ht="34.5" customHeight="1" x14ac:dyDescent="0.2">
      <c r="A47" s="30"/>
      <c r="B47" s="208" t="str">
        <f>IF(Roster!$AO$5=0,"",Roster!$AO$5)</f>
        <v/>
      </c>
      <c r="C47" s="209"/>
      <c r="D47" s="565"/>
      <c r="E47" s="566"/>
      <c r="F47" s="566"/>
      <c r="G47" s="566"/>
      <c r="H47" s="566"/>
      <c r="I47" s="566"/>
      <c r="J47" s="566"/>
      <c r="K47" s="566"/>
      <c r="L47" s="566"/>
      <c r="M47" s="566"/>
      <c r="N47" s="567"/>
      <c r="O47" s="206"/>
      <c r="P47" s="30"/>
      <c r="Q47" s="208" t="str">
        <f>IF(Roster!$AO$6=0,"",Roster!$AO$6)</f>
        <v/>
      </c>
      <c r="R47" s="209"/>
      <c r="S47" s="565"/>
      <c r="T47" s="566"/>
      <c r="U47" s="566"/>
      <c r="V47" s="566"/>
      <c r="W47" s="566"/>
      <c r="X47" s="566"/>
      <c r="Y47" s="566"/>
      <c r="Z47" s="566"/>
      <c r="AA47" s="566"/>
      <c r="AB47" s="566"/>
      <c r="AC47" s="567"/>
      <c r="AD47" s="206"/>
      <c r="AE47" s="30"/>
      <c r="AF47" s="208" t="str">
        <f>IF(Roster!$AO$7=0,"",Roster!$AO$7)</f>
        <v/>
      </c>
      <c r="AG47" s="209"/>
      <c r="AH47" s="565"/>
      <c r="AI47" s="566"/>
      <c r="AJ47" s="566"/>
      <c r="AK47" s="566"/>
      <c r="AL47" s="566"/>
      <c r="AM47" s="566"/>
      <c r="AN47" s="566"/>
      <c r="AO47" s="566"/>
      <c r="AP47" s="566"/>
      <c r="AQ47" s="566"/>
      <c r="AR47" s="567"/>
      <c r="AS47" s="206"/>
      <c r="AT47" s="30"/>
      <c r="AU47" s="208" t="str">
        <f>IF(Roster!$AO$8=0,"",Roster!$AO$8)</f>
        <v/>
      </c>
      <c r="AV47" s="209"/>
      <c r="AW47" s="565"/>
      <c r="AX47" s="566"/>
      <c r="AY47" s="566"/>
      <c r="AZ47" s="566"/>
      <c r="BA47" s="566"/>
      <c r="BB47" s="566"/>
      <c r="BC47" s="566"/>
      <c r="BD47" s="566"/>
      <c r="BE47" s="566"/>
      <c r="BF47" s="566"/>
      <c r="BG47" s="567"/>
      <c r="BH47" s="206"/>
    </row>
    <row r="48" spans="1:60" s="31" customFormat="1" ht="4.5" customHeight="1" x14ac:dyDescent="0.2">
      <c r="A48" s="30"/>
      <c r="B48" s="573"/>
      <c r="C48" s="375"/>
      <c r="D48" s="375"/>
      <c r="E48" s="375"/>
      <c r="F48" s="375"/>
      <c r="G48" s="375"/>
      <c r="H48" s="375"/>
      <c r="I48" s="375"/>
      <c r="J48" s="375"/>
      <c r="K48" s="375"/>
      <c r="L48" s="375"/>
      <c r="M48" s="375"/>
      <c r="N48" s="376"/>
      <c r="O48" s="210"/>
      <c r="P48" s="30"/>
      <c r="Q48" s="573"/>
      <c r="R48" s="375"/>
      <c r="S48" s="375"/>
      <c r="T48" s="375"/>
      <c r="U48" s="375"/>
      <c r="V48" s="375"/>
      <c r="W48" s="375"/>
      <c r="X48" s="375"/>
      <c r="Y48" s="375"/>
      <c r="Z48" s="375"/>
      <c r="AA48" s="375"/>
      <c r="AB48" s="375"/>
      <c r="AC48" s="376"/>
      <c r="AD48" s="210"/>
      <c r="AE48" s="30"/>
      <c r="AF48" s="573"/>
      <c r="AG48" s="375"/>
      <c r="AH48" s="375"/>
      <c r="AI48" s="375"/>
      <c r="AJ48" s="375"/>
      <c r="AK48" s="375"/>
      <c r="AL48" s="375"/>
      <c r="AM48" s="375"/>
      <c r="AN48" s="375"/>
      <c r="AO48" s="375"/>
      <c r="AP48" s="375"/>
      <c r="AQ48" s="375"/>
      <c r="AR48" s="376"/>
      <c r="AS48" s="210"/>
      <c r="AT48" s="30"/>
      <c r="AU48" s="573"/>
      <c r="AV48" s="375"/>
      <c r="AW48" s="375"/>
      <c r="AX48" s="375"/>
      <c r="AY48" s="375"/>
      <c r="AZ48" s="375"/>
      <c r="BA48" s="375"/>
      <c r="BB48" s="375"/>
      <c r="BC48" s="375"/>
      <c r="BD48" s="375"/>
      <c r="BE48" s="375"/>
      <c r="BF48" s="375"/>
      <c r="BG48" s="376"/>
      <c r="BH48" s="210"/>
    </row>
    <row r="49" spans="1:60" s="31" customFormat="1" ht="11.2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x14ac:dyDescent="0.2">
      <c r="A50" s="30"/>
      <c r="B50" s="574" t="str">
        <f>IF(Roster!$A$9=0,"","#"&amp;Roster!$A$9)</f>
        <v>#8</v>
      </c>
      <c r="C50" s="188"/>
      <c r="D50" s="188"/>
      <c r="E50" s="188"/>
      <c r="F50" s="188"/>
      <c r="G50" s="188"/>
      <c r="H50" s="188"/>
      <c r="I50" s="188"/>
      <c r="J50" s="188"/>
      <c r="K50" s="188"/>
      <c r="L50" s="188"/>
      <c r="M50" s="188"/>
      <c r="N50" s="188"/>
      <c r="O50" s="189"/>
      <c r="P50" s="30"/>
      <c r="Q50" s="574" t="str">
        <f>IF(Roster!$A$10=0,"","#"&amp;Roster!$A$10)</f>
        <v>#9</v>
      </c>
      <c r="R50" s="188"/>
      <c r="S50" s="188"/>
      <c r="T50" s="188"/>
      <c r="U50" s="188"/>
      <c r="V50" s="188"/>
      <c r="W50" s="188"/>
      <c r="X50" s="188"/>
      <c r="Y50" s="188"/>
      <c r="Z50" s="188"/>
      <c r="AA50" s="188"/>
      <c r="AB50" s="188"/>
      <c r="AC50" s="188"/>
      <c r="AD50" s="189"/>
      <c r="AE50" s="30"/>
      <c r="AF50" s="574" t="str">
        <f>IF(Roster!$A$11=0,"","#"&amp;Roster!$A$11)</f>
        <v>#10</v>
      </c>
      <c r="AG50" s="188"/>
      <c r="AH50" s="188"/>
      <c r="AI50" s="188"/>
      <c r="AJ50" s="188"/>
      <c r="AK50" s="188"/>
      <c r="AL50" s="188"/>
      <c r="AM50" s="188"/>
      <c r="AN50" s="188"/>
      <c r="AO50" s="188"/>
      <c r="AP50" s="188"/>
      <c r="AQ50" s="188"/>
      <c r="AR50" s="188"/>
      <c r="AS50" s="189"/>
      <c r="AT50" s="30"/>
      <c r="AU50" s="574" t="str">
        <f>IF(Roster!$A$12=0,"","#"&amp;Roster!$A$12)</f>
        <v>#11</v>
      </c>
      <c r="AV50" s="188"/>
      <c r="AW50" s="188"/>
      <c r="AX50" s="188"/>
      <c r="AY50" s="188"/>
      <c r="AZ50" s="188"/>
      <c r="BA50" s="188"/>
      <c r="BB50" s="188"/>
      <c r="BC50" s="188"/>
      <c r="BD50" s="188"/>
      <c r="BE50" s="188"/>
      <c r="BF50" s="188"/>
      <c r="BG50" s="188"/>
      <c r="BH50" s="189"/>
    </row>
    <row r="51" spans="1:60" s="31" customFormat="1" ht="15" customHeight="1" x14ac:dyDescent="0.25">
      <c r="A51" s="30"/>
      <c r="B51" s="575"/>
      <c r="C51" s="560" t="str">
        <f>IF(Roster!$B$9=0,"",Roster!$B$9)</f>
        <v/>
      </c>
      <c r="D51" s="484"/>
      <c r="E51" s="484"/>
      <c r="F51" s="484"/>
      <c r="G51" s="484"/>
      <c r="H51" s="484"/>
      <c r="I51" s="484"/>
      <c r="J51" s="484"/>
      <c r="K51" s="484"/>
      <c r="L51" s="484"/>
      <c r="M51" s="484"/>
      <c r="N51" s="485"/>
      <c r="O51" s="190"/>
      <c r="P51" s="30"/>
      <c r="Q51" s="575"/>
      <c r="R51" s="560" t="str">
        <f>IF(Roster!$B$10=0,"",Roster!$B$10)</f>
        <v/>
      </c>
      <c r="S51" s="484"/>
      <c r="T51" s="484"/>
      <c r="U51" s="484"/>
      <c r="V51" s="484"/>
      <c r="W51" s="484"/>
      <c r="X51" s="484"/>
      <c r="Y51" s="484"/>
      <c r="Z51" s="484"/>
      <c r="AA51" s="484"/>
      <c r="AB51" s="484"/>
      <c r="AC51" s="485"/>
      <c r="AD51" s="190"/>
      <c r="AE51" s="30"/>
      <c r="AF51" s="575"/>
      <c r="AG51" s="560" t="str">
        <f>IF(Roster!$B$11=0,"",Roster!$B$11)</f>
        <v/>
      </c>
      <c r="AH51" s="484"/>
      <c r="AI51" s="484"/>
      <c r="AJ51" s="484"/>
      <c r="AK51" s="484"/>
      <c r="AL51" s="484"/>
      <c r="AM51" s="484"/>
      <c r="AN51" s="484"/>
      <c r="AO51" s="484"/>
      <c r="AP51" s="484"/>
      <c r="AQ51" s="484"/>
      <c r="AR51" s="485"/>
      <c r="AS51" s="190"/>
      <c r="AT51" s="30"/>
      <c r="AU51" s="575"/>
      <c r="AV51" s="560" t="str">
        <f>IF(Roster!$B$12=0,"",Roster!$B$12)</f>
        <v/>
      </c>
      <c r="AW51" s="484"/>
      <c r="AX51" s="484"/>
      <c r="AY51" s="484"/>
      <c r="AZ51" s="484"/>
      <c r="BA51" s="484"/>
      <c r="BB51" s="484"/>
      <c r="BC51" s="484"/>
      <c r="BD51" s="484"/>
      <c r="BE51" s="484"/>
      <c r="BF51" s="484"/>
      <c r="BG51" s="485"/>
      <c r="BH51" s="190"/>
    </row>
    <row r="52" spans="1:60" s="31" customFormat="1" ht="11.25" customHeight="1" x14ac:dyDescent="0.2">
      <c r="A52" s="30"/>
      <c r="B52" s="576"/>
      <c r="C52" s="577" t="str">
        <f>IF(Roster!$D$9=0,"",Roster!$D$9)</f>
        <v/>
      </c>
      <c r="D52" s="484"/>
      <c r="E52" s="484"/>
      <c r="F52" s="484"/>
      <c r="G52" s="484"/>
      <c r="H52" s="484"/>
      <c r="I52" s="484"/>
      <c r="J52" s="484"/>
      <c r="K52" s="484"/>
      <c r="L52" s="484"/>
      <c r="M52" s="484"/>
      <c r="N52" s="485"/>
      <c r="O52" s="191"/>
      <c r="P52" s="30"/>
      <c r="Q52" s="576"/>
      <c r="R52" s="577" t="str">
        <f>IF(Roster!$D$10=0,"",Roster!$D$10)</f>
        <v/>
      </c>
      <c r="S52" s="484"/>
      <c r="T52" s="484"/>
      <c r="U52" s="484"/>
      <c r="V52" s="484"/>
      <c r="W52" s="484"/>
      <c r="X52" s="484"/>
      <c r="Y52" s="484"/>
      <c r="Z52" s="484"/>
      <c r="AA52" s="484"/>
      <c r="AB52" s="484"/>
      <c r="AC52" s="485"/>
      <c r="AD52" s="191"/>
      <c r="AE52" s="30"/>
      <c r="AF52" s="576"/>
      <c r="AG52" s="577" t="str">
        <f>IF(Roster!$D$11=0,"",Roster!$D$11)</f>
        <v/>
      </c>
      <c r="AH52" s="484"/>
      <c r="AI52" s="484"/>
      <c r="AJ52" s="484"/>
      <c r="AK52" s="484"/>
      <c r="AL52" s="484"/>
      <c r="AM52" s="484"/>
      <c r="AN52" s="484"/>
      <c r="AO52" s="484"/>
      <c r="AP52" s="484"/>
      <c r="AQ52" s="484"/>
      <c r="AR52" s="485"/>
      <c r="AS52" s="191"/>
      <c r="AT52" s="30"/>
      <c r="AU52" s="576"/>
      <c r="AV52" s="577" t="str">
        <f>IF(Roster!$D$12=0,"",Roster!$D$12)</f>
        <v/>
      </c>
      <c r="AW52" s="484"/>
      <c r="AX52" s="484"/>
      <c r="AY52" s="484"/>
      <c r="AZ52" s="484"/>
      <c r="BA52" s="484"/>
      <c r="BB52" s="484"/>
      <c r="BC52" s="484"/>
      <c r="BD52" s="484"/>
      <c r="BE52" s="484"/>
      <c r="BF52" s="484"/>
      <c r="BG52" s="485"/>
      <c r="BH52" s="191"/>
    </row>
    <row r="53" spans="1:60" s="31" customFormat="1" ht="11.25" customHeight="1" x14ac:dyDescent="0.2">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x14ac:dyDescent="0.2">
      <c r="A54" s="30"/>
      <c r="B54" s="197" t="str">
        <f>IF(Roster!$K$9=0,"",Roster!$K$9)</f>
        <v/>
      </c>
      <c r="C54" s="195"/>
      <c r="D54" s="578"/>
      <c r="E54" s="579"/>
      <c r="F54" s="579"/>
      <c r="G54" s="579"/>
      <c r="H54" s="579"/>
      <c r="I54" s="579"/>
      <c r="J54" s="579"/>
      <c r="K54" s="579"/>
      <c r="L54" s="579"/>
      <c r="M54" s="579"/>
      <c r="N54" s="580"/>
      <c r="O54" s="190"/>
      <c r="P54" s="30"/>
      <c r="Q54" s="197" t="str">
        <f>IF(Roster!$K$10=0,"",Roster!$K$10)</f>
        <v/>
      </c>
      <c r="R54" s="195"/>
      <c r="S54" s="578"/>
      <c r="T54" s="579"/>
      <c r="U54" s="579"/>
      <c r="V54" s="579"/>
      <c r="W54" s="579"/>
      <c r="X54" s="579"/>
      <c r="Y54" s="579"/>
      <c r="Z54" s="579"/>
      <c r="AA54" s="579"/>
      <c r="AB54" s="579"/>
      <c r="AC54" s="580"/>
      <c r="AD54" s="190"/>
      <c r="AE54" s="30"/>
      <c r="AF54" s="197" t="str">
        <f>IF(Roster!$K$11=0,"",Roster!$K$11)</f>
        <v/>
      </c>
      <c r="AG54" s="195"/>
      <c r="AH54" s="578"/>
      <c r="AI54" s="579"/>
      <c r="AJ54" s="579"/>
      <c r="AK54" s="579"/>
      <c r="AL54" s="579"/>
      <c r="AM54" s="579"/>
      <c r="AN54" s="579"/>
      <c r="AO54" s="579"/>
      <c r="AP54" s="579"/>
      <c r="AQ54" s="579"/>
      <c r="AR54" s="580"/>
      <c r="AS54" s="190"/>
      <c r="AT54" s="30"/>
      <c r="AU54" s="197" t="str">
        <f>IF(Roster!$K$12=0,"",Roster!$K$12)</f>
        <v/>
      </c>
      <c r="AV54" s="195"/>
      <c r="AW54" s="578"/>
      <c r="AX54" s="579"/>
      <c r="AY54" s="579"/>
      <c r="AZ54" s="579"/>
      <c r="BA54" s="579"/>
      <c r="BB54" s="579"/>
      <c r="BC54" s="579"/>
      <c r="BD54" s="579"/>
      <c r="BE54" s="579"/>
      <c r="BF54" s="579"/>
      <c r="BG54" s="580"/>
      <c r="BH54" s="190"/>
    </row>
    <row r="55" spans="1:60" s="31" customFormat="1" ht="11.25" customHeight="1" x14ac:dyDescent="0.2">
      <c r="A55" s="30"/>
      <c r="B55" s="194" t="str">
        <f>IF(Roster!$L$1=0,"",Roster!$L$1)</f>
        <v>ST</v>
      </c>
      <c r="C55" s="195"/>
      <c r="D55" s="581"/>
      <c r="E55" s="582"/>
      <c r="F55" s="582"/>
      <c r="G55" s="582"/>
      <c r="H55" s="582"/>
      <c r="I55" s="582"/>
      <c r="J55" s="582"/>
      <c r="K55" s="582"/>
      <c r="L55" s="582"/>
      <c r="M55" s="582"/>
      <c r="N55" s="583"/>
      <c r="O55" s="190"/>
      <c r="P55" s="30"/>
      <c r="Q55" s="194" t="str">
        <f>IF(Roster!$L$1=0,"",Roster!$L$1)</f>
        <v>ST</v>
      </c>
      <c r="R55" s="195"/>
      <c r="S55" s="581"/>
      <c r="T55" s="582"/>
      <c r="U55" s="582"/>
      <c r="V55" s="582"/>
      <c r="W55" s="582"/>
      <c r="X55" s="582"/>
      <c r="Y55" s="582"/>
      <c r="Z55" s="582"/>
      <c r="AA55" s="582"/>
      <c r="AB55" s="582"/>
      <c r="AC55" s="583"/>
      <c r="AD55" s="190"/>
      <c r="AE55" s="30"/>
      <c r="AF55" s="194" t="str">
        <f>IF(Roster!$L$1=0,"",Roster!$L$1)</f>
        <v>ST</v>
      </c>
      <c r="AG55" s="195"/>
      <c r="AH55" s="581"/>
      <c r="AI55" s="582"/>
      <c r="AJ55" s="582"/>
      <c r="AK55" s="582"/>
      <c r="AL55" s="582"/>
      <c r="AM55" s="582"/>
      <c r="AN55" s="582"/>
      <c r="AO55" s="582"/>
      <c r="AP55" s="582"/>
      <c r="AQ55" s="582"/>
      <c r="AR55" s="583"/>
      <c r="AS55" s="190"/>
      <c r="AT55" s="30"/>
      <c r="AU55" s="194" t="str">
        <f>IF(Roster!$L$1=0,"",Roster!$L$1)</f>
        <v>ST</v>
      </c>
      <c r="AV55" s="195"/>
      <c r="AW55" s="581"/>
      <c r="AX55" s="582"/>
      <c r="AY55" s="582"/>
      <c r="AZ55" s="582"/>
      <c r="BA55" s="582"/>
      <c r="BB55" s="582"/>
      <c r="BC55" s="582"/>
      <c r="BD55" s="582"/>
      <c r="BE55" s="582"/>
      <c r="BF55" s="582"/>
      <c r="BG55" s="583"/>
      <c r="BH55" s="190"/>
    </row>
    <row r="56" spans="1:60" s="31" customFormat="1" ht="37.5" customHeight="1" x14ac:dyDescent="0.2">
      <c r="A56" s="30"/>
      <c r="B56" s="197" t="str">
        <f>IF(Roster!$L$9=0,"",Roster!$L$9)</f>
        <v/>
      </c>
      <c r="C56" s="195"/>
      <c r="D56" s="581"/>
      <c r="E56" s="582"/>
      <c r="F56" s="582"/>
      <c r="G56" s="582"/>
      <c r="H56" s="582"/>
      <c r="I56" s="582"/>
      <c r="J56" s="582"/>
      <c r="K56" s="582"/>
      <c r="L56" s="582"/>
      <c r="M56" s="582"/>
      <c r="N56" s="583"/>
      <c r="O56" s="190"/>
      <c r="P56" s="30"/>
      <c r="Q56" s="197" t="str">
        <f>IF(Roster!$L$10=0,"",Roster!$L$10)</f>
        <v/>
      </c>
      <c r="R56" s="195"/>
      <c r="S56" s="581"/>
      <c r="T56" s="582"/>
      <c r="U56" s="582"/>
      <c r="V56" s="582"/>
      <c r="W56" s="582"/>
      <c r="X56" s="582"/>
      <c r="Y56" s="582"/>
      <c r="Z56" s="582"/>
      <c r="AA56" s="582"/>
      <c r="AB56" s="582"/>
      <c r="AC56" s="583"/>
      <c r="AD56" s="190"/>
      <c r="AE56" s="30"/>
      <c r="AF56" s="197" t="str">
        <f>IF(Roster!$L$11=0,"",Roster!$L$11)</f>
        <v/>
      </c>
      <c r="AG56" s="195"/>
      <c r="AH56" s="581"/>
      <c r="AI56" s="582"/>
      <c r="AJ56" s="582"/>
      <c r="AK56" s="582"/>
      <c r="AL56" s="582"/>
      <c r="AM56" s="582"/>
      <c r="AN56" s="582"/>
      <c r="AO56" s="582"/>
      <c r="AP56" s="582"/>
      <c r="AQ56" s="582"/>
      <c r="AR56" s="583"/>
      <c r="AS56" s="190"/>
      <c r="AT56" s="30"/>
      <c r="AU56" s="197" t="str">
        <f>IF(Roster!$L$12=0,"",Roster!$L$12)</f>
        <v/>
      </c>
      <c r="AV56" s="195"/>
      <c r="AW56" s="581"/>
      <c r="AX56" s="582"/>
      <c r="AY56" s="582"/>
      <c r="AZ56" s="582"/>
      <c r="BA56" s="582"/>
      <c r="BB56" s="582"/>
      <c r="BC56" s="582"/>
      <c r="BD56" s="582"/>
      <c r="BE56" s="582"/>
      <c r="BF56" s="582"/>
      <c r="BG56" s="583"/>
      <c r="BH56" s="190"/>
    </row>
    <row r="57" spans="1:60" s="31" customFormat="1" ht="11.25" customHeight="1" x14ac:dyDescent="0.2">
      <c r="A57" s="30"/>
      <c r="B57" s="194" t="str">
        <f>IF(Roster!$M$1=0,"",Roster!$M$1)</f>
        <v>AG</v>
      </c>
      <c r="C57" s="195"/>
      <c r="D57" s="581"/>
      <c r="E57" s="582"/>
      <c r="F57" s="582"/>
      <c r="G57" s="582"/>
      <c r="H57" s="582"/>
      <c r="I57" s="582"/>
      <c r="J57" s="582"/>
      <c r="K57" s="582"/>
      <c r="L57" s="582"/>
      <c r="M57" s="582"/>
      <c r="N57" s="583"/>
      <c r="O57" s="190"/>
      <c r="P57" s="30"/>
      <c r="Q57" s="194" t="str">
        <f>IF(Roster!$M$1=0,"",Roster!$M$1)</f>
        <v>AG</v>
      </c>
      <c r="R57" s="195"/>
      <c r="S57" s="581"/>
      <c r="T57" s="582"/>
      <c r="U57" s="582"/>
      <c r="V57" s="582"/>
      <c r="W57" s="582"/>
      <c r="X57" s="582"/>
      <c r="Y57" s="582"/>
      <c r="Z57" s="582"/>
      <c r="AA57" s="582"/>
      <c r="AB57" s="582"/>
      <c r="AC57" s="583"/>
      <c r="AD57" s="190"/>
      <c r="AE57" s="30"/>
      <c r="AF57" s="194" t="str">
        <f>IF(Roster!$M$1=0,"",Roster!$M$1)</f>
        <v>AG</v>
      </c>
      <c r="AG57" s="195"/>
      <c r="AH57" s="581"/>
      <c r="AI57" s="582"/>
      <c r="AJ57" s="582"/>
      <c r="AK57" s="582"/>
      <c r="AL57" s="582"/>
      <c r="AM57" s="582"/>
      <c r="AN57" s="582"/>
      <c r="AO57" s="582"/>
      <c r="AP57" s="582"/>
      <c r="AQ57" s="582"/>
      <c r="AR57" s="583"/>
      <c r="AS57" s="190"/>
      <c r="AT57" s="30"/>
      <c r="AU57" s="194" t="str">
        <f>IF(Roster!$M$1=0,"",Roster!$M$1)</f>
        <v>AG</v>
      </c>
      <c r="AV57" s="195"/>
      <c r="AW57" s="581"/>
      <c r="AX57" s="582"/>
      <c r="AY57" s="582"/>
      <c r="AZ57" s="582"/>
      <c r="BA57" s="582"/>
      <c r="BB57" s="582"/>
      <c r="BC57" s="582"/>
      <c r="BD57" s="582"/>
      <c r="BE57" s="582"/>
      <c r="BF57" s="582"/>
      <c r="BG57" s="583"/>
      <c r="BH57" s="190"/>
    </row>
    <row r="58" spans="1:60" s="31" customFormat="1" ht="37.5" customHeight="1" x14ac:dyDescent="0.2">
      <c r="A58" s="30"/>
      <c r="B58" s="197" t="str">
        <f>IF(Roster!$M$9=0&amp;"+","",Roster!$M$9)</f>
        <v/>
      </c>
      <c r="C58" s="195"/>
      <c r="D58" s="581"/>
      <c r="E58" s="582"/>
      <c r="F58" s="582"/>
      <c r="G58" s="582"/>
      <c r="H58" s="582"/>
      <c r="I58" s="582"/>
      <c r="J58" s="582"/>
      <c r="K58" s="582"/>
      <c r="L58" s="582"/>
      <c r="M58" s="582"/>
      <c r="N58" s="583"/>
      <c r="O58" s="190"/>
      <c r="P58" s="30"/>
      <c r="Q58" s="197" t="str">
        <f>IF(Roster!$M$10=0&amp;"+","",Roster!$M$10)</f>
        <v/>
      </c>
      <c r="R58" s="195"/>
      <c r="S58" s="581"/>
      <c r="T58" s="582"/>
      <c r="U58" s="582"/>
      <c r="V58" s="582"/>
      <c r="W58" s="582"/>
      <c r="X58" s="582"/>
      <c r="Y58" s="582"/>
      <c r="Z58" s="582"/>
      <c r="AA58" s="582"/>
      <c r="AB58" s="582"/>
      <c r="AC58" s="583"/>
      <c r="AD58" s="190"/>
      <c r="AE58" s="30"/>
      <c r="AF58" s="197" t="str">
        <f>IF(Roster!$M$11=0&amp;"+","",Roster!$M$11)</f>
        <v/>
      </c>
      <c r="AG58" s="195"/>
      <c r="AH58" s="581"/>
      <c r="AI58" s="582"/>
      <c r="AJ58" s="582"/>
      <c r="AK58" s="582"/>
      <c r="AL58" s="582"/>
      <c r="AM58" s="582"/>
      <c r="AN58" s="582"/>
      <c r="AO58" s="582"/>
      <c r="AP58" s="582"/>
      <c r="AQ58" s="582"/>
      <c r="AR58" s="583"/>
      <c r="AS58" s="190"/>
      <c r="AT58" s="30"/>
      <c r="AU58" s="197" t="str">
        <f>IF(Roster!$M$12=0&amp;"+","",Roster!$M$12)</f>
        <v/>
      </c>
      <c r="AV58" s="195"/>
      <c r="AW58" s="581"/>
      <c r="AX58" s="582"/>
      <c r="AY58" s="582"/>
      <c r="AZ58" s="582"/>
      <c r="BA58" s="582"/>
      <c r="BB58" s="582"/>
      <c r="BC58" s="582"/>
      <c r="BD58" s="582"/>
      <c r="BE58" s="582"/>
      <c r="BF58" s="582"/>
      <c r="BG58" s="583"/>
      <c r="BH58" s="190"/>
    </row>
    <row r="59" spans="1:60" s="31" customFormat="1" ht="11.25" customHeight="1" x14ac:dyDescent="0.2">
      <c r="A59" s="30"/>
      <c r="B59" s="194" t="str">
        <f>IF(Roster!$N$1=0,"",Roster!$N$1)</f>
        <v>PA</v>
      </c>
      <c r="C59" s="195"/>
      <c r="D59" s="581"/>
      <c r="E59" s="582"/>
      <c r="F59" s="582"/>
      <c r="G59" s="582"/>
      <c r="H59" s="582"/>
      <c r="I59" s="582"/>
      <c r="J59" s="582"/>
      <c r="K59" s="582"/>
      <c r="L59" s="582"/>
      <c r="M59" s="582"/>
      <c r="N59" s="583"/>
      <c r="O59" s="199"/>
      <c r="P59" s="30"/>
      <c r="Q59" s="194" t="str">
        <f>IF(Roster!$N$1=0,"",Roster!$N$1)</f>
        <v>PA</v>
      </c>
      <c r="R59" s="195"/>
      <c r="S59" s="581"/>
      <c r="T59" s="582"/>
      <c r="U59" s="582"/>
      <c r="V59" s="582"/>
      <c r="W59" s="582"/>
      <c r="X59" s="582"/>
      <c r="Y59" s="582"/>
      <c r="Z59" s="582"/>
      <c r="AA59" s="582"/>
      <c r="AB59" s="582"/>
      <c r="AC59" s="583"/>
      <c r="AD59" s="199"/>
      <c r="AE59" s="30"/>
      <c r="AF59" s="194" t="str">
        <f>IF(Roster!$N$1=0,"",Roster!$N$1)</f>
        <v>PA</v>
      </c>
      <c r="AG59" s="195"/>
      <c r="AH59" s="581"/>
      <c r="AI59" s="582"/>
      <c r="AJ59" s="582"/>
      <c r="AK59" s="582"/>
      <c r="AL59" s="582"/>
      <c r="AM59" s="582"/>
      <c r="AN59" s="582"/>
      <c r="AO59" s="582"/>
      <c r="AP59" s="582"/>
      <c r="AQ59" s="582"/>
      <c r="AR59" s="583"/>
      <c r="AS59" s="199"/>
      <c r="AT59" s="30"/>
      <c r="AU59" s="194" t="str">
        <f>IF(Roster!$N$1=0,"",Roster!$N$1)</f>
        <v>PA</v>
      </c>
      <c r="AV59" s="195"/>
      <c r="AW59" s="581"/>
      <c r="AX59" s="582"/>
      <c r="AY59" s="582"/>
      <c r="AZ59" s="582"/>
      <c r="BA59" s="582"/>
      <c r="BB59" s="582"/>
      <c r="BC59" s="582"/>
      <c r="BD59" s="582"/>
      <c r="BE59" s="582"/>
      <c r="BF59" s="582"/>
      <c r="BG59" s="583"/>
      <c r="BH59" s="199"/>
    </row>
    <row r="60" spans="1:60" s="31" customFormat="1" ht="6" customHeight="1" x14ac:dyDescent="0.2">
      <c r="A60" s="30"/>
      <c r="B60" s="571" t="str">
        <f>IF(Roster!$N$9=0&amp;"+","",Roster!$N$9)</f>
        <v/>
      </c>
      <c r="C60" s="195"/>
      <c r="D60" s="584"/>
      <c r="E60" s="585"/>
      <c r="F60" s="585"/>
      <c r="G60" s="585"/>
      <c r="H60" s="585"/>
      <c r="I60" s="585"/>
      <c r="J60" s="585"/>
      <c r="K60" s="585"/>
      <c r="L60" s="585"/>
      <c r="M60" s="585"/>
      <c r="N60" s="586"/>
      <c r="O60" s="201"/>
      <c r="P60" s="30"/>
      <c r="Q60" s="571" t="str">
        <f>IF(Roster!$N$10=0&amp;"+","",Roster!$N$10)</f>
        <v/>
      </c>
      <c r="R60" s="195"/>
      <c r="S60" s="584"/>
      <c r="T60" s="585"/>
      <c r="U60" s="585"/>
      <c r="V60" s="585"/>
      <c r="W60" s="585"/>
      <c r="X60" s="585"/>
      <c r="Y60" s="585"/>
      <c r="Z60" s="585"/>
      <c r="AA60" s="585"/>
      <c r="AB60" s="585"/>
      <c r="AC60" s="586"/>
      <c r="AD60" s="201"/>
      <c r="AE60" s="30"/>
      <c r="AF60" s="571" t="str">
        <f>IF(Roster!$N$11=0&amp;"+","",Roster!$N$11)</f>
        <v/>
      </c>
      <c r="AG60" s="195"/>
      <c r="AH60" s="584"/>
      <c r="AI60" s="585"/>
      <c r="AJ60" s="585"/>
      <c r="AK60" s="585"/>
      <c r="AL60" s="585"/>
      <c r="AM60" s="585"/>
      <c r="AN60" s="585"/>
      <c r="AO60" s="585"/>
      <c r="AP60" s="585"/>
      <c r="AQ60" s="585"/>
      <c r="AR60" s="586"/>
      <c r="AS60" s="201"/>
      <c r="AT60" s="30"/>
      <c r="AU60" s="571" t="str">
        <f>IF(Roster!$N$12=0&amp;"+","",Roster!$N$12)</f>
        <v/>
      </c>
      <c r="AV60" s="195"/>
      <c r="AW60" s="584"/>
      <c r="AX60" s="585"/>
      <c r="AY60" s="585"/>
      <c r="AZ60" s="585"/>
      <c r="BA60" s="585"/>
      <c r="BB60" s="585"/>
      <c r="BC60" s="585"/>
      <c r="BD60" s="585"/>
      <c r="BE60" s="585"/>
      <c r="BF60" s="585"/>
      <c r="BG60" s="586"/>
      <c r="BH60" s="201"/>
    </row>
    <row r="61" spans="1:60" s="31" customFormat="1" ht="4.5" customHeight="1" x14ac:dyDescent="0.2">
      <c r="A61" s="30"/>
      <c r="B61" s="572"/>
      <c r="C61" s="193"/>
      <c r="D61" s="202"/>
      <c r="E61" s="200"/>
      <c r="F61" s="202"/>
      <c r="G61" s="200"/>
      <c r="H61" s="202"/>
      <c r="I61" s="200"/>
      <c r="J61" s="202"/>
      <c r="K61" s="200"/>
      <c r="L61" s="202"/>
      <c r="M61" s="200"/>
      <c r="N61" s="202"/>
      <c r="O61" s="201"/>
      <c r="P61" s="30"/>
      <c r="Q61" s="572"/>
      <c r="R61" s="193"/>
      <c r="S61" s="202"/>
      <c r="T61" s="200"/>
      <c r="U61" s="202"/>
      <c r="V61" s="200"/>
      <c r="W61" s="202"/>
      <c r="X61" s="200"/>
      <c r="Y61" s="202"/>
      <c r="Z61" s="200"/>
      <c r="AA61" s="202"/>
      <c r="AB61" s="200"/>
      <c r="AC61" s="202"/>
      <c r="AD61" s="201"/>
      <c r="AE61" s="30"/>
      <c r="AF61" s="572"/>
      <c r="AG61" s="193"/>
      <c r="AH61" s="202"/>
      <c r="AI61" s="200"/>
      <c r="AJ61" s="202"/>
      <c r="AK61" s="200"/>
      <c r="AL61" s="202"/>
      <c r="AM61" s="200"/>
      <c r="AN61" s="202"/>
      <c r="AO61" s="200"/>
      <c r="AP61" s="202"/>
      <c r="AQ61" s="200"/>
      <c r="AR61" s="202"/>
      <c r="AS61" s="201"/>
      <c r="AT61" s="30"/>
      <c r="AU61" s="572"/>
      <c r="AV61" s="193"/>
      <c r="AW61" s="202"/>
      <c r="AX61" s="200"/>
      <c r="AY61" s="202"/>
      <c r="AZ61" s="200"/>
      <c r="BA61" s="202"/>
      <c r="BB61" s="200"/>
      <c r="BC61" s="202"/>
      <c r="BD61" s="200"/>
      <c r="BE61" s="202"/>
      <c r="BF61" s="200"/>
      <c r="BG61" s="202"/>
      <c r="BH61" s="201"/>
    </row>
    <row r="62" spans="1:60" s="31" customFormat="1" ht="11.25" customHeight="1" x14ac:dyDescent="0.2">
      <c r="A62" s="30"/>
      <c r="B62" s="572"/>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72"/>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72"/>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72"/>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x14ac:dyDescent="0.2">
      <c r="A63" s="30"/>
      <c r="B63" s="572"/>
      <c r="C63" s="196"/>
      <c r="D63" s="235" t="str">
        <f>IF(Roster!$AD$9=0,"",Roster!$AD$9)</f>
        <v/>
      </c>
      <c r="E63" s="230"/>
      <c r="F63" s="235" t="str">
        <f>IF((SUM(H63,J63,L63))=0,"",(SUM(H63,J63,L63)))</f>
        <v/>
      </c>
      <c r="G63" s="230"/>
      <c r="H63" s="235" t="str">
        <f>IF(Roster!$AG$9=0,"",Roster!$AG$9)</f>
        <v/>
      </c>
      <c r="I63" s="230"/>
      <c r="J63" s="235" t="str">
        <f>IF(Roster!$AH$9=0,"",Roster!$AH$9)</f>
        <v/>
      </c>
      <c r="K63" s="230"/>
      <c r="L63" s="235" t="str">
        <f>IF(Roster!$AI$9=0,"",Roster!$AI$9)</f>
        <v/>
      </c>
      <c r="M63" s="230"/>
      <c r="N63" s="235" t="str">
        <f>IF(Roster!$AC$9=0,"",Roster!$AC$9)</f>
        <v/>
      </c>
      <c r="O63" s="201"/>
      <c r="P63" s="30"/>
      <c r="Q63" s="572"/>
      <c r="R63" s="196"/>
      <c r="S63" s="235" t="str">
        <f>IF(Roster!$AD$10=0,"",Roster!$AD$10)</f>
        <v/>
      </c>
      <c r="T63" s="230"/>
      <c r="U63" s="235" t="str">
        <f>IF((SUM(W63,Y63,AA63))=0,"",(SUM(W63,Y63,AA63)))</f>
        <v/>
      </c>
      <c r="V63" s="230"/>
      <c r="W63" s="235" t="str">
        <f>IF(Roster!$AG$10=0,"",Roster!$AG$10)</f>
        <v/>
      </c>
      <c r="X63" s="230"/>
      <c r="Y63" s="235" t="str">
        <f>IF(Roster!$AH$10=0,"",Roster!$AH$10)</f>
        <v/>
      </c>
      <c r="Z63" s="230"/>
      <c r="AA63" s="235" t="str">
        <f>IF(Roster!$AI$10=0,"",Roster!$AI$10)</f>
        <v/>
      </c>
      <c r="AB63" s="230"/>
      <c r="AC63" s="235" t="str">
        <f>IF(Roster!$AC$10=0,"",Roster!$AC$10)</f>
        <v/>
      </c>
      <c r="AD63" s="201"/>
      <c r="AE63" s="30"/>
      <c r="AF63" s="572"/>
      <c r="AG63" s="196"/>
      <c r="AH63" s="235" t="str">
        <f>IF(Roster!$AD$11=0,"",Roster!$AD$11)</f>
        <v/>
      </c>
      <c r="AI63" s="230"/>
      <c r="AJ63" s="235" t="str">
        <f>IF((SUM(AL63,AN63,AP63))=0,"",(SUM(AL63,AN63,AP63)))</f>
        <v/>
      </c>
      <c r="AK63" s="230"/>
      <c r="AL63" s="235" t="str">
        <f>IF(Roster!$AG$11=0,"",Roster!$AG$11)</f>
        <v/>
      </c>
      <c r="AM63" s="230"/>
      <c r="AN63" s="235" t="str">
        <f>IF(Roster!$AH$11=0,"",Roster!$AH$11)</f>
        <v/>
      </c>
      <c r="AO63" s="230"/>
      <c r="AP63" s="235" t="str">
        <f>IF(Roster!$AI$11=0,"",Roster!$AI$11)</f>
        <v/>
      </c>
      <c r="AQ63" s="230"/>
      <c r="AR63" s="235" t="str">
        <f>IF(Roster!$AC$11=0,"",Roster!$AC$11)</f>
        <v/>
      </c>
      <c r="AS63" s="201"/>
      <c r="AT63" s="30"/>
      <c r="AU63" s="572"/>
      <c r="AV63" s="196"/>
      <c r="AW63" s="235" t="str">
        <f>IF(Roster!$AD$12=0,"",Roster!$AD$12)</f>
        <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x14ac:dyDescent="0.2">
      <c r="A64" s="30"/>
      <c r="B64" s="445"/>
      <c r="C64" s="196"/>
      <c r="D64" s="231"/>
      <c r="E64" s="230"/>
      <c r="F64" s="231"/>
      <c r="G64" s="230"/>
      <c r="H64" s="231"/>
      <c r="I64" s="230"/>
      <c r="J64" s="231"/>
      <c r="K64" s="230"/>
      <c r="L64" s="231"/>
      <c r="M64" s="230"/>
      <c r="N64" s="231"/>
      <c r="O64" s="201"/>
      <c r="P64" s="30"/>
      <c r="Q64" s="445"/>
      <c r="R64" s="196"/>
      <c r="S64" s="231"/>
      <c r="T64" s="230"/>
      <c r="U64" s="231"/>
      <c r="V64" s="230"/>
      <c r="W64" s="231"/>
      <c r="X64" s="230"/>
      <c r="Y64" s="231"/>
      <c r="Z64" s="230"/>
      <c r="AA64" s="231"/>
      <c r="AB64" s="230"/>
      <c r="AC64" s="231"/>
      <c r="AD64" s="201"/>
      <c r="AE64" s="30"/>
      <c r="AF64" s="445"/>
      <c r="AG64" s="196"/>
      <c r="AH64" s="231"/>
      <c r="AI64" s="230"/>
      <c r="AJ64" s="231"/>
      <c r="AK64" s="230"/>
      <c r="AL64" s="231"/>
      <c r="AM64" s="230"/>
      <c r="AN64" s="231"/>
      <c r="AO64" s="230"/>
      <c r="AP64" s="231"/>
      <c r="AQ64" s="230"/>
      <c r="AR64" s="231"/>
      <c r="AS64" s="201"/>
      <c r="AT64" s="30"/>
      <c r="AU64" s="445"/>
      <c r="AV64" s="196"/>
      <c r="AW64" s="231"/>
      <c r="AX64" s="230"/>
      <c r="AY64" s="231"/>
      <c r="AZ64" s="230"/>
      <c r="BA64" s="231"/>
      <c r="BB64" s="230"/>
      <c r="BC64" s="231"/>
      <c r="BD64" s="230"/>
      <c r="BE64" s="231"/>
      <c r="BF64" s="230"/>
      <c r="BG64" s="231"/>
      <c r="BH64" s="201"/>
    </row>
    <row r="65" spans="1:60" s="31" customFormat="1" ht="11.25" customHeight="1" x14ac:dyDescent="0.2">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x14ac:dyDescent="0.2">
      <c r="A66" s="30"/>
      <c r="B66" s="571" t="str">
        <f>IF(Roster!$O$9=0&amp;"+","",Roster!$O$9)</f>
        <v/>
      </c>
      <c r="C66" s="196"/>
      <c r="D66" s="235" t="str">
        <f>IF(Roster!$AE$9=0,"",Roster!$AE$9)</f>
        <v/>
      </c>
      <c r="E66" s="230"/>
      <c r="F66" s="235" t="str">
        <f>IF(Roster!$AF$9=0,"",Roster!$AF$9)</f>
        <v/>
      </c>
      <c r="G66" s="230"/>
      <c r="H66" s="235" t="str">
        <f>IF(Roster!$AB$9=0,"",Roster!$AB$9)</f>
        <v/>
      </c>
      <c r="I66" s="230"/>
      <c r="J66" s="235" t="str">
        <f>IF(Roster!$AJ$9=0,"",Roster!$AJ$9)</f>
        <v/>
      </c>
      <c r="K66" s="230"/>
      <c r="L66" s="235" t="str">
        <f>IF(Roster!$AK$9=0,"",Roster!$AK$9)</f>
        <v/>
      </c>
      <c r="M66" s="230"/>
      <c r="N66" s="235" t="str">
        <f>IF(Roster!$AA$9=0,"",Roster!$AA$9)</f>
        <v/>
      </c>
      <c r="O66" s="203"/>
      <c r="P66" s="30"/>
      <c r="Q66" s="571" t="str">
        <f>IF(Roster!$O$10=0&amp;"+","",Roster!$O$10)</f>
        <v/>
      </c>
      <c r="R66" s="196"/>
      <c r="S66" s="235" t="str">
        <f>IF(Roster!$AE$10=0,"",Roster!$AE$10)</f>
        <v/>
      </c>
      <c r="T66" s="230"/>
      <c r="U66" s="235" t="str">
        <f>IF(Roster!$AF$10=0,"",Roster!$AF$10)</f>
        <v/>
      </c>
      <c r="V66" s="230"/>
      <c r="W66" s="235" t="str">
        <f>IF(Roster!$AB$10=0,"",Roster!$AB$10)</f>
        <v/>
      </c>
      <c r="X66" s="230"/>
      <c r="Y66" s="235" t="str">
        <f>IF(Roster!$AJ$10=0,"",Roster!$AJ$10)</f>
        <v/>
      </c>
      <c r="Z66" s="230"/>
      <c r="AA66" s="235" t="str">
        <f>IF(Roster!$AK$10=0,"",Roster!$AK$10)</f>
        <v/>
      </c>
      <c r="AB66" s="230"/>
      <c r="AC66" s="235" t="str">
        <f>IF(Roster!$AA$10=0,"",Roster!$AA$10)</f>
        <v/>
      </c>
      <c r="AD66" s="203"/>
      <c r="AE66" s="30"/>
      <c r="AF66" s="571" t="str">
        <f>IF(Roster!$O$11=0&amp;"+","",Roster!$O$11)</f>
        <v/>
      </c>
      <c r="AG66" s="196"/>
      <c r="AH66" s="235" t="str">
        <f>IF(Roster!$AE$11=0,"",Roster!$AE$11)</f>
        <v/>
      </c>
      <c r="AI66" s="230"/>
      <c r="AJ66" s="235" t="str">
        <f>IF(Roster!$AF$11=0,"",Roster!$AF$11)</f>
        <v/>
      </c>
      <c r="AK66" s="230"/>
      <c r="AL66" s="235" t="str">
        <f>IF(Roster!$AB$11=0,"",Roster!$AB$11)</f>
        <v/>
      </c>
      <c r="AM66" s="230"/>
      <c r="AN66" s="235" t="str">
        <f>IF(Roster!$AJ$11=0,"",Roster!$AJ$11)</f>
        <v/>
      </c>
      <c r="AO66" s="230"/>
      <c r="AP66" s="235" t="str">
        <f>IF(Roster!$AK$11=0,"",Roster!$AK$11)</f>
        <v/>
      </c>
      <c r="AQ66" s="230"/>
      <c r="AR66" s="235" t="str">
        <f>IF(Roster!$AA$11=0,"",Roster!$AA$11)</f>
        <v/>
      </c>
      <c r="AS66" s="203"/>
      <c r="AT66" s="30"/>
      <c r="AU66" s="571" t="str">
        <f>IF(Roster!$O$12=0&amp;"+","",Roster!$O$12)</f>
        <v/>
      </c>
      <c r="AV66" s="196"/>
      <c r="AW66" s="235" t="str">
        <f>IF(Roster!$AE$12=0,"",Roster!$AE$12)</f>
        <v/>
      </c>
      <c r="AX66" s="230"/>
      <c r="AY66" s="235" t="str">
        <f>IF(Roster!$AF$12=0,"",Roster!$AF$12)</f>
        <v/>
      </c>
      <c r="AZ66" s="230"/>
      <c r="BA66" s="235" t="str">
        <f>IF(Roster!$AB$12=0,"",Roster!$AB$12)</f>
        <v/>
      </c>
      <c r="BB66" s="230"/>
      <c r="BC66" s="235" t="str">
        <f>IF(Roster!$AJ$12=0,"",Roster!$AJ$12)</f>
        <v/>
      </c>
      <c r="BD66" s="230"/>
      <c r="BE66" s="235" t="str">
        <f>IF(Roster!$AK$12=0,"",Roster!$AK$12)</f>
        <v/>
      </c>
      <c r="BF66" s="230"/>
      <c r="BG66" s="235" t="str">
        <f>IF(Roster!$AA$12=0,"",Roster!$AA$12)</f>
        <v/>
      </c>
      <c r="BH66" s="203"/>
    </row>
    <row r="67" spans="1:60" s="31" customFormat="1" ht="4.5" customHeight="1" x14ac:dyDescent="0.2">
      <c r="A67" s="30"/>
      <c r="B67" s="572"/>
      <c r="C67" s="196"/>
      <c r="D67" s="230"/>
      <c r="E67" s="230"/>
      <c r="F67" s="230"/>
      <c r="G67" s="230"/>
      <c r="H67" s="230"/>
      <c r="I67" s="230"/>
      <c r="J67" s="230"/>
      <c r="K67" s="230"/>
      <c r="L67" s="230"/>
      <c r="M67" s="230"/>
      <c r="N67" s="233"/>
      <c r="O67" s="203"/>
      <c r="P67" s="30"/>
      <c r="Q67" s="572"/>
      <c r="R67" s="196"/>
      <c r="S67" s="230"/>
      <c r="T67" s="230"/>
      <c r="U67" s="230"/>
      <c r="V67" s="230"/>
      <c r="W67" s="230"/>
      <c r="X67" s="230"/>
      <c r="Y67" s="230"/>
      <c r="Z67" s="230"/>
      <c r="AA67" s="230"/>
      <c r="AB67" s="230"/>
      <c r="AC67" s="233"/>
      <c r="AD67" s="203"/>
      <c r="AE67" s="30"/>
      <c r="AF67" s="572"/>
      <c r="AG67" s="196"/>
      <c r="AH67" s="230"/>
      <c r="AI67" s="230"/>
      <c r="AJ67" s="230"/>
      <c r="AK67" s="230"/>
      <c r="AL67" s="230"/>
      <c r="AM67" s="230"/>
      <c r="AN67" s="230"/>
      <c r="AO67" s="230"/>
      <c r="AP67" s="230"/>
      <c r="AQ67" s="230"/>
      <c r="AR67" s="233"/>
      <c r="AS67" s="203"/>
      <c r="AT67" s="30"/>
      <c r="AU67" s="572"/>
      <c r="AV67" s="196"/>
      <c r="AW67" s="230"/>
      <c r="AX67" s="230"/>
      <c r="AY67" s="230"/>
      <c r="AZ67" s="230"/>
      <c r="BA67" s="230"/>
      <c r="BB67" s="230"/>
      <c r="BC67" s="230"/>
      <c r="BD67" s="230"/>
      <c r="BE67" s="230"/>
      <c r="BF67" s="230"/>
      <c r="BG67" s="233"/>
      <c r="BH67" s="203"/>
    </row>
    <row r="68" spans="1:60" s="31" customFormat="1" ht="11.25" customHeight="1" x14ac:dyDescent="0.2">
      <c r="A68" s="30"/>
      <c r="B68" s="572"/>
      <c r="C68" s="196"/>
      <c r="D68" s="568" t="str">
        <f>IF(Roster!$K$25="Italiano","ABILITÀ &amp; TRATTI",(IF(Roster!$K$25="Español","HABILIDADES Y RASGOS","SKILLS &amp; TRAITS")))</f>
        <v>SKILLS &amp; TRAITS</v>
      </c>
      <c r="E68" s="569"/>
      <c r="F68" s="569"/>
      <c r="G68" s="569"/>
      <c r="H68" s="569"/>
      <c r="I68" s="569"/>
      <c r="J68" s="569"/>
      <c r="K68" s="569"/>
      <c r="L68" s="569"/>
      <c r="M68" s="569"/>
      <c r="N68" s="570"/>
      <c r="O68" s="203"/>
      <c r="P68" s="30"/>
      <c r="Q68" s="572"/>
      <c r="R68" s="196"/>
      <c r="S68" s="568" t="str">
        <f>IF(Roster!$K$25="Italiano","ABILITÀ &amp; TRATTI",(IF(Roster!$K$25="Español","HABILIDADES Y RASGOS","SKILLS &amp; TRAITS")))</f>
        <v>SKILLS &amp; TRAITS</v>
      </c>
      <c r="T68" s="569"/>
      <c r="U68" s="569"/>
      <c r="V68" s="569"/>
      <c r="W68" s="569"/>
      <c r="X68" s="569"/>
      <c r="Y68" s="569"/>
      <c r="Z68" s="569"/>
      <c r="AA68" s="569"/>
      <c r="AB68" s="569"/>
      <c r="AC68" s="570"/>
      <c r="AD68" s="203"/>
      <c r="AE68" s="30"/>
      <c r="AF68" s="572"/>
      <c r="AG68" s="196"/>
      <c r="AH68" s="568" t="str">
        <f>IF(Roster!$K$25="Italiano","ABILITÀ &amp; TRATTI",(IF(Roster!$K$25="Español","HABILIDADES Y RASGOS","SKILLS &amp; TRAITS")))</f>
        <v>SKILLS &amp; TRAITS</v>
      </c>
      <c r="AI68" s="569"/>
      <c r="AJ68" s="569"/>
      <c r="AK68" s="569"/>
      <c r="AL68" s="569"/>
      <c r="AM68" s="569"/>
      <c r="AN68" s="569"/>
      <c r="AO68" s="569"/>
      <c r="AP68" s="569"/>
      <c r="AQ68" s="569"/>
      <c r="AR68" s="570"/>
      <c r="AS68" s="203"/>
      <c r="AT68" s="30"/>
      <c r="AU68" s="572"/>
      <c r="AV68" s="196"/>
      <c r="AW68" s="568" t="str">
        <f>IF(Roster!$K$25="Italiano","ABILITÀ &amp; TRATTI",(IF(Roster!$K$25="Español","HABILIDADES Y RASGOS","SKILLS &amp; TRAITS")))</f>
        <v>SKILLS &amp; TRAITS</v>
      </c>
      <c r="AX68" s="569"/>
      <c r="AY68" s="569"/>
      <c r="AZ68" s="569"/>
      <c r="BA68" s="569"/>
      <c r="BB68" s="569"/>
      <c r="BC68" s="569"/>
      <c r="BD68" s="569"/>
      <c r="BE68" s="569"/>
      <c r="BF68" s="569"/>
      <c r="BG68" s="570"/>
      <c r="BH68" s="203"/>
    </row>
    <row r="69" spans="1:60" s="31" customFormat="1" ht="6.75" customHeight="1" x14ac:dyDescent="0.2">
      <c r="A69" s="30"/>
      <c r="B69" s="445"/>
      <c r="C69" s="196"/>
      <c r="D69" s="561" t="str">
        <f>IF(Roster!$P$9=0&amp;AQ50,"",Roster!$P$9)</f>
        <v/>
      </c>
      <c r="E69" s="541"/>
      <c r="F69" s="541"/>
      <c r="G69" s="541"/>
      <c r="H69" s="541"/>
      <c r="I69" s="541"/>
      <c r="J69" s="541"/>
      <c r="K69" s="541"/>
      <c r="L69" s="541"/>
      <c r="M69" s="541"/>
      <c r="N69" s="562"/>
      <c r="O69" s="203"/>
      <c r="P69" s="30"/>
      <c r="Q69" s="445"/>
      <c r="R69" s="196"/>
      <c r="S69" s="561" t="str">
        <f>IF(Roster!$P$10=0&amp;BF50,"",Roster!$P$10)</f>
        <v/>
      </c>
      <c r="T69" s="541"/>
      <c r="U69" s="541"/>
      <c r="V69" s="541"/>
      <c r="W69" s="541"/>
      <c r="X69" s="541"/>
      <c r="Y69" s="541"/>
      <c r="Z69" s="541"/>
      <c r="AA69" s="541"/>
      <c r="AB69" s="541"/>
      <c r="AC69" s="562"/>
      <c r="AD69" s="203"/>
      <c r="AE69" s="30"/>
      <c r="AF69" s="445"/>
      <c r="AG69" s="196"/>
      <c r="AH69" s="561" t="str">
        <f>IF(Roster!$P$11=0&amp;BU50,"",Roster!$P$11)</f>
        <v/>
      </c>
      <c r="AI69" s="541"/>
      <c r="AJ69" s="541"/>
      <c r="AK69" s="541"/>
      <c r="AL69" s="541"/>
      <c r="AM69" s="541"/>
      <c r="AN69" s="541"/>
      <c r="AO69" s="541"/>
      <c r="AP69" s="541"/>
      <c r="AQ69" s="541"/>
      <c r="AR69" s="562"/>
      <c r="AS69" s="203"/>
      <c r="AT69" s="30"/>
      <c r="AU69" s="445"/>
      <c r="AV69" s="196"/>
      <c r="AW69" s="561" t="str">
        <f>IF(Roster!$P$12=0&amp;CJ50,"",Roster!$P$12)</f>
        <v/>
      </c>
      <c r="AX69" s="541"/>
      <c r="AY69" s="541"/>
      <c r="AZ69" s="541"/>
      <c r="BA69" s="541"/>
      <c r="BB69" s="541"/>
      <c r="BC69" s="541"/>
      <c r="BD69" s="541"/>
      <c r="BE69" s="541"/>
      <c r="BF69" s="541"/>
      <c r="BG69" s="562"/>
      <c r="BH69" s="203"/>
    </row>
    <row r="70" spans="1:60" s="31" customFormat="1" ht="11.25" customHeight="1" x14ac:dyDescent="0.2">
      <c r="A70" s="30"/>
      <c r="B70" s="194" t="str">
        <f>IF(Roster!$AO$1=0,"",Roster!$AO$1)</f>
        <v>COST</v>
      </c>
      <c r="C70" s="195"/>
      <c r="D70" s="563"/>
      <c r="E70" s="564"/>
      <c r="F70" s="564"/>
      <c r="G70" s="564"/>
      <c r="H70" s="564"/>
      <c r="I70" s="564"/>
      <c r="J70" s="564"/>
      <c r="K70" s="564"/>
      <c r="L70" s="564"/>
      <c r="M70" s="564"/>
      <c r="N70" s="562"/>
      <c r="O70" s="206"/>
      <c r="P70" s="30"/>
      <c r="Q70" s="194" t="str">
        <f>IF(Roster!$AO$1=0,"",Roster!$AO$1)</f>
        <v>COST</v>
      </c>
      <c r="R70" s="195"/>
      <c r="S70" s="563"/>
      <c r="T70" s="564"/>
      <c r="U70" s="564"/>
      <c r="V70" s="564"/>
      <c r="W70" s="564"/>
      <c r="X70" s="564"/>
      <c r="Y70" s="564"/>
      <c r="Z70" s="564"/>
      <c r="AA70" s="564"/>
      <c r="AB70" s="564"/>
      <c r="AC70" s="562"/>
      <c r="AD70" s="206"/>
      <c r="AE70" s="30"/>
      <c r="AF70" s="194" t="str">
        <f>IF(Roster!$AO$1=0,"",Roster!$AO$1)</f>
        <v>COST</v>
      </c>
      <c r="AG70" s="195"/>
      <c r="AH70" s="563"/>
      <c r="AI70" s="564"/>
      <c r="AJ70" s="564"/>
      <c r="AK70" s="564"/>
      <c r="AL70" s="564"/>
      <c r="AM70" s="564"/>
      <c r="AN70" s="564"/>
      <c r="AO70" s="564"/>
      <c r="AP70" s="564"/>
      <c r="AQ70" s="564"/>
      <c r="AR70" s="562"/>
      <c r="AS70" s="206"/>
      <c r="AT70" s="30"/>
      <c r="AU70" s="194" t="str">
        <f>IF(Roster!$AO$1=0,"",Roster!$AO$1)</f>
        <v>COST</v>
      </c>
      <c r="AV70" s="195"/>
      <c r="AW70" s="563"/>
      <c r="AX70" s="564"/>
      <c r="AY70" s="564"/>
      <c r="AZ70" s="564"/>
      <c r="BA70" s="564"/>
      <c r="BB70" s="564"/>
      <c r="BC70" s="564"/>
      <c r="BD70" s="564"/>
      <c r="BE70" s="564"/>
      <c r="BF70" s="564"/>
      <c r="BG70" s="562"/>
      <c r="BH70" s="206"/>
    </row>
    <row r="71" spans="1:60" s="31" customFormat="1" ht="34.5" customHeight="1" x14ac:dyDescent="0.2">
      <c r="A71" s="30"/>
      <c r="B71" s="208" t="str">
        <f>IF(Roster!$AO$9=0,"",Roster!$AO$9)</f>
        <v/>
      </c>
      <c r="C71" s="209"/>
      <c r="D71" s="565"/>
      <c r="E71" s="566"/>
      <c r="F71" s="566"/>
      <c r="G71" s="566"/>
      <c r="H71" s="566"/>
      <c r="I71" s="566"/>
      <c r="J71" s="566"/>
      <c r="K71" s="566"/>
      <c r="L71" s="566"/>
      <c r="M71" s="566"/>
      <c r="N71" s="567"/>
      <c r="O71" s="206"/>
      <c r="P71" s="30"/>
      <c r="Q71" s="208" t="str">
        <f>IF(Roster!$AO$10=0,"",Roster!$AO$10)</f>
        <v/>
      </c>
      <c r="R71" s="209"/>
      <c r="S71" s="565"/>
      <c r="T71" s="566"/>
      <c r="U71" s="566"/>
      <c r="V71" s="566"/>
      <c r="W71" s="566"/>
      <c r="X71" s="566"/>
      <c r="Y71" s="566"/>
      <c r="Z71" s="566"/>
      <c r="AA71" s="566"/>
      <c r="AB71" s="566"/>
      <c r="AC71" s="567"/>
      <c r="AD71" s="206"/>
      <c r="AE71" s="30"/>
      <c r="AF71" s="208" t="str">
        <f>IF(Roster!$AO$11=0,"",Roster!$AO$11)</f>
        <v/>
      </c>
      <c r="AG71" s="209"/>
      <c r="AH71" s="565"/>
      <c r="AI71" s="566"/>
      <c r="AJ71" s="566"/>
      <c r="AK71" s="566"/>
      <c r="AL71" s="566"/>
      <c r="AM71" s="566"/>
      <c r="AN71" s="566"/>
      <c r="AO71" s="566"/>
      <c r="AP71" s="566"/>
      <c r="AQ71" s="566"/>
      <c r="AR71" s="567"/>
      <c r="AS71" s="206"/>
      <c r="AT71" s="30"/>
      <c r="AU71" s="208" t="str">
        <f>IF(Roster!$AO$12=0,"",Roster!$AO$12)</f>
        <v/>
      </c>
      <c r="AV71" s="209"/>
      <c r="AW71" s="565"/>
      <c r="AX71" s="566"/>
      <c r="AY71" s="566"/>
      <c r="AZ71" s="566"/>
      <c r="BA71" s="566"/>
      <c r="BB71" s="566"/>
      <c r="BC71" s="566"/>
      <c r="BD71" s="566"/>
      <c r="BE71" s="566"/>
      <c r="BF71" s="566"/>
      <c r="BG71" s="567"/>
      <c r="BH71" s="206"/>
    </row>
    <row r="72" spans="1:60" s="31" customFormat="1" ht="4.5" customHeight="1" x14ac:dyDescent="0.2">
      <c r="A72" s="30"/>
      <c r="B72" s="573"/>
      <c r="C72" s="375"/>
      <c r="D72" s="375"/>
      <c r="E72" s="375"/>
      <c r="F72" s="375"/>
      <c r="G72" s="375"/>
      <c r="H72" s="375"/>
      <c r="I72" s="375"/>
      <c r="J72" s="375"/>
      <c r="K72" s="375"/>
      <c r="L72" s="375"/>
      <c r="M72" s="375"/>
      <c r="N72" s="376"/>
      <c r="O72" s="210"/>
      <c r="P72" s="30"/>
      <c r="Q72" s="573"/>
      <c r="R72" s="375"/>
      <c r="S72" s="375"/>
      <c r="T72" s="375"/>
      <c r="U72" s="375"/>
      <c r="V72" s="375"/>
      <c r="W72" s="375"/>
      <c r="X72" s="375"/>
      <c r="Y72" s="375"/>
      <c r="Z72" s="375"/>
      <c r="AA72" s="375"/>
      <c r="AB72" s="375"/>
      <c r="AC72" s="376"/>
      <c r="AD72" s="210"/>
      <c r="AE72" s="30"/>
      <c r="AF72" s="573"/>
      <c r="AG72" s="375"/>
      <c r="AH72" s="375"/>
      <c r="AI72" s="375"/>
      <c r="AJ72" s="375"/>
      <c r="AK72" s="375"/>
      <c r="AL72" s="375"/>
      <c r="AM72" s="375"/>
      <c r="AN72" s="375"/>
      <c r="AO72" s="375"/>
      <c r="AP72" s="375"/>
      <c r="AQ72" s="375"/>
      <c r="AR72" s="376"/>
      <c r="AS72" s="210"/>
      <c r="AT72" s="30"/>
      <c r="AU72" s="573"/>
      <c r="AV72" s="375"/>
      <c r="AW72" s="375"/>
      <c r="AX72" s="375"/>
      <c r="AY72" s="375"/>
      <c r="AZ72" s="375"/>
      <c r="BA72" s="375"/>
      <c r="BB72" s="375"/>
      <c r="BC72" s="375"/>
      <c r="BD72" s="375"/>
      <c r="BE72" s="375"/>
      <c r="BF72" s="375"/>
      <c r="BG72" s="376"/>
      <c r="BH72" s="210"/>
    </row>
    <row r="73" spans="1:60" s="31" customFormat="1" ht="11.25" customHeight="1" x14ac:dyDescent="0.2">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x14ac:dyDescent="0.2">
      <c r="A74" s="30"/>
      <c r="B74" s="574" t="str">
        <f>IF(Roster!$A$13=0,"","#"&amp;Roster!$A$13)</f>
        <v>#12</v>
      </c>
      <c r="C74" s="188"/>
      <c r="D74" s="188"/>
      <c r="E74" s="188"/>
      <c r="F74" s="188"/>
      <c r="G74" s="188"/>
      <c r="H74" s="188"/>
      <c r="I74" s="188"/>
      <c r="J74" s="188"/>
      <c r="K74" s="188"/>
      <c r="L74" s="188"/>
      <c r="M74" s="188"/>
      <c r="N74" s="188"/>
      <c r="O74" s="189"/>
      <c r="P74" s="30"/>
      <c r="Q74" s="574" t="str">
        <f>IF(Roster!$A$14=0,"","#"&amp;Roster!$A$14)</f>
        <v>#13</v>
      </c>
      <c r="R74" s="188"/>
      <c r="S74" s="188"/>
      <c r="T74" s="188"/>
      <c r="U74" s="188"/>
      <c r="V74" s="188"/>
      <c r="W74" s="188"/>
      <c r="X74" s="188"/>
      <c r="Y74" s="188"/>
      <c r="Z74" s="188"/>
      <c r="AA74" s="188"/>
      <c r="AB74" s="188"/>
      <c r="AC74" s="188"/>
      <c r="AD74" s="189"/>
      <c r="AE74" s="30"/>
      <c r="AF74" s="574" t="str">
        <f>IF(Roster!$A$15=0,"","#"&amp;Roster!$A$15)</f>
        <v>#14</v>
      </c>
      <c r="AG74" s="188"/>
      <c r="AH74" s="188"/>
      <c r="AI74" s="188"/>
      <c r="AJ74" s="188"/>
      <c r="AK74" s="188"/>
      <c r="AL74" s="188"/>
      <c r="AM74" s="188"/>
      <c r="AN74" s="188"/>
      <c r="AO74" s="188"/>
      <c r="AP74" s="188"/>
      <c r="AQ74" s="188"/>
      <c r="AR74" s="188"/>
      <c r="AS74" s="189"/>
      <c r="AT74" s="30"/>
      <c r="AU74" s="574" t="str">
        <f>IF(Roster!$A$16=0,"","#"&amp;Roster!$A$16)</f>
        <v>#15</v>
      </c>
      <c r="AV74" s="188"/>
      <c r="AW74" s="188"/>
      <c r="AX74" s="188"/>
      <c r="AY74" s="188"/>
      <c r="AZ74" s="188"/>
      <c r="BA74" s="188"/>
      <c r="BB74" s="188"/>
      <c r="BC74" s="188"/>
      <c r="BD74" s="188"/>
      <c r="BE74" s="188"/>
      <c r="BF74" s="188"/>
      <c r="BG74" s="188"/>
      <c r="BH74" s="189"/>
    </row>
    <row r="75" spans="1:60" s="31" customFormat="1" ht="15" customHeight="1" x14ac:dyDescent="0.25">
      <c r="A75" s="30"/>
      <c r="B75" s="575"/>
      <c r="C75" s="560" t="str">
        <f>IF(Roster!$B$13=0,"",Roster!$B$13)</f>
        <v/>
      </c>
      <c r="D75" s="484"/>
      <c r="E75" s="484"/>
      <c r="F75" s="484"/>
      <c r="G75" s="484"/>
      <c r="H75" s="484"/>
      <c r="I75" s="484"/>
      <c r="J75" s="484"/>
      <c r="K75" s="484"/>
      <c r="L75" s="484"/>
      <c r="M75" s="484"/>
      <c r="N75" s="485"/>
      <c r="O75" s="190"/>
      <c r="P75" s="30"/>
      <c r="Q75" s="575"/>
      <c r="R75" s="560" t="str">
        <f>IF(Roster!$B$14=0,"",Roster!$B$14)</f>
        <v/>
      </c>
      <c r="S75" s="484"/>
      <c r="T75" s="484"/>
      <c r="U75" s="484"/>
      <c r="V75" s="484"/>
      <c r="W75" s="484"/>
      <c r="X75" s="484"/>
      <c r="Y75" s="484"/>
      <c r="Z75" s="484"/>
      <c r="AA75" s="484"/>
      <c r="AB75" s="484"/>
      <c r="AC75" s="485"/>
      <c r="AD75" s="190"/>
      <c r="AE75" s="30"/>
      <c r="AF75" s="575"/>
      <c r="AG75" s="560" t="str">
        <f>IF(Roster!$B$15=0,"",Roster!$B$15)</f>
        <v/>
      </c>
      <c r="AH75" s="484"/>
      <c r="AI75" s="484"/>
      <c r="AJ75" s="484"/>
      <c r="AK75" s="484"/>
      <c r="AL75" s="484"/>
      <c r="AM75" s="484"/>
      <c r="AN75" s="484"/>
      <c r="AO75" s="484"/>
      <c r="AP75" s="484"/>
      <c r="AQ75" s="484"/>
      <c r="AR75" s="485"/>
      <c r="AS75" s="190"/>
      <c r="AT75" s="30"/>
      <c r="AU75" s="575"/>
      <c r="AV75" s="560" t="str">
        <f>IF(Roster!$B$16=0,"",Roster!$B$16)</f>
        <v/>
      </c>
      <c r="AW75" s="484"/>
      <c r="AX75" s="484"/>
      <c r="AY75" s="484"/>
      <c r="AZ75" s="484"/>
      <c r="BA75" s="484"/>
      <c r="BB75" s="484"/>
      <c r="BC75" s="484"/>
      <c r="BD75" s="484"/>
      <c r="BE75" s="484"/>
      <c r="BF75" s="484"/>
      <c r="BG75" s="485"/>
      <c r="BH75" s="190"/>
    </row>
    <row r="76" spans="1:60" s="31" customFormat="1" ht="11.25" customHeight="1" x14ac:dyDescent="0.2">
      <c r="A76" s="30"/>
      <c r="B76" s="576"/>
      <c r="C76" s="577" t="str">
        <f>IF(Roster!$D$13=0,"",Roster!$D$13)</f>
        <v/>
      </c>
      <c r="D76" s="484"/>
      <c r="E76" s="484"/>
      <c r="F76" s="484"/>
      <c r="G76" s="484"/>
      <c r="H76" s="484"/>
      <c r="I76" s="484"/>
      <c r="J76" s="484"/>
      <c r="K76" s="484"/>
      <c r="L76" s="484"/>
      <c r="M76" s="484"/>
      <c r="N76" s="485"/>
      <c r="O76" s="191"/>
      <c r="P76" s="30"/>
      <c r="Q76" s="576"/>
      <c r="R76" s="577" t="str">
        <f>IF(Roster!$D$14=0,"",Roster!$D$14)</f>
        <v/>
      </c>
      <c r="S76" s="484"/>
      <c r="T76" s="484"/>
      <c r="U76" s="484"/>
      <c r="V76" s="484"/>
      <c r="W76" s="484"/>
      <c r="X76" s="484"/>
      <c r="Y76" s="484"/>
      <c r="Z76" s="484"/>
      <c r="AA76" s="484"/>
      <c r="AB76" s="484"/>
      <c r="AC76" s="485"/>
      <c r="AD76" s="191"/>
      <c r="AE76" s="30"/>
      <c r="AF76" s="576"/>
      <c r="AG76" s="577" t="str">
        <f>IF(Roster!$D$15=0,"",Roster!$D$15)</f>
        <v/>
      </c>
      <c r="AH76" s="484"/>
      <c r="AI76" s="484"/>
      <c r="AJ76" s="484"/>
      <c r="AK76" s="484"/>
      <c r="AL76" s="484"/>
      <c r="AM76" s="484"/>
      <c r="AN76" s="484"/>
      <c r="AO76" s="484"/>
      <c r="AP76" s="484"/>
      <c r="AQ76" s="484"/>
      <c r="AR76" s="485"/>
      <c r="AS76" s="191"/>
      <c r="AT76" s="30"/>
      <c r="AU76" s="576"/>
      <c r="AV76" s="577" t="str">
        <f>IF(Roster!$D$16=0,"",Roster!$D$16)</f>
        <v/>
      </c>
      <c r="AW76" s="484"/>
      <c r="AX76" s="484"/>
      <c r="AY76" s="484"/>
      <c r="AZ76" s="484"/>
      <c r="BA76" s="484"/>
      <c r="BB76" s="484"/>
      <c r="BC76" s="484"/>
      <c r="BD76" s="484"/>
      <c r="BE76" s="484"/>
      <c r="BF76" s="484"/>
      <c r="BG76" s="485"/>
      <c r="BH76" s="191"/>
    </row>
    <row r="77" spans="1:60" s="31" customFormat="1" ht="11.25" customHeight="1" x14ac:dyDescent="0.2">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x14ac:dyDescent="0.2">
      <c r="A78" s="30"/>
      <c r="B78" s="197" t="str">
        <f>IF(Roster!$K$13=0,"",Roster!$K$13)</f>
        <v/>
      </c>
      <c r="C78" s="195"/>
      <c r="D78" s="578"/>
      <c r="E78" s="579"/>
      <c r="F78" s="579"/>
      <c r="G78" s="579"/>
      <c r="H78" s="579"/>
      <c r="I78" s="579"/>
      <c r="J78" s="579"/>
      <c r="K78" s="579"/>
      <c r="L78" s="579"/>
      <c r="M78" s="579"/>
      <c r="N78" s="580"/>
      <c r="O78" s="190"/>
      <c r="P78" s="30"/>
      <c r="Q78" s="197" t="str">
        <f>IF(Roster!$K$14=0,"",Roster!$K$14)</f>
        <v/>
      </c>
      <c r="R78" s="195"/>
      <c r="S78" s="578"/>
      <c r="T78" s="579"/>
      <c r="U78" s="579"/>
      <c r="V78" s="579"/>
      <c r="W78" s="579"/>
      <c r="X78" s="579"/>
      <c r="Y78" s="579"/>
      <c r="Z78" s="579"/>
      <c r="AA78" s="579"/>
      <c r="AB78" s="579"/>
      <c r="AC78" s="580"/>
      <c r="AD78" s="190"/>
      <c r="AE78" s="30"/>
      <c r="AF78" s="197" t="str">
        <f>IF(Roster!$K$15=0,"",Roster!$K$15)</f>
        <v/>
      </c>
      <c r="AG78" s="195"/>
      <c r="AH78" s="578"/>
      <c r="AI78" s="579"/>
      <c r="AJ78" s="579"/>
      <c r="AK78" s="579"/>
      <c r="AL78" s="579"/>
      <c r="AM78" s="579"/>
      <c r="AN78" s="579"/>
      <c r="AO78" s="579"/>
      <c r="AP78" s="579"/>
      <c r="AQ78" s="579"/>
      <c r="AR78" s="580"/>
      <c r="AS78" s="190"/>
      <c r="AT78" s="30"/>
      <c r="AU78" s="197" t="str">
        <f>IF(Roster!$K$16=0,"",Roster!$K$16)</f>
        <v/>
      </c>
      <c r="AV78" s="195"/>
      <c r="AW78" s="578"/>
      <c r="AX78" s="579"/>
      <c r="AY78" s="579"/>
      <c r="AZ78" s="579"/>
      <c r="BA78" s="579"/>
      <c r="BB78" s="579"/>
      <c r="BC78" s="579"/>
      <c r="BD78" s="579"/>
      <c r="BE78" s="579"/>
      <c r="BF78" s="579"/>
      <c r="BG78" s="580"/>
      <c r="BH78" s="190"/>
    </row>
    <row r="79" spans="1:60" s="31" customFormat="1" ht="11.25" customHeight="1" x14ac:dyDescent="0.2">
      <c r="A79" s="30"/>
      <c r="B79" s="194" t="str">
        <f>IF(Roster!$L$1=0,"",Roster!$L$1)</f>
        <v>ST</v>
      </c>
      <c r="C79" s="195"/>
      <c r="D79" s="581"/>
      <c r="E79" s="582"/>
      <c r="F79" s="582"/>
      <c r="G79" s="582"/>
      <c r="H79" s="582"/>
      <c r="I79" s="582"/>
      <c r="J79" s="582"/>
      <c r="K79" s="582"/>
      <c r="L79" s="582"/>
      <c r="M79" s="582"/>
      <c r="N79" s="583"/>
      <c r="O79" s="190"/>
      <c r="P79" s="30"/>
      <c r="Q79" s="194" t="str">
        <f>IF(Roster!$L$1=0,"",Roster!$L$1)</f>
        <v>ST</v>
      </c>
      <c r="R79" s="195"/>
      <c r="S79" s="581"/>
      <c r="T79" s="582"/>
      <c r="U79" s="582"/>
      <c r="V79" s="582"/>
      <c r="W79" s="582"/>
      <c r="X79" s="582"/>
      <c r="Y79" s="582"/>
      <c r="Z79" s="582"/>
      <c r="AA79" s="582"/>
      <c r="AB79" s="582"/>
      <c r="AC79" s="583"/>
      <c r="AD79" s="190"/>
      <c r="AE79" s="30"/>
      <c r="AF79" s="194" t="str">
        <f>IF(Roster!$L$1=0,"",Roster!$L$1)</f>
        <v>ST</v>
      </c>
      <c r="AG79" s="195"/>
      <c r="AH79" s="581"/>
      <c r="AI79" s="582"/>
      <c r="AJ79" s="582"/>
      <c r="AK79" s="582"/>
      <c r="AL79" s="582"/>
      <c r="AM79" s="582"/>
      <c r="AN79" s="582"/>
      <c r="AO79" s="582"/>
      <c r="AP79" s="582"/>
      <c r="AQ79" s="582"/>
      <c r="AR79" s="583"/>
      <c r="AS79" s="190"/>
      <c r="AT79" s="30"/>
      <c r="AU79" s="194" t="str">
        <f>IF(Roster!$L$1=0,"",Roster!$L$1)</f>
        <v>ST</v>
      </c>
      <c r="AV79" s="195"/>
      <c r="AW79" s="581"/>
      <c r="AX79" s="582"/>
      <c r="AY79" s="582"/>
      <c r="AZ79" s="582"/>
      <c r="BA79" s="582"/>
      <c r="BB79" s="582"/>
      <c r="BC79" s="582"/>
      <c r="BD79" s="582"/>
      <c r="BE79" s="582"/>
      <c r="BF79" s="582"/>
      <c r="BG79" s="583"/>
      <c r="BH79" s="190"/>
    </row>
    <row r="80" spans="1:60" s="31" customFormat="1" ht="37.5" customHeight="1" x14ac:dyDescent="0.2">
      <c r="A80" s="30"/>
      <c r="B80" s="197" t="str">
        <f>IF(Roster!$L$13=0,"",Roster!$L$13)</f>
        <v/>
      </c>
      <c r="C80" s="195"/>
      <c r="D80" s="581"/>
      <c r="E80" s="582"/>
      <c r="F80" s="582"/>
      <c r="G80" s="582"/>
      <c r="H80" s="582"/>
      <c r="I80" s="582"/>
      <c r="J80" s="582"/>
      <c r="K80" s="582"/>
      <c r="L80" s="582"/>
      <c r="M80" s="582"/>
      <c r="N80" s="583"/>
      <c r="O80" s="190"/>
      <c r="P80" s="30"/>
      <c r="Q80" s="197" t="str">
        <f>IF(Roster!$L$14=0,"",Roster!$L$14)</f>
        <v/>
      </c>
      <c r="R80" s="195"/>
      <c r="S80" s="581"/>
      <c r="T80" s="582"/>
      <c r="U80" s="582"/>
      <c r="V80" s="582"/>
      <c r="W80" s="582"/>
      <c r="X80" s="582"/>
      <c r="Y80" s="582"/>
      <c r="Z80" s="582"/>
      <c r="AA80" s="582"/>
      <c r="AB80" s="582"/>
      <c r="AC80" s="583"/>
      <c r="AD80" s="190"/>
      <c r="AE80" s="30"/>
      <c r="AF80" s="197" t="str">
        <f>IF(Roster!$L$15=0,"",Roster!$L$15)</f>
        <v/>
      </c>
      <c r="AG80" s="195"/>
      <c r="AH80" s="581"/>
      <c r="AI80" s="582"/>
      <c r="AJ80" s="582"/>
      <c r="AK80" s="582"/>
      <c r="AL80" s="582"/>
      <c r="AM80" s="582"/>
      <c r="AN80" s="582"/>
      <c r="AO80" s="582"/>
      <c r="AP80" s="582"/>
      <c r="AQ80" s="582"/>
      <c r="AR80" s="583"/>
      <c r="AS80" s="190"/>
      <c r="AT80" s="30"/>
      <c r="AU80" s="197" t="str">
        <f>IF(Roster!$L$16=0,"",Roster!$L$16)</f>
        <v/>
      </c>
      <c r="AV80" s="195"/>
      <c r="AW80" s="581"/>
      <c r="AX80" s="582"/>
      <c r="AY80" s="582"/>
      <c r="AZ80" s="582"/>
      <c r="BA80" s="582"/>
      <c r="BB80" s="582"/>
      <c r="BC80" s="582"/>
      <c r="BD80" s="582"/>
      <c r="BE80" s="582"/>
      <c r="BF80" s="582"/>
      <c r="BG80" s="583"/>
      <c r="BH80" s="190"/>
    </row>
    <row r="81" spans="1:60" s="31" customFormat="1" ht="11.25" customHeight="1" x14ac:dyDescent="0.2">
      <c r="A81" s="30"/>
      <c r="B81" s="194" t="str">
        <f>IF(Roster!$M$1=0,"",Roster!$M$1)</f>
        <v>AG</v>
      </c>
      <c r="C81" s="195"/>
      <c r="D81" s="581"/>
      <c r="E81" s="582"/>
      <c r="F81" s="582"/>
      <c r="G81" s="582"/>
      <c r="H81" s="582"/>
      <c r="I81" s="582"/>
      <c r="J81" s="582"/>
      <c r="K81" s="582"/>
      <c r="L81" s="582"/>
      <c r="M81" s="582"/>
      <c r="N81" s="583"/>
      <c r="O81" s="190"/>
      <c r="P81" s="30"/>
      <c r="Q81" s="194" t="str">
        <f>IF(Roster!$M$1=0,"",Roster!$M$1)</f>
        <v>AG</v>
      </c>
      <c r="R81" s="195"/>
      <c r="S81" s="581"/>
      <c r="T81" s="582"/>
      <c r="U81" s="582"/>
      <c r="V81" s="582"/>
      <c r="W81" s="582"/>
      <c r="X81" s="582"/>
      <c r="Y81" s="582"/>
      <c r="Z81" s="582"/>
      <c r="AA81" s="582"/>
      <c r="AB81" s="582"/>
      <c r="AC81" s="583"/>
      <c r="AD81" s="190"/>
      <c r="AE81" s="30"/>
      <c r="AF81" s="194" t="str">
        <f>IF(Roster!$M$1=0,"",Roster!$M$1)</f>
        <v>AG</v>
      </c>
      <c r="AG81" s="195"/>
      <c r="AH81" s="581"/>
      <c r="AI81" s="582"/>
      <c r="AJ81" s="582"/>
      <c r="AK81" s="582"/>
      <c r="AL81" s="582"/>
      <c r="AM81" s="582"/>
      <c r="AN81" s="582"/>
      <c r="AO81" s="582"/>
      <c r="AP81" s="582"/>
      <c r="AQ81" s="582"/>
      <c r="AR81" s="583"/>
      <c r="AS81" s="190"/>
      <c r="AT81" s="30"/>
      <c r="AU81" s="194" t="str">
        <f>IF(Roster!$M$1=0,"",Roster!$M$1)</f>
        <v>AG</v>
      </c>
      <c r="AV81" s="195"/>
      <c r="AW81" s="581"/>
      <c r="AX81" s="582"/>
      <c r="AY81" s="582"/>
      <c r="AZ81" s="582"/>
      <c r="BA81" s="582"/>
      <c r="BB81" s="582"/>
      <c r="BC81" s="582"/>
      <c r="BD81" s="582"/>
      <c r="BE81" s="582"/>
      <c r="BF81" s="582"/>
      <c r="BG81" s="583"/>
      <c r="BH81" s="190"/>
    </row>
    <row r="82" spans="1:60" s="31" customFormat="1" ht="37.5" customHeight="1" x14ac:dyDescent="0.2">
      <c r="A82" s="30"/>
      <c r="B82" s="197" t="str">
        <f>IF(Roster!$M$13=0&amp;"+","",Roster!$M$13)</f>
        <v/>
      </c>
      <c r="C82" s="195"/>
      <c r="D82" s="581"/>
      <c r="E82" s="582"/>
      <c r="F82" s="582"/>
      <c r="G82" s="582"/>
      <c r="H82" s="582"/>
      <c r="I82" s="582"/>
      <c r="J82" s="582"/>
      <c r="K82" s="582"/>
      <c r="L82" s="582"/>
      <c r="M82" s="582"/>
      <c r="N82" s="583"/>
      <c r="O82" s="190"/>
      <c r="P82" s="30"/>
      <c r="Q82" s="197" t="str">
        <f>IF(Roster!$M$14=0&amp;"+","",Roster!$M$14)</f>
        <v/>
      </c>
      <c r="R82" s="195"/>
      <c r="S82" s="581"/>
      <c r="T82" s="582"/>
      <c r="U82" s="582"/>
      <c r="V82" s="582"/>
      <c r="W82" s="582"/>
      <c r="X82" s="582"/>
      <c r="Y82" s="582"/>
      <c r="Z82" s="582"/>
      <c r="AA82" s="582"/>
      <c r="AB82" s="582"/>
      <c r="AC82" s="583"/>
      <c r="AD82" s="190"/>
      <c r="AE82" s="30"/>
      <c r="AF82" s="197" t="str">
        <f>IF(Roster!$M$15=0&amp;"+","",Roster!$M$15)</f>
        <v/>
      </c>
      <c r="AG82" s="195"/>
      <c r="AH82" s="581"/>
      <c r="AI82" s="582"/>
      <c r="AJ82" s="582"/>
      <c r="AK82" s="582"/>
      <c r="AL82" s="582"/>
      <c r="AM82" s="582"/>
      <c r="AN82" s="582"/>
      <c r="AO82" s="582"/>
      <c r="AP82" s="582"/>
      <c r="AQ82" s="582"/>
      <c r="AR82" s="583"/>
      <c r="AS82" s="190"/>
      <c r="AT82" s="30"/>
      <c r="AU82" s="197" t="str">
        <f>IF(Roster!$M$16=0&amp;"+","",Roster!$M$16)</f>
        <v/>
      </c>
      <c r="AV82" s="195"/>
      <c r="AW82" s="581"/>
      <c r="AX82" s="582"/>
      <c r="AY82" s="582"/>
      <c r="AZ82" s="582"/>
      <c r="BA82" s="582"/>
      <c r="BB82" s="582"/>
      <c r="BC82" s="582"/>
      <c r="BD82" s="582"/>
      <c r="BE82" s="582"/>
      <c r="BF82" s="582"/>
      <c r="BG82" s="583"/>
      <c r="BH82" s="190"/>
    </row>
    <row r="83" spans="1:60" s="31" customFormat="1" ht="11.25" customHeight="1" x14ac:dyDescent="0.2">
      <c r="A83" s="30"/>
      <c r="B83" s="194" t="str">
        <f>IF(Roster!$N$1=0,"",Roster!$N$1)</f>
        <v>PA</v>
      </c>
      <c r="C83" s="195"/>
      <c r="D83" s="581"/>
      <c r="E83" s="582"/>
      <c r="F83" s="582"/>
      <c r="G83" s="582"/>
      <c r="H83" s="582"/>
      <c r="I83" s="582"/>
      <c r="J83" s="582"/>
      <c r="K83" s="582"/>
      <c r="L83" s="582"/>
      <c r="M83" s="582"/>
      <c r="N83" s="583"/>
      <c r="O83" s="199"/>
      <c r="P83" s="30"/>
      <c r="Q83" s="194" t="str">
        <f>IF(Roster!$N$1=0,"",Roster!$N$1)</f>
        <v>PA</v>
      </c>
      <c r="R83" s="195"/>
      <c r="S83" s="581"/>
      <c r="T83" s="582"/>
      <c r="U83" s="582"/>
      <c r="V83" s="582"/>
      <c r="W83" s="582"/>
      <c r="X83" s="582"/>
      <c r="Y83" s="582"/>
      <c r="Z83" s="582"/>
      <c r="AA83" s="582"/>
      <c r="AB83" s="582"/>
      <c r="AC83" s="583"/>
      <c r="AD83" s="199"/>
      <c r="AE83" s="30"/>
      <c r="AF83" s="194" t="str">
        <f>IF(Roster!$N$1=0,"",Roster!$N$1)</f>
        <v>PA</v>
      </c>
      <c r="AG83" s="195"/>
      <c r="AH83" s="581"/>
      <c r="AI83" s="582"/>
      <c r="AJ83" s="582"/>
      <c r="AK83" s="582"/>
      <c r="AL83" s="582"/>
      <c r="AM83" s="582"/>
      <c r="AN83" s="582"/>
      <c r="AO83" s="582"/>
      <c r="AP83" s="582"/>
      <c r="AQ83" s="582"/>
      <c r="AR83" s="583"/>
      <c r="AS83" s="199"/>
      <c r="AT83" s="30"/>
      <c r="AU83" s="194" t="str">
        <f>IF(Roster!$N$1=0,"",Roster!$N$1)</f>
        <v>PA</v>
      </c>
      <c r="AV83" s="195"/>
      <c r="AW83" s="581"/>
      <c r="AX83" s="582"/>
      <c r="AY83" s="582"/>
      <c r="AZ83" s="582"/>
      <c r="BA83" s="582"/>
      <c r="BB83" s="582"/>
      <c r="BC83" s="582"/>
      <c r="BD83" s="582"/>
      <c r="BE83" s="582"/>
      <c r="BF83" s="582"/>
      <c r="BG83" s="583"/>
      <c r="BH83" s="199"/>
    </row>
    <row r="84" spans="1:60" s="31" customFormat="1" ht="6" customHeight="1" x14ac:dyDescent="0.2">
      <c r="A84" s="30"/>
      <c r="B84" s="571" t="str">
        <f>IF(Roster!$N$13=0&amp;"+","",Roster!$N$13)</f>
        <v/>
      </c>
      <c r="C84" s="195"/>
      <c r="D84" s="584"/>
      <c r="E84" s="585"/>
      <c r="F84" s="585"/>
      <c r="G84" s="585"/>
      <c r="H84" s="585"/>
      <c r="I84" s="585"/>
      <c r="J84" s="585"/>
      <c r="K84" s="585"/>
      <c r="L84" s="585"/>
      <c r="M84" s="585"/>
      <c r="N84" s="586"/>
      <c r="O84" s="201"/>
      <c r="P84" s="30"/>
      <c r="Q84" s="571" t="str">
        <f>IF(Roster!$N$14=0&amp;"+","",Roster!$N$14)</f>
        <v/>
      </c>
      <c r="R84" s="195"/>
      <c r="S84" s="584"/>
      <c r="T84" s="585"/>
      <c r="U84" s="585"/>
      <c r="V84" s="585"/>
      <c r="W84" s="585"/>
      <c r="X84" s="585"/>
      <c r="Y84" s="585"/>
      <c r="Z84" s="585"/>
      <c r="AA84" s="585"/>
      <c r="AB84" s="585"/>
      <c r="AC84" s="586"/>
      <c r="AD84" s="201"/>
      <c r="AE84" s="30"/>
      <c r="AF84" s="571" t="str">
        <f>IF(Roster!$N$15=0&amp;"+","",Roster!$N$15)</f>
        <v/>
      </c>
      <c r="AG84" s="195"/>
      <c r="AH84" s="584"/>
      <c r="AI84" s="585"/>
      <c r="AJ84" s="585"/>
      <c r="AK84" s="585"/>
      <c r="AL84" s="585"/>
      <c r="AM84" s="585"/>
      <c r="AN84" s="585"/>
      <c r="AO84" s="585"/>
      <c r="AP84" s="585"/>
      <c r="AQ84" s="585"/>
      <c r="AR84" s="586"/>
      <c r="AS84" s="201"/>
      <c r="AT84" s="30"/>
      <c r="AU84" s="571" t="str">
        <f>IF(Roster!$N$16=0&amp;"+","",Roster!$N$16)</f>
        <v/>
      </c>
      <c r="AV84" s="195"/>
      <c r="AW84" s="584"/>
      <c r="AX84" s="585"/>
      <c r="AY84" s="585"/>
      <c r="AZ84" s="585"/>
      <c r="BA84" s="585"/>
      <c r="BB84" s="585"/>
      <c r="BC84" s="585"/>
      <c r="BD84" s="585"/>
      <c r="BE84" s="585"/>
      <c r="BF84" s="585"/>
      <c r="BG84" s="586"/>
      <c r="BH84" s="201"/>
    </row>
    <row r="85" spans="1:60" s="31" customFormat="1" ht="4.5" customHeight="1" x14ac:dyDescent="0.2">
      <c r="A85" s="30"/>
      <c r="B85" s="572"/>
      <c r="C85" s="193"/>
      <c r="D85" s="202"/>
      <c r="E85" s="200"/>
      <c r="F85" s="202"/>
      <c r="G85" s="200"/>
      <c r="H85" s="202"/>
      <c r="I85" s="200"/>
      <c r="J85" s="202"/>
      <c r="K85" s="200"/>
      <c r="L85" s="202"/>
      <c r="M85" s="200"/>
      <c r="N85" s="202"/>
      <c r="O85" s="201"/>
      <c r="P85" s="30"/>
      <c r="Q85" s="572"/>
      <c r="R85" s="193"/>
      <c r="S85" s="202"/>
      <c r="T85" s="200"/>
      <c r="U85" s="202"/>
      <c r="V85" s="200"/>
      <c r="W85" s="202"/>
      <c r="X85" s="200"/>
      <c r="Y85" s="202"/>
      <c r="Z85" s="200"/>
      <c r="AA85" s="202"/>
      <c r="AB85" s="200"/>
      <c r="AC85" s="202"/>
      <c r="AD85" s="201"/>
      <c r="AE85" s="30"/>
      <c r="AF85" s="572"/>
      <c r="AG85" s="193"/>
      <c r="AH85" s="202"/>
      <c r="AI85" s="200"/>
      <c r="AJ85" s="202"/>
      <c r="AK85" s="200"/>
      <c r="AL85" s="202"/>
      <c r="AM85" s="200"/>
      <c r="AN85" s="202"/>
      <c r="AO85" s="200"/>
      <c r="AP85" s="202"/>
      <c r="AQ85" s="200"/>
      <c r="AR85" s="202"/>
      <c r="AS85" s="201"/>
      <c r="AT85" s="30"/>
      <c r="AU85" s="572"/>
      <c r="AV85" s="193"/>
      <c r="AW85" s="202"/>
      <c r="AX85" s="200"/>
      <c r="AY85" s="202"/>
      <c r="AZ85" s="200"/>
      <c r="BA85" s="202"/>
      <c r="BB85" s="200"/>
      <c r="BC85" s="202"/>
      <c r="BD85" s="200"/>
      <c r="BE85" s="202"/>
      <c r="BF85" s="200"/>
      <c r="BG85" s="202"/>
      <c r="BH85" s="201"/>
    </row>
    <row r="86" spans="1:60" s="31" customFormat="1" ht="11.25" customHeight="1" x14ac:dyDescent="0.2">
      <c r="A86" s="30"/>
      <c r="B86" s="572"/>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72"/>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72"/>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72"/>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x14ac:dyDescent="0.2">
      <c r="A87" s="30"/>
      <c r="B87" s="572"/>
      <c r="C87" s="196"/>
      <c r="D87" s="235" t="str">
        <f>IF(Roster!$AD$13=0,"",Roster!$AD$13)</f>
        <v/>
      </c>
      <c r="E87" s="230"/>
      <c r="F87" s="235" t="str">
        <f>IF((SUM(H87,J87,L87))=0,"",(SUM(H87,J87,L87)))</f>
        <v/>
      </c>
      <c r="G87" s="230"/>
      <c r="H87" s="235" t="str">
        <f>IF(Roster!$AG$13=0,"",Roster!$AG$13)</f>
        <v/>
      </c>
      <c r="I87" s="230"/>
      <c r="J87" s="235" t="str">
        <f>IF(Roster!$AH$13=0,"",Roster!$AH$13)</f>
        <v/>
      </c>
      <c r="K87" s="230"/>
      <c r="L87" s="235" t="str">
        <f>IF(Roster!$AI$13=0,"",Roster!$AI$13)</f>
        <v/>
      </c>
      <c r="M87" s="230"/>
      <c r="N87" s="235" t="str">
        <f>IF(Roster!$AC$13=0,"",Roster!$AC$13)</f>
        <v/>
      </c>
      <c r="O87" s="201"/>
      <c r="P87" s="30"/>
      <c r="Q87" s="572"/>
      <c r="R87" s="196"/>
      <c r="S87" s="235" t="str">
        <f>IF(Roster!$AD$14=0,"",Roster!$AD$14)</f>
        <v/>
      </c>
      <c r="T87" s="230"/>
      <c r="U87" s="235" t="str">
        <f>IF((SUM(W87,Y87,AA87))=0,"",(SUM(W87,Y87,AA87)))</f>
        <v/>
      </c>
      <c r="V87" s="230"/>
      <c r="W87" s="235" t="str">
        <f>IF(Roster!$AG$14=0,"",Roster!$AG$14)</f>
        <v/>
      </c>
      <c r="X87" s="230"/>
      <c r="Y87" s="235" t="str">
        <f>IF(Roster!$AH$14=0,"",Roster!$AH$14)</f>
        <v/>
      </c>
      <c r="Z87" s="230"/>
      <c r="AA87" s="235" t="str">
        <f>IF(Roster!$AI$14=0,"",Roster!$AI$14)</f>
        <v/>
      </c>
      <c r="AB87" s="230"/>
      <c r="AC87" s="235" t="str">
        <f>IF(Roster!$AC$14=0,"",Roster!$AC$14)</f>
        <v/>
      </c>
      <c r="AD87" s="201"/>
      <c r="AE87" s="30"/>
      <c r="AF87" s="572"/>
      <c r="AG87" s="196"/>
      <c r="AH87" s="235" t="str">
        <f>IF(Roster!$AD$15=0,"",Roster!$AD$15)</f>
        <v/>
      </c>
      <c r="AI87" s="230"/>
      <c r="AJ87" s="235" t="str">
        <f>IF((SUM(AL87,AN87,AP87))=0,"",(SUM(AL87,AN87,AP87)))</f>
        <v/>
      </c>
      <c r="AK87" s="230"/>
      <c r="AL87" s="235" t="str">
        <f>IF(Roster!$AG$15=0,"",Roster!$AG$15)</f>
        <v/>
      </c>
      <c r="AM87" s="230"/>
      <c r="AN87" s="235" t="str">
        <f>IF(Roster!$AH$15=0,"",Roster!$AH$15)</f>
        <v/>
      </c>
      <c r="AO87" s="230"/>
      <c r="AP87" s="235" t="str">
        <f>IF(Roster!$AI$15=0,"",Roster!$AI$15)</f>
        <v/>
      </c>
      <c r="AQ87" s="230"/>
      <c r="AR87" s="235" t="str">
        <f>IF(Roster!$AC$15=0,"",Roster!$AC$15)</f>
        <v/>
      </c>
      <c r="AS87" s="201"/>
      <c r="AT87" s="30"/>
      <c r="AU87" s="572"/>
      <c r="AV87" s="196"/>
      <c r="AW87" s="235" t="str">
        <f>IF(Roster!$AD$16=0,"",Roster!$AD$16)</f>
        <v/>
      </c>
      <c r="AX87" s="230"/>
      <c r="AY87" s="235" t="str">
        <f>IF((SUM(BA87,BC87,BE87))=0,"",(SUM(BA87,BC87,BE87)))</f>
        <v/>
      </c>
      <c r="AZ87" s="230"/>
      <c r="BA87" s="235" t="str">
        <f>IF(Roster!$AG$16=0,"",Roster!$AG$16)</f>
        <v/>
      </c>
      <c r="BB87" s="230"/>
      <c r="BC87" s="235" t="str">
        <f>IF(Roster!$AH$16=0,"",Roster!$AH$16)</f>
        <v/>
      </c>
      <c r="BD87" s="230"/>
      <c r="BE87" s="235" t="str">
        <f>IF(Roster!$AI$16=0,"",Roster!$AI$16)</f>
        <v/>
      </c>
      <c r="BF87" s="230"/>
      <c r="BG87" s="235" t="str">
        <f>IF(Roster!$AC$16=0,"",Roster!$AC$16)</f>
        <v/>
      </c>
      <c r="BH87" s="201"/>
    </row>
    <row r="88" spans="1:60" s="31" customFormat="1" ht="4.5" customHeight="1" x14ac:dyDescent="0.2">
      <c r="A88" s="30"/>
      <c r="B88" s="445"/>
      <c r="C88" s="196"/>
      <c r="D88" s="231"/>
      <c r="E88" s="230"/>
      <c r="F88" s="231"/>
      <c r="G88" s="230"/>
      <c r="H88" s="231"/>
      <c r="I88" s="230"/>
      <c r="J88" s="231"/>
      <c r="K88" s="230"/>
      <c r="L88" s="231"/>
      <c r="M88" s="230"/>
      <c r="N88" s="231"/>
      <c r="O88" s="201"/>
      <c r="P88" s="30"/>
      <c r="Q88" s="445"/>
      <c r="R88" s="196"/>
      <c r="S88" s="231"/>
      <c r="T88" s="230"/>
      <c r="U88" s="231"/>
      <c r="V88" s="230"/>
      <c r="W88" s="231"/>
      <c r="X88" s="230"/>
      <c r="Y88" s="231"/>
      <c r="Z88" s="230"/>
      <c r="AA88" s="231"/>
      <c r="AB88" s="230"/>
      <c r="AC88" s="231"/>
      <c r="AD88" s="201"/>
      <c r="AE88" s="30"/>
      <c r="AF88" s="445"/>
      <c r="AG88" s="196"/>
      <c r="AH88" s="231"/>
      <c r="AI88" s="230"/>
      <c r="AJ88" s="231"/>
      <c r="AK88" s="230"/>
      <c r="AL88" s="231"/>
      <c r="AM88" s="230"/>
      <c r="AN88" s="231"/>
      <c r="AO88" s="230"/>
      <c r="AP88" s="231"/>
      <c r="AQ88" s="230"/>
      <c r="AR88" s="231"/>
      <c r="AS88" s="201"/>
      <c r="AT88" s="30"/>
      <c r="AU88" s="445"/>
      <c r="AV88" s="196"/>
      <c r="AW88" s="231"/>
      <c r="AX88" s="230"/>
      <c r="AY88" s="231"/>
      <c r="AZ88" s="230"/>
      <c r="BA88" s="231"/>
      <c r="BB88" s="230"/>
      <c r="BC88" s="231"/>
      <c r="BD88" s="230"/>
      <c r="BE88" s="231"/>
      <c r="BF88" s="230"/>
      <c r="BG88" s="231"/>
      <c r="BH88" s="201"/>
    </row>
    <row r="89" spans="1:60" s="31" customFormat="1" ht="11.25" customHeight="1" x14ac:dyDescent="0.2">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x14ac:dyDescent="0.2">
      <c r="A90" s="30"/>
      <c r="B90" s="571" t="str">
        <f>IF(Roster!$O$13=0&amp;"+","",Roster!$O$13)</f>
        <v/>
      </c>
      <c r="C90" s="196"/>
      <c r="D90" s="235" t="str">
        <f>IF(Roster!$AE$13=0,"",Roster!$AE$13)</f>
        <v/>
      </c>
      <c r="E90" s="230"/>
      <c r="F90" s="235" t="str">
        <f>IF(Roster!$AF$13=0,"",Roster!$AF$13)</f>
        <v/>
      </c>
      <c r="G90" s="230"/>
      <c r="H90" s="235" t="str">
        <f>IF(Roster!$AB$13=0,"",Roster!$AB$13)</f>
        <v/>
      </c>
      <c r="I90" s="230"/>
      <c r="J90" s="235" t="str">
        <f>IF(Roster!$AJ$13=0,"",Roster!$AJ$13)</f>
        <v/>
      </c>
      <c r="K90" s="230"/>
      <c r="L90" s="235" t="str">
        <f>IF(Roster!$AK$13=0,"",Roster!$AK$13)</f>
        <v/>
      </c>
      <c r="M90" s="230"/>
      <c r="N90" s="235" t="str">
        <f>IF(Roster!$AA$13=0,"",Roster!$AA$13)</f>
        <v/>
      </c>
      <c r="O90" s="203"/>
      <c r="P90" s="30"/>
      <c r="Q90" s="571" t="str">
        <f>IF(Roster!$O$14=0&amp;"+","",Roster!$O$14)</f>
        <v/>
      </c>
      <c r="R90" s="196"/>
      <c r="S90" s="235" t="str">
        <f>IF(Roster!$AE$14=0,"",Roster!$AE$14)</f>
        <v/>
      </c>
      <c r="T90" s="230"/>
      <c r="U90" s="235" t="str">
        <f>IF(Roster!$AF$14=0,"",Roster!$AF$14)</f>
        <v/>
      </c>
      <c r="V90" s="230"/>
      <c r="W90" s="235" t="str">
        <f>IF(Roster!$AB$14=0,"",Roster!$AB$14)</f>
        <v/>
      </c>
      <c r="X90" s="230"/>
      <c r="Y90" s="235" t="str">
        <f>IF(Roster!$AJ$14=0,"",Roster!$AJ$14)</f>
        <v/>
      </c>
      <c r="Z90" s="230"/>
      <c r="AA90" s="235" t="str">
        <f>IF(Roster!$AK$14=0,"",Roster!$AK$14)</f>
        <v/>
      </c>
      <c r="AB90" s="230"/>
      <c r="AC90" s="235" t="str">
        <f>IF(Roster!$AA$14=0,"",Roster!$AA$14)</f>
        <v/>
      </c>
      <c r="AD90" s="203"/>
      <c r="AE90" s="30"/>
      <c r="AF90" s="571" t="str">
        <f>IF(Roster!$O$15=0&amp;"+","",Roster!$O$15)</f>
        <v/>
      </c>
      <c r="AG90" s="196"/>
      <c r="AH90" s="235" t="str">
        <f>IF(Roster!$AE$15=0,"",Roster!$AE$15)</f>
        <v/>
      </c>
      <c r="AI90" s="230"/>
      <c r="AJ90" s="235" t="str">
        <f>IF(Roster!$AF$15=0,"",Roster!$AF$15)</f>
        <v/>
      </c>
      <c r="AK90" s="230"/>
      <c r="AL90" s="235" t="str">
        <f>IF(Roster!$AB$15=0,"",Roster!$AB$15)</f>
        <v/>
      </c>
      <c r="AM90" s="230"/>
      <c r="AN90" s="235" t="str">
        <f>IF(Roster!$AJ$15=0,"",Roster!$AJ$15)</f>
        <v/>
      </c>
      <c r="AO90" s="230"/>
      <c r="AP90" s="235" t="str">
        <f>IF(Roster!$AK$15=0,"",Roster!$AK$15)</f>
        <v/>
      </c>
      <c r="AQ90" s="230"/>
      <c r="AR90" s="235" t="str">
        <f>IF(Roster!$AA$15=0,"",Roster!$AA$15)</f>
        <v/>
      </c>
      <c r="AS90" s="203"/>
      <c r="AT90" s="30"/>
      <c r="AU90" s="571" t="str">
        <f>IF(Roster!$O$16=0&amp;"+","",Roster!$O$16)</f>
        <v/>
      </c>
      <c r="AV90" s="196"/>
      <c r="AW90" s="235" t="str">
        <f>IF(Roster!$AE$16=0,"",Roster!$AE$16)</f>
        <v/>
      </c>
      <c r="AX90" s="230"/>
      <c r="AY90" s="235" t="str">
        <f>IF(Roster!$AF$16=0,"",Roster!$AF$16)</f>
        <v/>
      </c>
      <c r="AZ90" s="230"/>
      <c r="BA90" s="235" t="str">
        <f>IF(Roster!$AB$16=0,"",Roster!$AB$16)</f>
        <v/>
      </c>
      <c r="BB90" s="230"/>
      <c r="BC90" s="235" t="str">
        <f>IF(Roster!$AJ$16=0,"",Roster!$AJ$16)</f>
        <v/>
      </c>
      <c r="BD90" s="230"/>
      <c r="BE90" s="235" t="str">
        <f>IF(Roster!$AK$16=0,"",Roster!$AK$16)</f>
        <v/>
      </c>
      <c r="BF90" s="230"/>
      <c r="BG90" s="235" t="str">
        <f>IF(Roster!$AA$16=0,"",Roster!$AA$16)</f>
        <v/>
      </c>
      <c r="BH90" s="203"/>
    </row>
    <row r="91" spans="1:60" s="31" customFormat="1" ht="4.5" customHeight="1" x14ac:dyDescent="0.2">
      <c r="A91" s="30"/>
      <c r="B91" s="572"/>
      <c r="C91" s="196"/>
      <c r="D91" s="230"/>
      <c r="E91" s="230"/>
      <c r="F91" s="230"/>
      <c r="G91" s="230"/>
      <c r="H91" s="230"/>
      <c r="I91" s="230"/>
      <c r="J91" s="230"/>
      <c r="K91" s="230"/>
      <c r="L91" s="230"/>
      <c r="M91" s="230"/>
      <c r="N91" s="233"/>
      <c r="O91" s="203"/>
      <c r="P91" s="30"/>
      <c r="Q91" s="572"/>
      <c r="R91" s="196"/>
      <c r="S91" s="230"/>
      <c r="T91" s="230"/>
      <c r="U91" s="230"/>
      <c r="V91" s="230"/>
      <c r="W91" s="230"/>
      <c r="X91" s="230"/>
      <c r="Y91" s="230"/>
      <c r="Z91" s="230"/>
      <c r="AA91" s="230"/>
      <c r="AB91" s="230"/>
      <c r="AC91" s="233"/>
      <c r="AD91" s="203"/>
      <c r="AE91" s="30"/>
      <c r="AF91" s="572"/>
      <c r="AG91" s="196"/>
      <c r="AH91" s="230"/>
      <c r="AI91" s="230"/>
      <c r="AJ91" s="230"/>
      <c r="AK91" s="230"/>
      <c r="AL91" s="230"/>
      <c r="AM91" s="230"/>
      <c r="AN91" s="230"/>
      <c r="AO91" s="230"/>
      <c r="AP91" s="230"/>
      <c r="AQ91" s="230"/>
      <c r="AR91" s="233"/>
      <c r="AS91" s="203"/>
      <c r="AT91" s="30"/>
      <c r="AU91" s="572"/>
      <c r="AV91" s="196"/>
      <c r="AW91" s="230"/>
      <c r="AX91" s="230"/>
      <c r="AY91" s="230"/>
      <c r="AZ91" s="230"/>
      <c r="BA91" s="230"/>
      <c r="BB91" s="230"/>
      <c r="BC91" s="230"/>
      <c r="BD91" s="230"/>
      <c r="BE91" s="230"/>
      <c r="BF91" s="230"/>
      <c r="BG91" s="233"/>
      <c r="BH91" s="203"/>
    </row>
    <row r="92" spans="1:60" s="31" customFormat="1" ht="11.25" customHeight="1" x14ac:dyDescent="0.2">
      <c r="A92" s="30"/>
      <c r="B92" s="572"/>
      <c r="C92" s="196"/>
      <c r="D92" s="568" t="str">
        <f>IF(Roster!$K$25="Italiano","ABILITÀ &amp; TRATTI",(IF(Roster!$K$25="Español","HABILIDADES Y RASGOS","SKILLS &amp; TRAITS")))</f>
        <v>SKILLS &amp; TRAITS</v>
      </c>
      <c r="E92" s="569"/>
      <c r="F92" s="569"/>
      <c r="G92" s="569"/>
      <c r="H92" s="569"/>
      <c r="I92" s="569"/>
      <c r="J92" s="569"/>
      <c r="K92" s="569"/>
      <c r="L92" s="569"/>
      <c r="M92" s="569"/>
      <c r="N92" s="570"/>
      <c r="O92" s="203"/>
      <c r="P92" s="30"/>
      <c r="Q92" s="572"/>
      <c r="R92" s="196"/>
      <c r="S92" s="568" t="str">
        <f>IF(Roster!$K$25="Italiano","ABILITÀ &amp; TRATTI",(IF(Roster!$K$25="Español","HABILIDADES Y RASGOS","SKILLS &amp; TRAITS")))</f>
        <v>SKILLS &amp; TRAITS</v>
      </c>
      <c r="T92" s="569"/>
      <c r="U92" s="569"/>
      <c r="V92" s="569"/>
      <c r="W92" s="569"/>
      <c r="X92" s="569"/>
      <c r="Y92" s="569"/>
      <c r="Z92" s="569"/>
      <c r="AA92" s="569"/>
      <c r="AB92" s="569"/>
      <c r="AC92" s="570"/>
      <c r="AD92" s="203"/>
      <c r="AE92" s="30"/>
      <c r="AF92" s="572"/>
      <c r="AG92" s="196"/>
      <c r="AH92" s="568" t="str">
        <f>IF(Roster!$K$25="Italiano","ABILITÀ &amp; TRATTI",(IF(Roster!$K$25="Español","HABILIDADES Y RASGOS","SKILLS &amp; TRAITS")))</f>
        <v>SKILLS &amp; TRAITS</v>
      </c>
      <c r="AI92" s="569"/>
      <c r="AJ92" s="569"/>
      <c r="AK92" s="569"/>
      <c r="AL92" s="569"/>
      <c r="AM92" s="569"/>
      <c r="AN92" s="569"/>
      <c r="AO92" s="569"/>
      <c r="AP92" s="569"/>
      <c r="AQ92" s="569"/>
      <c r="AR92" s="570"/>
      <c r="AS92" s="203"/>
      <c r="AT92" s="30"/>
      <c r="AU92" s="572"/>
      <c r="AV92" s="196"/>
      <c r="AW92" s="568" t="str">
        <f>IF(Roster!$K$25="Italiano","ABILITÀ &amp; TRATTI",(IF(Roster!$K$25="Español","HABILIDADES Y RASGOS","SKILLS &amp; TRAITS")))</f>
        <v>SKILLS &amp; TRAITS</v>
      </c>
      <c r="AX92" s="569"/>
      <c r="AY92" s="569"/>
      <c r="AZ92" s="569"/>
      <c r="BA92" s="569"/>
      <c r="BB92" s="569"/>
      <c r="BC92" s="569"/>
      <c r="BD92" s="569"/>
      <c r="BE92" s="569"/>
      <c r="BF92" s="569"/>
      <c r="BG92" s="570"/>
      <c r="BH92" s="203"/>
    </row>
    <row r="93" spans="1:60" s="31" customFormat="1" ht="6.75" customHeight="1" x14ac:dyDescent="0.2">
      <c r="A93" s="30"/>
      <c r="B93" s="445"/>
      <c r="C93" s="196"/>
      <c r="D93" s="561" t="str">
        <f>IF(Roster!$P$13=0&amp;AQ74,"",Roster!$P$13)</f>
        <v/>
      </c>
      <c r="E93" s="541"/>
      <c r="F93" s="541"/>
      <c r="G93" s="541"/>
      <c r="H93" s="541"/>
      <c r="I93" s="541"/>
      <c r="J93" s="541"/>
      <c r="K93" s="541"/>
      <c r="L93" s="541"/>
      <c r="M93" s="541"/>
      <c r="N93" s="562"/>
      <c r="O93" s="203"/>
      <c r="P93" s="30"/>
      <c r="Q93" s="445"/>
      <c r="R93" s="196"/>
      <c r="S93" s="561" t="str">
        <f>IF(Roster!$P$14=0&amp;BF74,"",Roster!$P$14)</f>
        <v/>
      </c>
      <c r="T93" s="541"/>
      <c r="U93" s="541"/>
      <c r="V93" s="541"/>
      <c r="W93" s="541"/>
      <c r="X93" s="541"/>
      <c r="Y93" s="541"/>
      <c r="Z93" s="541"/>
      <c r="AA93" s="541"/>
      <c r="AB93" s="541"/>
      <c r="AC93" s="562"/>
      <c r="AD93" s="203"/>
      <c r="AE93" s="30"/>
      <c r="AF93" s="445"/>
      <c r="AG93" s="196"/>
      <c r="AH93" s="561" t="str">
        <f>IF(Roster!$P$15=0&amp;BU74,"",Roster!$P$15)</f>
        <v/>
      </c>
      <c r="AI93" s="541"/>
      <c r="AJ93" s="541"/>
      <c r="AK93" s="541"/>
      <c r="AL93" s="541"/>
      <c r="AM93" s="541"/>
      <c r="AN93" s="541"/>
      <c r="AO93" s="541"/>
      <c r="AP93" s="541"/>
      <c r="AQ93" s="541"/>
      <c r="AR93" s="562"/>
      <c r="AS93" s="203"/>
      <c r="AT93" s="30"/>
      <c r="AU93" s="445"/>
      <c r="AV93" s="196"/>
      <c r="AW93" s="561" t="str">
        <f>IF(Roster!$P$16=0&amp;CJ74,"",Roster!$P$16)</f>
        <v/>
      </c>
      <c r="AX93" s="541"/>
      <c r="AY93" s="541"/>
      <c r="AZ93" s="541"/>
      <c r="BA93" s="541"/>
      <c r="BB93" s="541"/>
      <c r="BC93" s="541"/>
      <c r="BD93" s="541"/>
      <c r="BE93" s="541"/>
      <c r="BF93" s="541"/>
      <c r="BG93" s="562"/>
      <c r="BH93" s="203"/>
    </row>
    <row r="94" spans="1:60" s="31" customFormat="1" ht="11.25" customHeight="1" x14ac:dyDescent="0.2">
      <c r="A94" s="30"/>
      <c r="B94" s="194" t="str">
        <f>IF(Roster!$AO$1=0,"",Roster!$AO$1)</f>
        <v>COST</v>
      </c>
      <c r="C94" s="195"/>
      <c r="D94" s="563"/>
      <c r="E94" s="564"/>
      <c r="F94" s="564"/>
      <c r="G94" s="564"/>
      <c r="H94" s="564"/>
      <c r="I94" s="564"/>
      <c r="J94" s="564"/>
      <c r="K94" s="564"/>
      <c r="L94" s="564"/>
      <c r="M94" s="564"/>
      <c r="N94" s="562"/>
      <c r="O94" s="206"/>
      <c r="P94" s="30"/>
      <c r="Q94" s="194" t="str">
        <f>IF(Roster!$AO$1=0,"",Roster!$AO$1)</f>
        <v>COST</v>
      </c>
      <c r="R94" s="195"/>
      <c r="S94" s="563"/>
      <c r="T94" s="564"/>
      <c r="U94" s="564"/>
      <c r="V94" s="564"/>
      <c r="W94" s="564"/>
      <c r="X94" s="564"/>
      <c r="Y94" s="564"/>
      <c r="Z94" s="564"/>
      <c r="AA94" s="564"/>
      <c r="AB94" s="564"/>
      <c r="AC94" s="562"/>
      <c r="AD94" s="206"/>
      <c r="AE94" s="30"/>
      <c r="AF94" s="194" t="str">
        <f>IF(Roster!$AO$1=0,"",Roster!$AO$1)</f>
        <v>COST</v>
      </c>
      <c r="AG94" s="195"/>
      <c r="AH94" s="563"/>
      <c r="AI94" s="564"/>
      <c r="AJ94" s="564"/>
      <c r="AK94" s="564"/>
      <c r="AL94" s="564"/>
      <c r="AM94" s="564"/>
      <c r="AN94" s="564"/>
      <c r="AO94" s="564"/>
      <c r="AP94" s="564"/>
      <c r="AQ94" s="564"/>
      <c r="AR94" s="562"/>
      <c r="AS94" s="206"/>
      <c r="AT94" s="30"/>
      <c r="AU94" s="194" t="str">
        <f>IF(Roster!$AO$1=0,"",Roster!$AO$1)</f>
        <v>COST</v>
      </c>
      <c r="AV94" s="195"/>
      <c r="AW94" s="563"/>
      <c r="AX94" s="564"/>
      <c r="AY94" s="564"/>
      <c r="AZ94" s="564"/>
      <c r="BA94" s="564"/>
      <c r="BB94" s="564"/>
      <c r="BC94" s="564"/>
      <c r="BD94" s="564"/>
      <c r="BE94" s="564"/>
      <c r="BF94" s="564"/>
      <c r="BG94" s="562"/>
      <c r="BH94" s="206"/>
    </row>
    <row r="95" spans="1:60" s="31" customFormat="1" ht="34.5" customHeight="1" x14ac:dyDescent="0.2">
      <c r="A95" s="30"/>
      <c r="B95" s="208" t="str">
        <f>IF(Roster!$AO$13=0,"",Roster!$AO$13)</f>
        <v/>
      </c>
      <c r="C95" s="209"/>
      <c r="D95" s="565"/>
      <c r="E95" s="566"/>
      <c r="F95" s="566"/>
      <c r="G95" s="566"/>
      <c r="H95" s="566"/>
      <c r="I95" s="566"/>
      <c r="J95" s="566"/>
      <c r="K95" s="566"/>
      <c r="L95" s="566"/>
      <c r="M95" s="566"/>
      <c r="N95" s="567"/>
      <c r="O95" s="206"/>
      <c r="P95" s="30"/>
      <c r="Q95" s="208" t="str">
        <f>IF(Roster!$AO$14=0,"",Roster!$AO$14)</f>
        <v/>
      </c>
      <c r="R95" s="209"/>
      <c r="S95" s="565"/>
      <c r="T95" s="566"/>
      <c r="U95" s="566"/>
      <c r="V95" s="566"/>
      <c r="W95" s="566"/>
      <c r="X95" s="566"/>
      <c r="Y95" s="566"/>
      <c r="Z95" s="566"/>
      <c r="AA95" s="566"/>
      <c r="AB95" s="566"/>
      <c r="AC95" s="567"/>
      <c r="AD95" s="206"/>
      <c r="AE95" s="30"/>
      <c r="AF95" s="208" t="str">
        <f>IF(Roster!$AO$15=0,"",Roster!$AO$15)</f>
        <v/>
      </c>
      <c r="AG95" s="209"/>
      <c r="AH95" s="565"/>
      <c r="AI95" s="566"/>
      <c r="AJ95" s="566"/>
      <c r="AK95" s="566"/>
      <c r="AL95" s="566"/>
      <c r="AM95" s="566"/>
      <c r="AN95" s="566"/>
      <c r="AO95" s="566"/>
      <c r="AP95" s="566"/>
      <c r="AQ95" s="566"/>
      <c r="AR95" s="567"/>
      <c r="AS95" s="206"/>
      <c r="AT95" s="30"/>
      <c r="AU95" s="208" t="str">
        <f>IF(Roster!$AO$16=0,"",Roster!$AO$16)</f>
        <v/>
      </c>
      <c r="AV95" s="209"/>
      <c r="AW95" s="565"/>
      <c r="AX95" s="566"/>
      <c r="AY95" s="566"/>
      <c r="AZ95" s="566"/>
      <c r="BA95" s="566"/>
      <c r="BB95" s="566"/>
      <c r="BC95" s="566"/>
      <c r="BD95" s="566"/>
      <c r="BE95" s="566"/>
      <c r="BF95" s="566"/>
      <c r="BG95" s="567"/>
      <c r="BH95" s="206"/>
    </row>
    <row r="96" spans="1:60" s="31" customFormat="1" ht="4.5" customHeight="1" x14ac:dyDescent="0.2">
      <c r="A96" s="30"/>
      <c r="B96" s="573"/>
      <c r="C96" s="375"/>
      <c r="D96" s="375"/>
      <c r="E96" s="375"/>
      <c r="F96" s="375"/>
      <c r="G96" s="375"/>
      <c r="H96" s="375"/>
      <c r="I96" s="375"/>
      <c r="J96" s="375"/>
      <c r="K96" s="375"/>
      <c r="L96" s="375"/>
      <c r="M96" s="375"/>
      <c r="N96" s="376"/>
      <c r="O96" s="210"/>
      <c r="P96" s="30"/>
      <c r="Q96" s="573"/>
      <c r="R96" s="375"/>
      <c r="S96" s="375"/>
      <c r="T96" s="375"/>
      <c r="U96" s="375"/>
      <c r="V96" s="375"/>
      <c r="W96" s="375"/>
      <c r="X96" s="375"/>
      <c r="Y96" s="375"/>
      <c r="Z96" s="375"/>
      <c r="AA96" s="375"/>
      <c r="AB96" s="375"/>
      <c r="AC96" s="376"/>
      <c r="AD96" s="210"/>
      <c r="AE96" s="30"/>
      <c r="AF96" s="573"/>
      <c r="AG96" s="375"/>
      <c r="AH96" s="375"/>
      <c r="AI96" s="375"/>
      <c r="AJ96" s="375"/>
      <c r="AK96" s="375"/>
      <c r="AL96" s="375"/>
      <c r="AM96" s="375"/>
      <c r="AN96" s="375"/>
      <c r="AO96" s="375"/>
      <c r="AP96" s="375"/>
      <c r="AQ96" s="375"/>
      <c r="AR96" s="376"/>
      <c r="AS96" s="210"/>
      <c r="AT96" s="30"/>
      <c r="AU96" s="573"/>
      <c r="AV96" s="375"/>
      <c r="AW96" s="375"/>
      <c r="AX96" s="375"/>
      <c r="AY96" s="375"/>
      <c r="AZ96" s="375"/>
      <c r="BA96" s="375"/>
      <c r="BB96" s="375"/>
      <c r="BC96" s="375"/>
      <c r="BD96" s="375"/>
      <c r="BE96" s="375"/>
      <c r="BF96" s="375"/>
      <c r="BG96" s="376"/>
      <c r="BH96" s="210"/>
    </row>
    <row r="97" spans="1:61" ht="11.25" customHeight="1" x14ac:dyDescent="0.2">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x14ac:dyDescent="0.2">
      <c r="A98" s="30"/>
      <c r="B98" s="574" t="str">
        <f>IF(Roster!$A$17=0,"","#"&amp;Roster!$A$17)</f>
        <v>#16</v>
      </c>
      <c r="C98" s="188"/>
      <c r="D98" s="188"/>
      <c r="E98" s="188"/>
      <c r="F98" s="188"/>
      <c r="G98" s="188"/>
      <c r="H98" s="188"/>
      <c r="I98" s="188"/>
      <c r="J98" s="188"/>
      <c r="K98" s="188"/>
      <c r="L98" s="188"/>
      <c r="M98" s="188"/>
      <c r="N98" s="188"/>
      <c r="O98" s="189"/>
      <c r="P98" s="30"/>
      <c r="Q98" s="574"/>
      <c r="R98" s="188"/>
      <c r="S98" s="188"/>
      <c r="T98" s="188"/>
      <c r="U98" s="188"/>
      <c r="V98" s="188"/>
      <c r="W98" s="188"/>
      <c r="X98" s="188"/>
      <c r="Y98" s="188"/>
      <c r="Z98" s="188"/>
      <c r="AA98" s="188"/>
      <c r="AB98" s="188"/>
      <c r="AC98" s="188"/>
      <c r="AD98" s="189"/>
      <c r="AE98" s="202"/>
      <c r="AF98" s="574"/>
      <c r="AG98" s="188"/>
      <c r="AH98" s="188"/>
      <c r="AI98" s="188"/>
      <c r="AJ98" s="188"/>
      <c r="AK98" s="188"/>
      <c r="AL98" s="188"/>
      <c r="AM98" s="188"/>
      <c r="AN98" s="188"/>
      <c r="AO98" s="188"/>
      <c r="AP98" s="188"/>
      <c r="AQ98" s="188"/>
      <c r="AR98" s="188"/>
      <c r="AS98" s="189"/>
      <c r="AT98" s="202"/>
      <c r="AU98" s="574"/>
      <c r="AV98" s="188"/>
      <c r="AW98" s="188"/>
      <c r="AX98" s="188"/>
      <c r="AY98" s="188"/>
      <c r="AZ98" s="188"/>
      <c r="BA98" s="188"/>
      <c r="BB98" s="188"/>
      <c r="BC98" s="188"/>
      <c r="BD98" s="188"/>
      <c r="BE98" s="188"/>
      <c r="BF98" s="188"/>
      <c r="BG98" s="188"/>
      <c r="BH98" s="189"/>
      <c r="BI98" s="211"/>
    </row>
    <row r="99" spans="1:61" ht="15" customHeight="1" x14ac:dyDescent="0.25">
      <c r="A99" s="30"/>
      <c r="B99" s="575"/>
      <c r="C99" s="560" t="str">
        <f>IF(Roster!$B$17=0,"",Roster!$B$17)</f>
        <v/>
      </c>
      <c r="D99" s="484"/>
      <c r="E99" s="484"/>
      <c r="F99" s="484"/>
      <c r="G99" s="484"/>
      <c r="H99" s="484"/>
      <c r="I99" s="484"/>
      <c r="J99" s="484"/>
      <c r="K99" s="484"/>
      <c r="L99" s="484"/>
      <c r="M99" s="484"/>
      <c r="N99" s="485"/>
      <c r="O99" s="190"/>
      <c r="P99" s="30"/>
      <c r="Q99" s="575"/>
      <c r="R99" s="577" t="str">
        <f>IF(Roster!$B$18=0,"","("&amp;Roster!$B$18&amp;")")</f>
        <v>(Star Player &amp; Mercenary)</v>
      </c>
      <c r="S99" s="484"/>
      <c r="T99" s="484"/>
      <c r="U99" s="484"/>
      <c r="V99" s="484"/>
      <c r="W99" s="484"/>
      <c r="X99" s="484"/>
      <c r="Y99" s="484"/>
      <c r="Z99" s="484"/>
      <c r="AA99" s="484"/>
      <c r="AB99" s="484"/>
      <c r="AC99" s="485"/>
      <c r="AD99" s="190"/>
      <c r="AE99" s="202"/>
      <c r="AF99" s="575"/>
      <c r="AG99" s="577" t="str">
        <f>IF(Roster!$B$18=0,"","("&amp;Roster!$B$18&amp;")")</f>
        <v>(Star Player &amp; Mercenary)</v>
      </c>
      <c r="AH99" s="484"/>
      <c r="AI99" s="484"/>
      <c r="AJ99" s="484"/>
      <c r="AK99" s="484"/>
      <c r="AL99" s="484"/>
      <c r="AM99" s="484"/>
      <c r="AN99" s="484"/>
      <c r="AO99" s="484"/>
      <c r="AP99" s="484"/>
      <c r="AQ99" s="484"/>
      <c r="AR99" s="485"/>
      <c r="AS99" s="190"/>
      <c r="AT99" s="202"/>
      <c r="AU99" s="575"/>
      <c r="AV99" s="577" t="str">
        <f>IF(Roster!$B$20=0,"","("&amp;Roster!$B$20&amp;")")</f>
        <v>(Mercenary)</v>
      </c>
      <c r="AW99" s="484"/>
      <c r="AX99" s="484"/>
      <c r="AY99" s="484"/>
      <c r="AZ99" s="484"/>
      <c r="BA99" s="484"/>
      <c r="BB99" s="484"/>
      <c r="BC99" s="484"/>
      <c r="BD99" s="484"/>
      <c r="BE99" s="484"/>
      <c r="BF99" s="484"/>
      <c r="BG99" s="485"/>
      <c r="BH99" s="190"/>
      <c r="BI99" s="211"/>
    </row>
    <row r="100" spans="1:61" ht="11.25" customHeight="1" x14ac:dyDescent="0.2">
      <c r="A100" s="30"/>
      <c r="B100" s="576"/>
      <c r="C100" s="577" t="str">
        <f>IF(Roster!$D$17=0,"",Roster!$D$17)</f>
        <v/>
      </c>
      <c r="D100" s="484"/>
      <c r="E100" s="484"/>
      <c r="F100" s="484"/>
      <c r="G100" s="484"/>
      <c r="H100" s="484"/>
      <c r="I100" s="484"/>
      <c r="J100" s="484"/>
      <c r="K100" s="484"/>
      <c r="L100" s="484"/>
      <c r="M100" s="484"/>
      <c r="N100" s="485"/>
      <c r="O100" s="191"/>
      <c r="P100" s="30"/>
      <c r="Q100" s="576"/>
      <c r="R100" s="607" t="str">
        <f>IF(Roster!$D$18=0,"",Roster!$D$18)</f>
        <v/>
      </c>
      <c r="S100" s="548"/>
      <c r="T100" s="548"/>
      <c r="U100" s="548"/>
      <c r="V100" s="548"/>
      <c r="W100" s="548"/>
      <c r="X100" s="548"/>
      <c r="Y100" s="548"/>
      <c r="Z100" s="548"/>
      <c r="AA100" s="548"/>
      <c r="AB100" s="548"/>
      <c r="AC100" s="549"/>
      <c r="AD100" s="191"/>
      <c r="AE100" s="202"/>
      <c r="AF100" s="576"/>
      <c r="AG100" s="607" t="str">
        <f>IF(Roster!$D$19=0,"",Roster!$D$19)</f>
        <v/>
      </c>
      <c r="AH100" s="548"/>
      <c r="AI100" s="548"/>
      <c r="AJ100" s="548"/>
      <c r="AK100" s="548"/>
      <c r="AL100" s="548"/>
      <c r="AM100" s="548"/>
      <c r="AN100" s="548"/>
      <c r="AO100" s="548"/>
      <c r="AP100" s="548"/>
      <c r="AQ100" s="548"/>
      <c r="AR100" s="549"/>
      <c r="AS100" s="191"/>
      <c r="AT100" s="202"/>
      <c r="AU100" s="576"/>
      <c r="AV100" s="607" t="str">
        <f>IF(Roster!$D$20=0,"",Roster!$D$20)</f>
        <v/>
      </c>
      <c r="AW100" s="548"/>
      <c r="AX100" s="548"/>
      <c r="AY100" s="548"/>
      <c r="AZ100" s="548"/>
      <c r="BA100" s="548"/>
      <c r="BB100" s="548"/>
      <c r="BC100" s="548"/>
      <c r="BD100" s="548"/>
      <c r="BE100" s="548"/>
      <c r="BF100" s="548"/>
      <c r="BG100" s="549"/>
      <c r="BH100" s="191"/>
      <c r="BI100" s="211"/>
    </row>
    <row r="101" spans="1:61" ht="11.25" customHeight="1" x14ac:dyDescent="0.2">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50"/>
      <c r="S101" s="396"/>
      <c r="T101" s="396"/>
      <c r="U101" s="396"/>
      <c r="V101" s="396"/>
      <c r="W101" s="396"/>
      <c r="X101" s="396"/>
      <c r="Y101" s="396"/>
      <c r="Z101" s="396"/>
      <c r="AA101" s="396"/>
      <c r="AB101" s="396"/>
      <c r="AC101" s="551"/>
      <c r="AD101" s="190"/>
      <c r="AE101" s="202"/>
      <c r="AF101" s="194" t="str">
        <f>IF(Roster!$K$1=0,"",Roster!$K$1)</f>
        <v>MA</v>
      </c>
      <c r="AG101" s="550"/>
      <c r="AH101" s="396"/>
      <c r="AI101" s="396"/>
      <c r="AJ101" s="396"/>
      <c r="AK101" s="396"/>
      <c r="AL101" s="396"/>
      <c r="AM101" s="396"/>
      <c r="AN101" s="396"/>
      <c r="AO101" s="396"/>
      <c r="AP101" s="396"/>
      <c r="AQ101" s="396"/>
      <c r="AR101" s="551"/>
      <c r="AS101" s="190"/>
      <c r="AT101" s="202"/>
      <c r="AU101" s="194" t="str">
        <f>IF(Roster!$K$1=0,"",Roster!$K$1)</f>
        <v>MA</v>
      </c>
      <c r="AV101" s="550"/>
      <c r="AW101" s="396"/>
      <c r="AX101" s="396"/>
      <c r="AY101" s="396"/>
      <c r="AZ101" s="396"/>
      <c r="BA101" s="396"/>
      <c r="BB101" s="396"/>
      <c r="BC101" s="396"/>
      <c r="BD101" s="396"/>
      <c r="BE101" s="396"/>
      <c r="BF101" s="396"/>
      <c r="BG101" s="551"/>
      <c r="BH101" s="190"/>
      <c r="BI101" s="211"/>
    </row>
    <row r="102" spans="1:61" ht="37.5" customHeight="1" x14ac:dyDescent="0.2">
      <c r="A102" s="30"/>
      <c r="B102" s="197" t="str">
        <f>IF(Roster!$K$17=0,"",Roster!$K$17)</f>
        <v/>
      </c>
      <c r="C102" s="195"/>
      <c r="D102" s="578"/>
      <c r="E102" s="579"/>
      <c r="F102" s="579"/>
      <c r="G102" s="579"/>
      <c r="H102" s="579"/>
      <c r="I102" s="579"/>
      <c r="J102" s="579"/>
      <c r="K102" s="579"/>
      <c r="L102" s="579"/>
      <c r="M102" s="579"/>
      <c r="N102" s="580"/>
      <c r="O102" s="190"/>
      <c r="P102" s="30"/>
      <c r="Q102" s="197" t="str">
        <f>IF(Roster!$K$18=0,"",Roster!$K$18)</f>
        <v/>
      </c>
      <c r="R102" s="552"/>
      <c r="S102" s="553"/>
      <c r="T102" s="553"/>
      <c r="U102" s="553"/>
      <c r="V102" s="553"/>
      <c r="W102" s="553"/>
      <c r="X102" s="553"/>
      <c r="Y102" s="553"/>
      <c r="Z102" s="553"/>
      <c r="AA102" s="553"/>
      <c r="AB102" s="553"/>
      <c r="AC102" s="371"/>
      <c r="AD102" s="588"/>
      <c r="AE102" s="202"/>
      <c r="AF102" s="197" t="str">
        <f>IF(Roster!$K$19=0,"",Roster!$K$19)</f>
        <v/>
      </c>
      <c r="AG102" s="552"/>
      <c r="AH102" s="553"/>
      <c r="AI102" s="553"/>
      <c r="AJ102" s="553"/>
      <c r="AK102" s="553"/>
      <c r="AL102" s="553"/>
      <c r="AM102" s="553"/>
      <c r="AN102" s="553"/>
      <c r="AO102" s="553"/>
      <c r="AP102" s="553"/>
      <c r="AQ102" s="553"/>
      <c r="AR102" s="371"/>
      <c r="AS102" s="588"/>
      <c r="AT102" s="202"/>
      <c r="AU102" s="197" t="str">
        <f>IF(Roster!$K$20=0,"",Roster!$K$20)</f>
        <v/>
      </c>
      <c r="AV102" s="552"/>
      <c r="AW102" s="553"/>
      <c r="AX102" s="553"/>
      <c r="AY102" s="553"/>
      <c r="AZ102" s="553"/>
      <c r="BA102" s="553"/>
      <c r="BB102" s="553"/>
      <c r="BC102" s="553"/>
      <c r="BD102" s="553"/>
      <c r="BE102" s="553"/>
      <c r="BF102" s="553"/>
      <c r="BG102" s="371"/>
      <c r="BH102" s="588"/>
      <c r="BI102" s="211"/>
    </row>
    <row r="103" spans="1:61" ht="11.25" customHeight="1" x14ac:dyDescent="0.2">
      <c r="A103" s="30"/>
      <c r="B103" s="194" t="str">
        <f>IF(Roster!$L$1=0,"",Roster!$L$1)</f>
        <v>ST</v>
      </c>
      <c r="C103" s="195"/>
      <c r="D103" s="581"/>
      <c r="E103" s="582"/>
      <c r="F103" s="582"/>
      <c r="G103" s="582"/>
      <c r="H103" s="582"/>
      <c r="I103" s="582"/>
      <c r="J103" s="582"/>
      <c r="K103" s="582"/>
      <c r="L103" s="582"/>
      <c r="M103" s="582"/>
      <c r="N103" s="583"/>
      <c r="O103" s="190"/>
      <c r="P103" s="30"/>
      <c r="Q103" s="194" t="str">
        <f>IF(Roster!$L$1=0,"",Roster!$L$1)</f>
        <v>ST</v>
      </c>
      <c r="R103" s="591"/>
      <c r="S103" s="608" t="str">
        <f>IF(Roster!$K$25="Español","REGLA ESPECIAL","SPECIAL RULE")</f>
        <v>SPECIAL RULE</v>
      </c>
      <c r="T103" s="372"/>
      <c r="U103" s="372"/>
      <c r="V103" s="372"/>
      <c r="W103" s="372"/>
      <c r="X103" s="372"/>
      <c r="Y103" s="372"/>
      <c r="Z103" s="372"/>
      <c r="AA103" s="372"/>
      <c r="AB103" s="372"/>
      <c r="AC103" s="609"/>
      <c r="AD103" s="589"/>
      <c r="AE103" s="202"/>
      <c r="AF103" s="194" t="str">
        <f>IF(Roster!$L$1=0,"",Roster!$L$1)</f>
        <v>ST</v>
      </c>
      <c r="AG103" s="591"/>
      <c r="AH103" s="608" t="str">
        <f>IF(Roster!$K$25="Español","REGLA ESPECIAL","SPECIAL RULE")</f>
        <v>SPECIAL RULE</v>
      </c>
      <c r="AI103" s="372"/>
      <c r="AJ103" s="372"/>
      <c r="AK103" s="372"/>
      <c r="AL103" s="372"/>
      <c r="AM103" s="372"/>
      <c r="AN103" s="372"/>
      <c r="AO103" s="372"/>
      <c r="AP103" s="372"/>
      <c r="AQ103" s="372"/>
      <c r="AR103" s="609"/>
      <c r="AS103" s="589"/>
      <c r="AT103" s="202"/>
      <c r="AU103" s="194" t="str">
        <f>IF(Roster!$L$1=0,"",Roster!$L$1)</f>
        <v>ST</v>
      </c>
      <c r="AV103" s="591"/>
      <c r="AW103" s="608" t="str">
        <f>IF(Roster!$K$25="Italiano","REGOLE SPECIALI",(IF(Roster!$K$25="Español","REGLA ESPECIAL","SPECIAL RULE")))</f>
        <v>SPECIAL RULE</v>
      </c>
      <c r="AX103" s="372"/>
      <c r="AY103" s="372"/>
      <c r="AZ103" s="372"/>
      <c r="BA103" s="372"/>
      <c r="BB103" s="372"/>
      <c r="BC103" s="372"/>
      <c r="BD103" s="372"/>
      <c r="BE103" s="372"/>
      <c r="BF103" s="372"/>
      <c r="BG103" s="609"/>
      <c r="BH103" s="589"/>
      <c r="BI103" s="211"/>
    </row>
    <row r="104" spans="1:61" ht="37.5" customHeight="1" x14ac:dyDescent="0.2">
      <c r="A104" s="30"/>
      <c r="B104" s="197" t="str">
        <f>IF(Roster!$L$17=0,"",Roster!$L$17)</f>
        <v/>
      </c>
      <c r="C104" s="195"/>
      <c r="D104" s="581"/>
      <c r="E104" s="582"/>
      <c r="F104" s="582"/>
      <c r="G104" s="582"/>
      <c r="H104" s="582"/>
      <c r="I104" s="582"/>
      <c r="J104" s="582"/>
      <c r="K104" s="582"/>
      <c r="L104" s="582"/>
      <c r="M104" s="582"/>
      <c r="N104" s="583"/>
      <c r="O104" s="190"/>
      <c r="P104" s="30"/>
      <c r="Q104" s="197" t="str">
        <f>IF(Roster!$L$18=0,"",Roster!$L$18)</f>
        <v/>
      </c>
      <c r="R104" s="499"/>
      <c r="S104" s="592" t="str">
        <f>IF(Roster!$AA$18=0,"",Roster!$AA$18)</f>
        <v/>
      </c>
      <c r="T104" s="593"/>
      <c r="U104" s="593"/>
      <c r="V104" s="593"/>
      <c r="W104" s="593"/>
      <c r="X104" s="593"/>
      <c r="Y104" s="593"/>
      <c r="Z104" s="593"/>
      <c r="AA104" s="593"/>
      <c r="AB104" s="593"/>
      <c r="AC104" s="594"/>
      <c r="AD104" s="589"/>
      <c r="AE104" s="202"/>
      <c r="AF104" s="197" t="str">
        <f>IF(Roster!$L$19=0,"",Roster!$L$19)</f>
        <v/>
      </c>
      <c r="AG104" s="499"/>
      <c r="AH104" s="592" t="str">
        <f>IF(Roster!$AA$19=0,"",Roster!$AA$19)</f>
        <v/>
      </c>
      <c r="AI104" s="593"/>
      <c r="AJ104" s="593"/>
      <c r="AK104" s="593"/>
      <c r="AL104" s="593"/>
      <c r="AM104" s="593"/>
      <c r="AN104" s="593"/>
      <c r="AO104" s="593"/>
      <c r="AP104" s="593"/>
      <c r="AQ104" s="593"/>
      <c r="AR104" s="594"/>
      <c r="AS104" s="589"/>
      <c r="AT104" s="202"/>
      <c r="AU104" s="197" t="str">
        <f>IF(Roster!$L$20=0,"",Roster!$L$20)</f>
        <v/>
      </c>
      <c r="AV104" s="499"/>
      <c r="AW104" s="592" t="str">
        <f>IF(Roster!$AA$20=0,"",Roster!$AA$20)</f>
        <v/>
      </c>
      <c r="AX104" s="593"/>
      <c r="AY104" s="593"/>
      <c r="AZ104" s="593"/>
      <c r="BA104" s="593"/>
      <c r="BB104" s="593"/>
      <c r="BC104" s="593"/>
      <c r="BD104" s="593"/>
      <c r="BE104" s="593"/>
      <c r="BF104" s="593"/>
      <c r="BG104" s="594"/>
      <c r="BH104" s="589"/>
      <c r="BI104" s="211"/>
    </row>
    <row r="105" spans="1:61" ht="11.25" customHeight="1" x14ac:dyDescent="0.2">
      <c r="A105" s="30"/>
      <c r="B105" s="194" t="str">
        <f>IF(Roster!$M$1=0,"",Roster!$M$1)</f>
        <v>AG</v>
      </c>
      <c r="C105" s="195"/>
      <c r="D105" s="581"/>
      <c r="E105" s="582"/>
      <c r="F105" s="582"/>
      <c r="G105" s="582"/>
      <c r="H105" s="582"/>
      <c r="I105" s="582"/>
      <c r="J105" s="582"/>
      <c r="K105" s="582"/>
      <c r="L105" s="582"/>
      <c r="M105" s="582"/>
      <c r="N105" s="583"/>
      <c r="O105" s="190"/>
      <c r="P105" s="30"/>
      <c r="Q105" s="194" t="str">
        <f>IF(Roster!$M$1=0,"",Roster!$M$1)</f>
        <v>AG</v>
      </c>
      <c r="R105" s="499"/>
      <c r="S105" s="595"/>
      <c r="T105" s="596"/>
      <c r="U105" s="596"/>
      <c r="V105" s="596"/>
      <c r="W105" s="596"/>
      <c r="X105" s="596"/>
      <c r="Y105" s="596"/>
      <c r="Z105" s="596"/>
      <c r="AA105" s="596"/>
      <c r="AB105" s="596"/>
      <c r="AC105" s="597"/>
      <c r="AD105" s="589"/>
      <c r="AE105" s="202"/>
      <c r="AF105" s="194" t="str">
        <f>IF(Roster!$M$1=0,"",Roster!$M$1)</f>
        <v>AG</v>
      </c>
      <c r="AG105" s="499"/>
      <c r="AH105" s="595"/>
      <c r="AI105" s="596"/>
      <c r="AJ105" s="596"/>
      <c r="AK105" s="596"/>
      <c r="AL105" s="596"/>
      <c r="AM105" s="596"/>
      <c r="AN105" s="596"/>
      <c r="AO105" s="596"/>
      <c r="AP105" s="596"/>
      <c r="AQ105" s="596"/>
      <c r="AR105" s="597"/>
      <c r="AS105" s="589"/>
      <c r="AT105" s="202"/>
      <c r="AU105" s="194" t="str">
        <f>IF(Roster!$M$1=0,"",Roster!$M$1)</f>
        <v>AG</v>
      </c>
      <c r="AV105" s="499"/>
      <c r="AW105" s="595"/>
      <c r="AX105" s="596"/>
      <c r="AY105" s="596"/>
      <c r="AZ105" s="596"/>
      <c r="BA105" s="596"/>
      <c r="BB105" s="596"/>
      <c r="BC105" s="596"/>
      <c r="BD105" s="596"/>
      <c r="BE105" s="596"/>
      <c r="BF105" s="596"/>
      <c r="BG105" s="597"/>
      <c r="BH105" s="589"/>
      <c r="BI105" s="211"/>
    </row>
    <row r="106" spans="1:61" ht="37.5" customHeight="1" x14ac:dyDescent="0.2">
      <c r="A106" s="30"/>
      <c r="B106" s="197" t="str">
        <f>IF(Roster!$M$17=0&amp;"+","",Roster!$M$17)</f>
        <v/>
      </c>
      <c r="C106" s="195"/>
      <c r="D106" s="581"/>
      <c r="E106" s="582"/>
      <c r="F106" s="582"/>
      <c r="G106" s="582"/>
      <c r="H106" s="582"/>
      <c r="I106" s="582"/>
      <c r="J106" s="582"/>
      <c r="K106" s="582"/>
      <c r="L106" s="582"/>
      <c r="M106" s="582"/>
      <c r="N106" s="583"/>
      <c r="O106" s="190"/>
      <c r="P106" s="30"/>
      <c r="Q106" s="197" t="str">
        <f>IF(Roster!$M$18=0,"",Roster!$M$18)</f>
        <v/>
      </c>
      <c r="R106" s="499"/>
      <c r="S106" s="595"/>
      <c r="T106" s="596"/>
      <c r="U106" s="596"/>
      <c r="V106" s="596"/>
      <c r="W106" s="596"/>
      <c r="X106" s="596"/>
      <c r="Y106" s="596"/>
      <c r="Z106" s="596"/>
      <c r="AA106" s="596"/>
      <c r="AB106" s="596"/>
      <c r="AC106" s="597"/>
      <c r="AD106" s="589"/>
      <c r="AE106" s="202"/>
      <c r="AF106" s="197" t="str">
        <f>IF(Roster!$M$19=0,"",Roster!$M$19)</f>
        <v/>
      </c>
      <c r="AG106" s="499"/>
      <c r="AH106" s="595"/>
      <c r="AI106" s="596"/>
      <c r="AJ106" s="596"/>
      <c r="AK106" s="596"/>
      <c r="AL106" s="596"/>
      <c r="AM106" s="596"/>
      <c r="AN106" s="596"/>
      <c r="AO106" s="596"/>
      <c r="AP106" s="596"/>
      <c r="AQ106" s="596"/>
      <c r="AR106" s="597"/>
      <c r="AS106" s="589"/>
      <c r="AT106" s="202"/>
      <c r="AU106" s="197" t="str">
        <f>IF(Roster!$M$20=0,"",Roster!$M$20)</f>
        <v/>
      </c>
      <c r="AV106" s="499"/>
      <c r="AW106" s="595"/>
      <c r="AX106" s="596"/>
      <c r="AY106" s="596"/>
      <c r="AZ106" s="596"/>
      <c r="BA106" s="596"/>
      <c r="BB106" s="596"/>
      <c r="BC106" s="596"/>
      <c r="BD106" s="596"/>
      <c r="BE106" s="596"/>
      <c r="BF106" s="596"/>
      <c r="BG106" s="597"/>
      <c r="BH106" s="589"/>
      <c r="BI106" s="211"/>
    </row>
    <row r="107" spans="1:61" ht="11.25" customHeight="1" x14ac:dyDescent="0.2">
      <c r="A107" s="30"/>
      <c r="B107" s="194" t="str">
        <f>IF(Roster!$N$1=0,"",Roster!$N$1)</f>
        <v>PA</v>
      </c>
      <c r="C107" s="195"/>
      <c r="D107" s="581"/>
      <c r="E107" s="582"/>
      <c r="F107" s="582"/>
      <c r="G107" s="582"/>
      <c r="H107" s="582"/>
      <c r="I107" s="582"/>
      <c r="J107" s="582"/>
      <c r="K107" s="582"/>
      <c r="L107" s="582"/>
      <c r="M107" s="582"/>
      <c r="N107" s="583"/>
      <c r="O107" s="199"/>
      <c r="P107" s="30"/>
      <c r="Q107" s="194" t="str">
        <f>IF(Roster!$N$1=0,"",Roster!$N$1)</f>
        <v>PA</v>
      </c>
      <c r="R107" s="499"/>
      <c r="S107" s="595"/>
      <c r="T107" s="596"/>
      <c r="U107" s="596"/>
      <c r="V107" s="596"/>
      <c r="W107" s="596"/>
      <c r="X107" s="596"/>
      <c r="Y107" s="596"/>
      <c r="Z107" s="596"/>
      <c r="AA107" s="596"/>
      <c r="AB107" s="596"/>
      <c r="AC107" s="597"/>
      <c r="AD107" s="589"/>
      <c r="AE107" s="202"/>
      <c r="AF107" s="194" t="str">
        <f>IF(Roster!$N$1=0,"",Roster!$N$1)</f>
        <v>PA</v>
      </c>
      <c r="AG107" s="499"/>
      <c r="AH107" s="595"/>
      <c r="AI107" s="596"/>
      <c r="AJ107" s="596"/>
      <c r="AK107" s="596"/>
      <c r="AL107" s="596"/>
      <c r="AM107" s="596"/>
      <c r="AN107" s="596"/>
      <c r="AO107" s="596"/>
      <c r="AP107" s="596"/>
      <c r="AQ107" s="596"/>
      <c r="AR107" s="597"/>
      <c r="AS107" s="589"/>
      <c r="AT107" s="202"/>
      <c r="AU107" s="194" t="str">
        <f>IF(Roster!$N$1=0,"",Roster!$N$1)</f>
        <v>PA</v>
      </c>
      <c r="AV107" s="499"/>
      <c r="AW107" s="595"/>
      <c r="AX107" s="596"/>
      <c r="AY107" s="596"/>
      <c r="AZ107" s="596"/>
      <c r="BA107" s="596"/>
      <c r="BB107" s="596"/>
      <c r="BC107" s="596"/>
      <c r="BD107" s="596"/>
      <c r="BE107" s="596"/>
      <c r="BF107" s="596"/>
      <c r="BG107" s="597"/>
      <c r="BH107" s="589"/>
      <c r="BI107" s="211"/>
    </row>
    <row r="108" spans="1:61" ht="6" customHeight="1" x14ac:dyDescent="0.2">
      <c r="A108" s="30"/>
      <c r="B108" s="571" t="str">
        <f>IF(Roster!$N$17=0&amp;"+","",Roster!$N$17)</f>
        <v/>
      </c>
      <c r="C108" s="195"/>
      <c r="D108" s="584"/>
      <c r="E108" s="585"/>
      <c r="F108" s="585"/>
      <c r="G108" s="585"/>
      <c r="H108" s="585"/>
      <c r="I108" s="585"/>
      <c r="J108" s="585"/>
      <c r="K108" s="585"/>
      <c r="L108" s="585"/>
      <c r="M108" s="585"/>
      <c r="N108" s="586"/>
      <c r="O108" s="201"/>
      <c r="P108" s="30"/>
      <c r="Q108" s="571" t="str">
        <f>IF(Roster!$N$18=0,"",Roster!$N$18)</f>
        <v/>
      </c>
      <c r="R108" s="499"/>
      <c r="S108" s="595"/>
      <c r="T108" s="596"/>
      <c r="U108" s="596"/>
      <c r="V108" s="596"/>
      <c r="W108" s="596"/>
      <c r="X108" s="596"/>
      <c r="Y108" s="596"/>
      <c r="Z108" s="596"/>
      <c r="AA108" s="596"/>
      <c r="AB108" s="596"/>
      <c r="AC108" s="597"/>
      <c r="AD108" s="589"/>
      <c r="AE108" s="202"/>
      <c r="AF108" s="571" t="str">
        <f>IF(Roster!$N$19=0,"",Roster!$N$19)</f>
        <v/>
      </c>
      <c r="AG108" s="499"/>
      <c r="AH108" s="595"/>
      <c r="AI108" s="596"/>
      <c r="AJ108" s="596"/>
      <c r="AK108" s="596"/>
      <c r="AL108" s="596"/>
      <c r="AM108" s="596"/>
      <c r="AN108" s="596"/>
      <c r="AO108" s="596"/>
      <c r="AP108" s="596"/>
      <c r="AQ108" s="596"/>
      <c r="AR108" s="597"/>
      <c r="AS108" s="589"/>
      <c r="AT108" s="202"/>
      <c r="AU108" s="571" t="str">
        <f>IF(Roster!$N$20=0,"",Roster!$N$20)</f>
        <v/>
      </c>
      <c r="AV108" s="499"/>
      <c r="AW108" s="595"/>
      <c r="AX108" s="596"/>
      <c r="AY108" s="596"/>
      <c r="AZ108" s="596"/>
      <c r="BA108" s="596"/>
      <c r="BB108" s="596"/>
      <c r="BC108" s="596"/>
      <c r="BD108" s="596"/>
      <c r="BE108" s="596"/>
      <c r="BF108" s="596"/>
      <c r="BG108" s="597"/>
      <c r="BH108" s="589"/>
      <c r="BI108" s="211"/>
    </row>
    <row r="109" spans="1:61" ht="4.5" customHeight="1" x14ac:dyDescent="0.2">
      <c r="A109" s="30"/>
      <c r="B109" s="572"/>
      <c r="C109" s="193"/>
      <c r="D109" s="202"/>
      <c r="E109" s="200"/>
      <c r="F109" s="202"/>
      <c r="G109" s="200"/>
      <c r="H109" s="202"/>
      <c r="I109" s="200"/>
      <c r="J109" s="202"/>
      <c r="K109" s="200"/>
      <c r="L109" s="202"/>
      <c r="M109" s="200"/>
      <c r="N109" s="202"/>
      <c r="O109" s="201"/>
      <c r="P109" s="30"/>
      <c r="Q109" s="572"/>
      <c r="R109" s="499"/>
      <c r="S109" s="595"/>
      <c r="T109" s="596"/>
      <c r="U109" s="596"/>
      <c r="V109" s="596"/>
      <c r="W109" s="596"/>
      <c r="X109" s="596"/>
      <c r="Y109" s="596"/>
      <c r="Z109" s="596"/>
      <c r="AA109" s="596"/>
      <c r="AB109" s="596"/>
      <c r="AC109" s="597"/>
      <c r="AD109" s="589"/>
      <c r="AE109" s="202"/>
      <c r="AF109" s="572"/>
      <c r="AG109" s="499"/>
      <c r="AH109" s="595"/>
      <c r="AI109" s="596"/>
      <c r="AJ109" s="596"/>
      <c r="AK109" s="596"/>
      <c r="AL109" s="596"/>
      <c r="AM109" s="596"/>
      <c r="AN109" s="596"/>
      <c r="AO109" s="596"/>
      <c r="AP109" s="596"/>
      <c r="AQ109" s="596"/>
      <c r="AR109" s="597"/>
      <c r="AS109" s="589"/>
      <c r="AT109" s="202"/>
      <c r="AU109" s="572"/>
      <c r="AV109" s="499"/>
      <c r="AW109" s="595"/>
      <c r="AX109" s="596"/>
      <c r="AY109" s="596"/>
      <c r="AZ109" s="596"/>
      <c r="BA109" s="596"/>
      <c r="BB109" s="596"/>
      <c r="BC109" s="596"/>
      <c r="BD109" s="596"/>
      <c r="BE109" s="596"/>
      <c r="BF109" s="596"/>
      <c r="BG109" s="597"/>
      <c r="BH109" s="589"/>
      <c r="BI109" s="211"/>
    </row>
    <row r="110" spans="1:61" ht="11.25" customHeight="1" x14ac:dyDescent="0.2">
      <c r="A110" s="30"/>
      <c r="B110" s="572"/>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72"/>
      <c r="R110" s="499"/>
      <c r="S110" s="595"/>
      <c r="T110" s="596"/>
      <c r="U110" s="596"/>
      <c r="V110" s="596"/>
      <c r="W110" s="596"/>
      <c r="X110" s="596"/>
      <c r="Y110" s="596"/>
      <c r="Z110" s="596"/>
      <c r="AA110" s="596"/>
      <c r="AB110" s="596"/>
      <c r="AC110" s="597"/>
      <c r="AD110" s="589"/>
      <c r="AE110" s="202"/>
      <c r="AF110" s="572"/>
      <c r="AG110" s="499"/>
      <c r="AH110" s="595"/>
      <c r="AI110" s="596"/>
      <c r="AJ110" s="596"/>
      <c r="AK110" s="596"/>
      <c r="AL110" s="596"/>
      <c r="AM110" s="596"/>
      <c r="AN110" s="596"/>
      <c r="AO110" s="596"/>
      <c r="AP110" s="596"/>
      <c r="AQ110" s="596"/>
      <c r="AR110" s="597"/>
      <c r="AS110" s="589"/>
      <c r="AT110" s="202"/>
      <c r="AU110" s="572"/>
      <c r="AV110" s="499"/>
      <c r="AW110" s="595"/>
      <c r="AX110" s="596"/>
      <c r="AY110" s="596"/>
      <c r="AZ110" s="596"/>
      <c r="BA110" s="596"/>
      <c r="BB110" s="596"/>
      <c r="BC110" s="596"/>
      <c r="BD110" s="596"/>
      <c r="BE110" s="596"/>
      <c r="BF110" s="596"/>
      <c r="BG110" s="597"/>
      <c r="BH110" s="589"/>
      <c r="BI110" s="211"/>
    </row>
    <row r="111" spans="1:61" ht="15" customHeight="1" x14ac:dyDescent="0.2">
      <c r="A111" s="30"/>
      <c r="B111" s="572"/>
      <c r="C111" s="196"/>
      <c r="D111" s="235" t="str">
        <f>IF(Roster!$AD$17=0,"",Roster!$AD$17)</f>
        <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72"/>
      <c r="R111" s="499"/>
      <c r="S111" s="598"/>
      <c r="T111" s="599"/>
      <c r="U111" s="599"/>
      <c r="V111" s="599"/>
      <c r="W111" s="599"/>
      <c r="X111" s="599"/>
      <c r="Y111" s="599"/>
      <c r="Z111" s="599"/>
      <c r="AA111" s="599"/>
      <c r="AB111" s="599"/>
      <c r="AC111" s="600"/>
      <c r="AD111" s="589"/>
      <c r="AE111" s="202"/>
      <c r="AF111" s="572"/>
      <c r="AG111" s="499"/>
      <c r="AH111" s="598"/>
      <c r="AI111" s="599"/>
      <c r="AJ111" s="599"/>
      <c r="AK111" s="599"/>
      <c r="AL111" s="599"/>
      <c r="AM111" s="599"/>
      <c r="AN111" s="599"/>
      <c r="AO111" s="599"/>
      <c r="AP111" s="599"/>
      <c r="AQ111" s="599"/>
      <c r="AR111" s="600"/>
      <c r="AS111" s="589"/>
      <c r="AT111" s="202"/>
      <c r="AU111" s="572"/>
      <c r="AV111" s="499"/>
      <c r="AW111" s="598"/>
      <c r="AX111" s="599"/>
      <c r="AY111" s="599"/>
      <c r="AZ111" s="599"/>
      <c r="BA111" s="599"/>
      <c r="BB111" s="599"/>
      <c r="BC111" s="599"/>
      <c r="BD111" s="599"/>
      <c r="BE111" s="599"/>
      <c r="BF111" s="599"/>
      <c r="BG111" s="600"/>
      <c r="BH111" s="589"/>
      <c r="BI111" s="211"/>
    </row>
    <row r="112" spans="1:61" ht="4.5" customHeight="1" x14ac:dyDescent="0.2">
      <c r="A112" s="30"/>
      <c r="B112" s="445"/>
      <c r="C112" s="196"/>
      <c r="D112" s="231"/>
      <c r="E112" s="230"/>
      <c r="F112" s="231"/>
      <c r="G112" s="230"/>
      <c r="H112" s="231"/>
      <c r="I112" s="230"/>
      <c r="J112" s="231"/>
      <c r="K112" s="230"/>
      <c r="L112" s="231"/>
      <c r="M112" s="230"/>
      <c r="N112" s="231"/>
      <c r="O112" s="201"/>
      <c r="P112" s="30"/>
      <c r="Q112" s="445"/>
      <c r="R112" s="499"/>
      <c r="S112" s="601"/>
      <c r="T112" s="361"/>
      <c r="U112" s="361"/>
      <c r="V112" s="361"/>
      <c r="W112" s="361"/>
      <c r="X112" s="361"/>
      <c r="Y112" s="361"/>
      <c r="Z112" s="361"/>
      <c r="AA112" s="361"/>
      <c r="AB112" s="361"/>
      <c r="AC112" s="364"/>
      <c r="AD112" s="589"/>
      <c r="AE112" s="202"/>
      <c r="AF112" s="445"/>
      <c r="AG112" s="499"/>
      <c r="AH112" s="601"/>
      <c r="AI112" s="361"/>
      <c r="AJ112" s="361"/>
      <c r="AK112" s="361"/>
      <c r="AL112" s="361"/>
      <c r="AM112" s="361"/>
      <c r="AN112" s="361"/>
      <c r="AO112" s="361"/>
      <c r="AP112" s="361"/>
      <c r="AQ112" s="361"/>
      <c r="AR112" s="364"/>
      <c r="AS112" s="589"/>
      <c r="AT112" s="202"/>
      <c r="AU112" s="445"/>
      <c r="AV112" s="499"/>
      <c r="AW112" s="601"/>
      <c r="AX112" s="361"/>
      <c r="AY112" s="361"/>
      <c r="AZ112" s="361"/>
      <c r="BA112" s="361"/>
      <c r="BB112" s="361"/>
      <c r="BC112" s="361"/>
      <c r="BD112" s="361"/>
      <c r="BE112" s="361"/>
      <c r="BF112" s="361"/>
      <c r="BG112" s="364"/>
      <c r="BH112" s="589"/>
      <c r="BI112" s="211"/>
    </row>
    <row r="113" spans="1:61" ht="11.25" customHeight="1" x14ac:dyDescent="0.2">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499"/>
      <c r="S113" s="602" t="str">
        <f>IF(Roster!$K$25="Español","HABILIDADES Y RASGOS","SKILLS &amp; TRAITS")</f>
        <v>SKILLS &amp; TRAITS</v>
      </c>
      <c r="T113" s="484"/>
      <c r="U113" s="484"/>
      <c r="V113" s="484"/>
      <c r="W113" s="484"/>
      <c r="X113" s="484"/>
      <c r="Y113" s="484"/>
      <c r="Z113" s="484"/>
      <c r="AA113" s="484"/>
      <c r="AB113" s="484"/>
      <c r="AC113" s="603"/>
      <c r="AD113" s="589"/>
      <c r="AE113" s="202"/>
      <c r="AF113" s="194" t="str">
        <f>IF(Roster!$O$1=0,"",Roster!$O$1)</f>
        <v>AV</v>
      </c>
      <c r="AG113" s="499"/>
      <c r="AH113" s="602" t="str">
        <f>IF(Roster!$K$25="Español","HABILIDADES Y RASGOS","SKILLS &amp; TRAITS")</f>
        <v>SKILLS &amp; TRAITS</v>
      </c>
      <c r="AI113" s="484"/>
      <c r="AJ113" s="484"/>
      <c r="AK113" s="484"/>
      <c r="AL113" s="484"/>
      <c r="AM113" s="484"/>
      <c r="AN113" s="484"/>
      <c r="AO113" s="484"/>
      <c r="AP113" s="484"/>
      <c r="AQ113" s="484"/>
      <c r="AR113" s="603"/>
      <c r="AS113" s="589"/>
      <c r="AT113" s="202"/>
      <c r="AU113" s="194" t="str">
        <f>IF(Roster!$O$1=0,"",Roster!$O$1)</f>
        <v>AV</v>
      </c>
      <c r="AV113" s="499"/>
      <c r="AW113" s="602" t="str">
        <f>IF(Roster!$K$25="Italiano","ABILITÀ &amp; TRATTI",(IF(Roster!$K$25="Español","HABILIDADES Y RASGOS","SKILLS &amp; TRAITS")))</f>
        <v>SKILLS &amp; TRAITS</v>
      </c>
      <c r="AX113" s="484"/>
      <c r="AY113" s="484"/>
      <c r="AZ113" s="484"/>
      <c r="BA113" s="484"/>
      <c r="BB113" s="484"/>
      <c r="BC113" s="484"/>
      <c r="BD113" s="484"/>
      <c r="BE113" s="484"/>
      <c r="BF113" s="484"/>
      <c r="BG113" s="603"/>
      <c r="BH113" s="589"/>
      <c r="BI113" s="211"/>
    </row>
    <row r="114" spans="1:61" ht="15" customHeight="1" x14ac:dyDescent="0.2">
      <c r="A114" s="30"/>
      <c r="B114" s="571" t="str">
        <f>IF(Roster!$O$17=0&amp;"+","",Roster!$O$17)</f>
        <v/>
      </c>
      <c r="C114" s="196"/>
      <c r="D114" s="235" t="str">
        <f>IF(Roster!$AE$17=0,"",Roster!$AE$17)</f>
        <v/>
      </c>
      <c r="E114" s="230"/>
      <c r="F114" s="235" t="str">
        <f>IF(Roster!$AF$17=0,"",Roster!$AF$17)</f>
        <v/>
      </c>
      <c r="G114" s="230"/>
      <c r="H114" s="235" t="str">
        <f>IF(Roster!$AB$17=0,"",Roster!$AB$17)</f>
        <v/>
      </c>
      <c r="I114" s="230"/>
      <c r="J114" s="235" t="str">
        <f>IF(Roster!$AJ$17=0,"",Roster!$AJ$17)</f>
        <v/>
      </c>
      <c r="K114" s="230"/>
      <c r="L114" s="235" t="str">
        <f>IF(Roster!$AK$17=0,"",Roster!$AK$17)</f>
        <v/>
      </c>
      <c r="M114" s="230"/>
      <c r="N114" s="235" t="str">
        <f>IF(Roster!$AA$17=0,"",Roster!$AA$17)</f>
        <v/>
      </c>
      <c r="O114" s="203"/>
      <c r="P114" s="30"/>
      <c r="Q114" s="571" t="str">
        <f>IF(Roster!$O$18=0,"",Roster!$O$18)</f>
        <v/>
      </c>
      <c r="R114" s="499"/>
      <c r="S114" s="592" t="str">
        <f>IF(Roster!$P$18=0,"",Roster!$P$18)</f>
        <v/>
      </c>
      <c r="T114" s="593"/>
      <c r="U114" s="593"/>
      <c r="V114" s="593"/>
      <c r="W114" s="593"/>
      <c r="X114" s="593"/>
      <c r="Y114" s="593"/>
      <c r="Z114" s="593"/>
      <c r="AA114" s="593"/>
      <c r="AB114" s="593"/>
      <c r="AC114" s="594"/>
      <c r="AD114" s="589"/>
      <c r="AE114" s="202"/>
      <c r="AF114" s="571" t="str">
        <f>IF(Roster!$O$19=0,"",Roster!$O$19)</f>
        <v/>
      </c>
      <c r="AG114" s="499"/>
      <c r="AH114" s="592" t="str">
        <f>IF(Roster!$P$19=0,"",Roster!$P$19)</f>
        <v/>
      </c>
      <c r="AI114" s="593"/>
      <c r="AJ114" s="593"/>
      <c r="AK114" s="593"/>
      <c r="AL114" s="593"/>
      <c r="AM114" s="593"/>
      <c r="AN114" s="593"/>
      <c r="AO114" s="593"/>
      <c r="AP114" s="593"/>
      <c r="AQ114" s="593"/>
      <c r="AR114" s="594"/>
      <c r="AS114" s="589"/>
      <c r="AT114" s="202"/>
      <c r="AU114" s="571" t="str">
        <f>IF(Roster!$O$20=0,"",Roster!$O$20)</f>
        <v/>
      </c>
      <c r="AV114" s="499"/>
      <c r="AW114" s="592" t="str">
        <f>IF(Roster!$P$20=0,"",Roster!$P$20)</f>
        <v/>
      </c>
      <c r="AX114" s="593"/>
      <c r="AY114" s="593"/>
      <c r="AZ114" s="593"/>
      <c r="BA114" s="593"/>
      <c r="BB114" s="593"/>
      <c r="BC114" s="593"/>
      <c r="BD114" s="593"/>
      <c r="BE114" s="593"/>
      <c r="BF114" s="593"/>
      <c r="BG114" s="594"/>
      <c r="BH114" s="589"/>
      <c r="BI114" s="211"/>
    </row>
    <row r="115" spans="1:61" ht="4.5" customHeight="1" x14ac:dyDescent="0.2">
      <c r="A115" s="30"/>
      <c r="B115" s="572"/>
      <c r="C115" s="196"/>
      <c r="D115" s="230"/>
      <c r="E115" s="230"/>
      <c r="F115" s="230"/>
      <c r="G115" s="230"/>
      <c r="H115" s="230"/>
      <c r="I115" s="230"/>
      <c r="J115" s="230"/>
      <c r="K115" s="230"/>
      <c r="L115" s="230"/>
      <c r="M115" s="230"/>
      <c r="N115" s="233"/>
      <c r="O115" s="203"/>
      <c r="P115" s="30"/>
      <c r="Q115" s="572"/>
      <c r="R115" s="499"/>
      <c r="S115" s="595"/>
      <c r="T115" s="596"/>
      <c r="U115" s="596"/>
      <c r="V115" s="596"/>
      <c r="W115" s="596"/>
      <c r="X115" s="596"/>
      <c r="Y115" s="596"/>
      <c r="Z115" s="596"/>
      <c r="AA115" s="596"/>
      <c r="AB115" s="596"/>
      <c r="AC115" s="597"/>
      <c r="AD115" s="589"/>
      <c r="AE115" s="202"/>
      <c r="AF115" s="572"/>
      <c r="AG115" s="499"/>
      <c r="AH115" s="595"/>
      <c r="AI115" s="596"/>
      <c r="AJ115" s="596"/>
      <c r="AK115" s="596"/>
      <c r="AL115" s="596"/>
      <c r="AM115" s="596"/>
      <c r="AN115" s="596"/>
      <c r="AO115" s="596"/>
      <c r="AP115" s="596"/>
      <c r="AQ115" s="596"/>
      <c r="AR115" s="597"/>
      <c r="AS115" s="589"/>
      <c r="AT115" s="202"/>
      <c r="AU115" s="572"/>
      <c r="AV115" s="499"/>
      <c r="AW115" s="595"/>
      <c r="AX115" s="596"/>
      <c r="AY115" s="596"/>
      <c r="AZ115" s="596"/>
      <c r="BA115" s="596"/>
      <c r="BB115" s="596"/>
      <c r="BC115" s="596"/>
      <c r="BD115" s="596"/>
      <c r="BE115" s="596"/>
      <c r="BF115" s="596"/>
      <c r="BG115" s="597"/>
      <c r="BH115" s="589"/>
      <c r="BI115" s="211"/>
    </row>
    <row r="116" spans="1:61" ht="11.25" customHeight="1" x14ac:dyDescent="0.2">
      <c r="A116" s="30"/>
      <c r="B116" s="572"/>
      <c r="C116" s="196"/>
      <c r="D116" s="568" t="str">
        <f>IF(Roster!$K$25="Italiano","ABILITÀ &amp; TRATTI",(IF(Roster!$K$25="Español","HABILIDADES Y RASGOS","SKILLS &amp; TRAITS")))</f>
        <v>SKILLS &amp; TRAITS</v>
      </c>
      <c r="E116" s="569"/>
      <c r="F116" s="569"/>
      <c r="G116" s="569"/>
      <c r="H116" s="569"/>
      <c r="I116" s="569"/>
      <c r="J116" s="569"/>
      <c r="K116" s="569"/>
      <c r="L116" s="569"/>
      <c r="M116" s="569"/>
      <c r="N116" s="570"/>
      <c r="O116" s="203"/>
      <c r="P116" s="30"/>
      <c r="Q116" s="572"/>
      <c r="R116" s="499"/>
      <c r="S116" s="595"/>
      <c r="T116" s="596"/>
      <c r="U116" s="596"/>
      <c r="V116" s="596"/>
      <c r="W116" s="596"/>
      <c r="X116" s="596"/>
      <c r="Y116" s="596"/>
      <c r="Z116" s="596"/>
      <c r="AA116" s="596"/>
      <c r="AB116" s="596"/>
      <c r="AC116" s="597"/>
      <c r="AD116" s="589"/>
      <c r="AE116" s="202"/>
      <c r="AF116" s="572"/>
      <c r="AG116" s="499"/>
      <c r="AH116" s="595"/>
      <c r="AI116" s="596"/>
      <c r="AJ116" s="596"/>
      <c r="AK116" s="596"/>
      <c r="AL116" s="596"/>
      <c r="AM116" s="596"/>
      <c r="AN116" s="596"/>
      <c r="AO116" s="596"/>
      <c r="AP116" s="596"/>
      <c r="AQ116" s="596"/>
      <c r="AR116" s="597"/>
      <c r="AS116" s="589"/>
      <c r="AT116" s="202"/>
      <c r="AU116" s="572"/>
      <c r="AV116" s="499"/>
      <c r="AW116" s="595"/>
      <c r="AX116" s="596"/>
      <c r="AY116" s="596"/>
      <c r="AZ116" s="596"/>
      <c r="BA116" s="596"/>
      <c r="BB116" s="596"/>
      <c r="BC116" s="596"/>
      <c r="BD116" s="596"/>
      <c r="BE116" s="596"/>
      <c r="BF116" s="596"/>
      <c r="BG116" s="597"/>
      <c r="BH116" s="589"/>
      <c r="BI116" s="211"/>
    </row>
    <row r="117" spans="1:61" ht="6.75" customHeight="1" x14ac:dyDescent="0.2">
      <c r="A117" s="30"/>
      <c r="B117" s="445"/>
      <c r="C117" s="196"/>
      <c r="D117" s="561" t="str">
        <f>IF(Roster!$P$17=0&amp;AQ98,"",Roster!$P$17)</f>
        <v/>
      </c>
      <c r="E117" s="541"/>
      <c r="F117" s="541"/>
      <c r="G117" s="541"/>
      <c r="H117" s="541"/>
      <c r="I117" s="541"/>
      <c r="J117" s="541"/>
      <c r="K117" s="541"/>
      <c r="L117" s="541"/>
      <c r="M117" s="541"/>
      <c r="N117" s="562"/>
      <c r="O117" s="203"/>
      <c r="P117" s="30"/>
      <c r="Q117" s="445"/>
      <c r="R117" s="499"/>
      <c r="S117" s="595"/>
      <c r="T117" s="596"/>
      <c r="U117" s="596"/>
      <c r="V117" s="596"/>
      <c r="W117" s="596"/>
      <c r="X117" s="596"/>
      <c r="Y117" s="596"/>
      <c r="Z117" s="596"/>
      <c r="AA117" s="596"/>
      <c r="AB117" s="596"/>
      <c r="AC117" s="597"/>
      <c r="AD117" s="589"/>
      <c r="AE117" s="202"/>
      <c r="AF117" s="445"/>
      <c r="AG117" s="499"/>
      <c r="AH117" s="595"/>
      <c r="AI117" s="596"/>
      <c r="AJ117" s="596"/>
      <c r="AK117" s="596"/>
      <c r="AL117" s="596"/>
      <c r="AM117" s="596"/>
      <c r="AN117" s="596"/>
      <c r="AO117" s="596"/>
      <c r="AP117" s="596"/>
      <c r="AQ117" s="596"/>
      <c r="AR117" s="597"/>
      <c r="AS117" s="589"/>
      <c r="AT117" s="202"/>
      <c r="AU117" s="445"/>
      <c r="AV117" s="499"/>
      <c r="AW117" s="595"/>
      <c r="AX117" s="596"/>
      <c r="AY117" s="596"/>
      <c r="AZ117" s="596"/>
      <c r="BA117" s="596"/>
      <c r="BB117" s="596"/>
      <c r="BC117" s="596"/>
      <c r="BD117" s="596"/>
      <c r="BE117" s="596"/>
      <c r="BF117" s="596"/>
      <c r="BG117" s="597"/>
      <c r="BH117" s="589"/>
      <c r="BI117" s="211"/>
    </row>
    <row r="118" spans="1:61" ht="11.25" customHeight="1" x14ac:dyDescent="0.2">
      <c r="A118" s="30"/>
      <c r="B118" s="194" t="str">
        <f>IF(Roster!$AO$1=0,"",Roster!$AO$1)</f>
        <v>COST</v>
      </c>
      <c r="C118" s="195"/>
      <c r="D118" s="563"/>
      <c r="E118" s="564"/>
      <c r="F118" s="564"/>
      <c r="G118" s="564"/>
      <c r="H118" s="564"/>
      <c r="I118" s="564"/>
      <c r="J118" s="564"/>
      <c r="K118" s="564"/>
      <c r="L118" s="564"/>
      <c r="M118" s="564"/>
      <c r="N118" s="562"/>
      <c r="O118" s="206"/>
      <c r="P118" s="30"/>
      <c r="Q118" s="194" t="str">
        <f>IF(Roster!$AO$1=0,"",Roster!$AO$1)</f>
        <v>COST</v>
      </c>
      <c r="R118" s="499"/>
      <c r="S118" s="595"/>
      <c r="T118" s="596"/>
      <c r="U118" s="596"/>
      <c r="V118" s="596"/>
      <c r="W118" s="596"/>
      <c r="X118" s="596"/>
      <c r="Y118" s="596"/>
      <c r="Z118" s="596"/>
      <c r="AA118" s="596"/>
      <c r="AB118" s="596"/>
      <c r="AC118" s="597"/>
      <c r="AD118" s="589"/>
      <c r="AE118" s="202"/>
      <c r="AF118" s="194" t="str">
        <f>IF(Roster!$AO$1=0,"",Roster!$AO$1)</f>
        <v>COST</v>
      </c>
      <c r="AG118" s="499"/>
      <c r="AH118" s="595"/>
      <c r="AI118" s="596"/>
      <c r="AJ118" s="596"/>
      <c r="AK118" s="596"/>
      <c r="AL118" s="596"/>
      <c r="AM118" s="596"/>
      <c r="AN118" s="596"/>
      <c r="AO118" s="596"/>
      <c r="AP118" s="596"/>
      <c r="AQ118" s="596"/>
      <c r="AR118" s="597"/>
      <c r="AS118" s="589"/>
      <c r="AT118" s="202"/>
      <c r="AU118" s="194" t="str">
        <f>IF(Roster!$AO$1=0,"",Roster!$AO$1)</f>
        <v>COST</v>
      </c>
      <c r="AV118" s="499"/>
      <c r="AW118" s="595"/>
      <c r="AX118" s="596"/>
      <c r="AY118" s="596"/>
      <c r="AZ118" s="596"/>
      <c r="BA118" s="596"/>
      <c r="BB118" s="596"/>
      <c r="BC118" s="596"/>
      <c r="BD118" s="596"/>
      <c r="BE118" s="596"/>
      <c r="BF118" s="596"/>
      <c r="BG118" s="597"/>
      <c r="BH118" s="589"/>
      <c r="BI118" s="211"/>
    </row>
    <row r="119" spans="1:61" ht="34.5" customHeight="1" x14ac:dyDescent="0.2">
      <c r="A119" s="30"/>
      <c r="B119" s="208" t="str">
        <f>IF(Roster!$AO$17=0,"",Roster!$AO$17)</f>
        <v/>
      </c>
      <c r="C119" s="209"/>
      <c r="D119" s="565"/>
      <c r="E119" s="566"/>
      <c r="F119" s="566"/>
      <c r="G119" s="566"/>
      <c r="H119" s="566"/>
      <c r="I119" s="566"/>
      <c r="J119" s="566"/>
      <c r="K119" s="566"/>
      <c r="L119" s="566"/>
      <c r="M119" s="566"/>
      <c r="N119" s="567"/>
      <c r="O119" s="206"/>
      <c r="P119" s="30"/>
      <c r="Q119" s="208" t="str">
        <f>IF(Roster!$AO$18=0,"",Roster!$AO$18)</f>
        <v/>
      </c>
      <c r="R119" s="500"/>
      <c r="S119" s="604"/>
      <c r="T119" s="605"/>
      <c r="U119" s="605"/>
      <c r="V119" s="605"/>
      <c r="W119" s="605"/>
      <c r="X119" s="605"/>
      <c r="Y119" s="605"/>
      <c r="Z119" s="605"/>
      <c r="AA119" s="605"/>
      <c r="AB119" s="605"/>
      <c r="AC119" s="606"/>
      <c r="AD119" s="590"/>
      <c r="AE119" s="202"/>
      <c r="AF119" s="208" t="str">
        <f>IF(Roster!$AO$19=0,"",Roster!$AO$19)</f>
        <v/>
      </c>
      <c r="AG119" s="500"/>
      <c r="AH119" s="604"/>
      <c r="AI119" s="605"/>
      <c r="AJ119" s="605"/>
      <c r="AK119" s="605"/>
      <c r="AL119" s="605"/>
      <c r="AM119" s="605"/>
      <c r="AN119" s="605"/>
      <c r="AO119" s="605"/>
      <c r="AP119" s="605"/>
      <c r="AQ119" s="605"/>
      <c r="AR119" s="606"/>
      <c r="AS119" s="590"/>
      <c r="AT119" s="202"/>
      <c r="AU119" s="208" t="str">
        <f>IF(Roster!$AO$20=0,"",Roster!$AO$20)</f>
        <v/>
      </c>
      <c r="AV119" s="500"/>
      <c r="AW119" s="604"/>
      <c r="AX119" s="605"/>
      <c r="AY119" s="605"/>
      <c r="AZ119" s="605"/>
      <c r="BA119" s="605"/>
      <c r="BB119" s="605"/>
      <c r="BC119" s="605"/>
      <c r="BD119" s="605"/>
      <c r="BE119" s="605"/>
      <c r="BF119" s="605"/>
      <c r="BG119" s="606"/>
      <c r="BH119" s="590"/>
      <c r="BI119" s="211"/>
    </row>
    <row r="120" spans="1:61" ht="4.5" customHeight="1" x14ac:dyDescent="0.2">
      <c r="A120" s="30"/>
      <c r="B120" s="573"/>
      <c r="C120" s="375"/>
      <c r="D120" s="375"/>
      <c r="E120" s="375"/>
      <c r="F120" s="375"/>
      <c r="G120" s="375"/>
      <c r="H120" s="375"/>
      <c r="I120" s="375"/>
      <c r="J120" s="375"/>
      <c r="K120" s="375"/>
      <c r="L120" s="375"/>
      <c r="M120" s="375"/>
      <c r="N120" s="376"/>
      <c r="O120" s="210"/>
      <c r="P120" s="30"/>
      <c r="Q120" s="587"/>
      <c r="R120" s="375"/>
      <c r="S120" s="375"/>
      <c r="T120" s="375"/>
      <c r="U120" s="375"/>
      <c r="V120" s="375"/>
      <c r="W120" s="375"/>
      <c r="X120" s="375"/>
      <c r="Y120" s="375"/>
      <c r="Z120" s="375"/>
      <c r="AA120" s="375"/>
      <c r="AB120" s="375"/>
      <c r="AC120" s="375"/>
      <c r="AD120" s="428"/>
      <c r="AE120" s="211"/>
      <c r="AF120" s="587"/>
      <c r="AG120" s="375"/>
      <c r="AH120" s="375"/>
      <c r="AI120" s="375"/>
      <c r="AJ120" s="375"/>
      <c r="AK120" s="375"/>
      <c r="AL120" s="375"/>
      <c r="AM120" s="375"/>
      <c r="AN120" s="375"/>
      <c r="AO120" s="375"/>
      <c r="AP120" s="375"/>
      <c r="AQ120" s="375"/>
      <c r="AR120" s="375"/>
      <c r="AS120" s="428"/>
      <c r="AT120" s="211"/>
      <c r="AU120" s="587"/>
      <c r="AV120" s="375"/>
      <c r="AW120" s="375"/>
      <c r="AX120" s="375"/>
      <c r="AY120" s="375"/>
      <c r="AZ120" s="375"/>
      <c r="BA120" s="375"/>
      <c r="BB120" s="375"/>
      <c r="BC120" s="375"/>
      <c r="BD120" s="375"/>
      <c r="BE120" s="375"/>
      <c r="BF120" s="375"/>
      <c r="BG120" s="375"/>
      <c r="BH120" s="428"/>
      <c r="BI120" s="211"/>
    </row>
    <row r="121" spans="1:61" ht="10.5" hidden="1" customHeight="1" x14ac:dyDescent="0.2">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x14ac:dyDescent="0.2">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x14ac:dyDescent="0.2">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x14ac:dyDescent="0.2">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x14ac:dyDescent="0.2">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x14ac:dyDescent="0.2">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x14ac:dyDescent="0.2">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x14ac:dyDescent="0.2">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x14ac:dyDescent="0.2">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x14ac:dyDescent="0.2">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x14ac:dyDescent="0.2">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x14ac:dyDescent="0.2">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x14ac:dyDescent="0.2">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x14ac:dyDescent="0.2">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x14ac:dyDescent="0.2">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x14ac:dyDescent="0.2">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x14ac:dyDescent="0.2">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x14ac:dyDescent="0.2">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x14ac:dyDescent="0.2">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x14ac:dyDescent="0.2">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x14ac:dyDescent="0.2">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x14ac:dyDescent="0.2">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x14ac:dyDescent="0.2">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x14ac:dyDescent="0.2">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x14ac:dyDescent="0.2">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x14ac:dyDescent="0.2">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x14ac:dyDescent="0.2">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x14ac:dyDescent="0.2">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x14ac:dyDescent="0.2">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x14ac:dyDescent="0.2">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x14ac:dyDescent="0.2">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x14ac:dyDescent="0.2">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x14ac:dyDescent="0.2">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x14ac:dyDescent="0.2">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x14ac:dyDescent="0.2">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x14ac:dyDescent="0.2">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x14ac:dyDescent="0.2">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x14ac:dyDescent="0.2">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x14ac:dyDescent="0.2">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x14ac:dyDescent="0.2">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x14ac:dyDescent="0.2">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x14ac:dyDescent="0.2">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x14ac:dyDescent="0.2">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x14ac:dyDescent="0.2">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x14ac:dyDescent="0.2">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x14ac:dyDescent="0.2">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x14ac:dyDescent="0.2">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x14ac:dyDescent="0.2">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x14ac:dyDescent="0.2">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x14ac:dyDescent="0.2">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x14ac:dyDescent="0.2">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x14ac:dyDescent="0.2">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x14ac:dyDescent="0.2">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x14ac:dyDescent="0.2">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x14ac:dyDescent="0.2">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x14ac:dyDescent="0.2">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x14ac:dyDescent="0.2">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x14ac:dyDescent="0.2">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x14ac:dyDescent="0.2">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x14ac:dyDescent="0.2">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x14ac:dyDescent="0.2">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x14ac:dyDescent="0.2">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x14ac:dyDescent="0.2">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x14ac:dyDescent="0.2">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x14ac:dyDescent="0.2">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x14ac:dyDescent="0.2">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x14ac:dyDescent="0.2">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x14ac:dyDescent="0.2">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x14ac:dyDescent="0.2">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x14ac:dyDescent="0.2">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x14ac:dyDescent="0.2">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x14ac:dyDescent="0.2">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x14ac:dyDescent="0.2">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x14ac:dyDescent="0.2">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x14ac:dyDescent="0.2">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x14ac:dyDescent="0.2">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x14ac:dyDescent="0.2">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x14ac:dyDescent="0.2">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x14ac:dyDescent="0.2">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x14ac:dyDescent="0.2">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x14ac:dyDescent="0.2">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x14ac:dyDescent="0.2">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x14ac:dyDescent="0.2">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x14ac:dyDescent="0.2">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x14ac:dyDescent="0.2">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x14ac:dyDescent="0.2">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x14ac:dyDescent="0.2">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x14ac:dyDescent="0.2">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x14ac:dyDescent="0.2">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x14ac:dyDescent="0.2">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x14ac:dyDescent="0.2">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x14ac:dyDescent="0.2">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x14ac:dyDescent="0.2">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x14ac:dyDescent="0.2">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x14ac:dyDescent="0.2">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x14ac:dyDescent="0.2">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x14ac:dyDescent="0.2">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x14ac:dyDescent="0.2">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x14ac:dyDescent="0.2">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x14ac:dyDescent="0.2">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x14ac:dyDescent="0.2">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x14ac:dyDescent="0.2">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x14ac:dyDescent="0.2">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x14ac:dyDescent="0.2">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x14ac:dyDescent="0.2">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x14ac:dyDescent="0.2">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x14ac:dyDescent="0.2">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x14ac:dyDescent="0.2">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x14ac:dyDescent="0.2">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x14ac:dyDescent="0.2">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x14ac:dyDescent="0.2">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x14ac:dyDescent="0.2">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x14ac:dyDescent="0.2">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x14ac:dyDescent="0.2">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x14ac:dyDescent="0.2">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x14ac:dyDescent="0.2">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x14ac:dyDescent="0.2">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x14ac:dyDescent="0.2">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x14ac:dyDescent="0.2">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x14ac:dyDescent="0.2">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x14ac:dyDescent="0.2">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x14ac:dyDescent="0.2">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x14ac:dyDescent="0.2">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x14ac:dyDescent="0.2">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x14ac:dyDescent="0.2">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x14ac:dyDescent="0.2">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x14ac:dyDescent="0.2">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x14ac:dyDescent="0.2">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x14ac:dyDescent="0.2">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x14ac:dyDescent="0.2">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x14ac:dyDescent="0.2">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x14ac:dyDescent="0.2">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x14ac:dyDescent="0.2">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x14ac:dyDescent="0.2">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x14ac:dyDescent="0.2">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x14ac:dyDescent="0.2">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x14ac:dyDescent="0.2">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x14ac:dyDescent="0.2">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x14ac:dyDescent="0.2">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x14ac:dyDescent="0.2">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x14ac:dyDescent="0.2">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x14ac:dyDescent="0.2">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x14ac:dyDescent="0.2">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x14ac:dyDescent="0.2">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x14ac:dyDescent="0.2">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x14ac:dyDescent="0.2">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x14ac:dyDescent="0.2">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x14ac:dyDescent="0.2">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x14ac:dyDescent="0.2">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x14ac:dyDescent="0.2">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x14ac:dyDescent="0.2">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x14ac:dyDescent="0.2">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x14ac:dyDescent="0.2">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x14ac:dyDescent="0.2">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x14ac:dyDescent="0.2">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x14ac:dyDescent="0.2">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x14ac:dyDescent="0.2">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x14ac:dyDescent="0.2">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x14ac:dyDescent="0.2">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x14ac:dyDescent="0.2">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x14ac:dyDescent="0.2">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x14ac:dyDescent="0.2">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x14ac:dyDescent="0.2">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x14ac:dyDescent="0.2">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x14ac:dyDescent="0.2">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x14ac:dyDescent="0.2">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x14ac:dyDescent="0.2">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x14ac:dyDescent="0.2">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x14ac:dyDescent="0.2">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x14ac:dyDescent="0.2">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x14ac:dyDescent="0.2">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x14ac:dyDescent="0.2">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x14ac:dyDescent="0.2">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x14ac:dyDescent="0.2">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x14ac:dyDescent="0.2">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x14ac:dyDescent="0.2">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x14ac:dyDescent="0.2">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x14ac:dyDescent="0.2">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x14ac:dyDescent="0.2">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x14ac:dyDescent="0.2">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x14ac:dyDescent="0.2">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x14ac:dyDescent="0.2">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x14ac:dyDescent="0.2">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x14ac:dyDescent="0.2">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x14ac:dyDescent="0.2">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x14ac:dyDescent="0.2">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x14ac:dyDescent="0.2">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x14ac:dyDescent="0.2">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x14ac:dyDescent="0.2">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x14ac:dyDescent="0.2">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x14ac:dyDescent="0.2">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x14ac:dyDescent="0.2">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x14ac:dyDescent="0.2">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x14ac:dyDescent="0.2">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x14ac:dyDescent="0.2">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x14ac:dyDescent="0.2">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x14ac:dyDescent="0.2">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x14ac:dyDescent="0.2">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x14ac:dyDescent="0.2">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x14ac:dyDescent="0.2">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x14ac:dyDescent="0.2">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x14ac:dyDescent="0.2">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x14ac:dyDescent="0.2">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x14ac:dyDescent="0.2">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x14ac:dyDescent="0.2">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x14ac:dyDescent="0.2">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x14ac:dyDescent="0.2">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x14ac:dyDescent="0.2">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x14ac:dyDescent="0.2">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x14ac:dyDescent="0.2">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x14ac:dyDescent="0.2">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x14ac:dyDescent="0.2">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x14ac:dyDescent="0.2">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x14ac:dyDescent="0.2">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x14ac:dyDescent="0.2">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x14ac:dyDescent="0.2">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x14ac:dyDescent="0.2">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x14ac:dyDescent="0.2">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x14ac:dyDescent="0.2">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x14ac:dyDescent="0.2">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x14ac:dyDescent="0.2">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x14ac:dyDescent="0.2">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x14ac:dyDescent="0.2">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x14ac:dyDescent="0.2">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x14ac:dyDescent="0.2">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x14ac:dyDescent="0.2">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x14ac:dyDescent="0.2">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x14ac:dyDescent="0.2">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x14ac:dyDescent="0.2">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x14ac:dyDescent="0.2">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x14ac:dyDescent="0.2">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x14ac:dyDescent="0.2">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x14ac:dyDescent="0.2">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x14ac:dyDescent="0.2">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x14ac:dyDescent="0.2">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x14ac:dyDescent="0.2">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x14ac:dyDescent="0.2">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x14ac:dyDescent="0.2">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x14ac:dyDescent="0.2">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x14ac:dyDescent="0.2">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x14ac:dyDescent="0.2">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x14ac:dyDescent="0.2">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x14ac:dyDescent="0.2">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x14ac:dyDescent="0.2">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x14ac:dyDescent="0.2">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x14ac:dyDescent="0.2">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x14ac:dyDescent="0.2">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x14ac:dyDescent="0.2">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x14ac:dyDescent="0.2">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x14ac:dyDescent="0.2">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x14ac:dyDescent="0.2">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x14ac:dyDescent="0.2">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x14ac:dyDescent="0.2">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x14ac:dyDescent="0.2">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x14ac:dyDescent="0.2">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x14ac:dyDescent="0.2">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x14ac:dyDescent="0.2">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x14ac:dyDescent="0.2">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x14ac:dyDescent="0.2">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x14ac:dyDescent="0.2">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x14ac:dyDescent="0.2">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x14ac:dyDescent="0.2">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x14ac:dyDescent="0.2">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x14ac:dyDescent="0.2">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x14ac:dyDescent="0.2">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x14ac:dyDescent="0.2">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x14ac:dyDescent="0.2">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x14ac:dyDescent="0.2">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x14ac:dyDescent="0.2">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x14ac:dyDescent="0.2">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x14ac:dyDescent="0.2">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x14ac:dyDescent="0.2">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x14ac:dyDescent="0.2">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x14ac:dyDescent="0.2">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x14ac:dyDescent="0.2">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x14ac:dyDescent="0.2">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x14ac:dyDescent="0.2">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x14ac:dyDescent="0.2">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x14ac:dyDescent="0.2">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x14ac:dyDescent="0.2">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x14ac:dyDescent="0.2">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x14ac:dyDescent="0.2">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x14ac:dyDescent="0.2">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x14ac:dyDescent="0.2">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x14ac:dyDescent="0.2">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x14ac:dyDescent="0.2">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x14ac:dyDescent="0.2">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x14ac:dyDescent="0.2">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x14ac:dyDescent="0.2">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x14ac:dyDescent="0.2">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x14ac:dyDescent="0.2">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x14ac:dyDescent="0.2">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x14ac:dyDescent="0.2">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x14ac:dyDescent="0.2">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x14ac:dyDescent="0.2">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x14ac:dyDescent="0.2">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x14ac:dyDescent="0.2">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x14ac:dyDescent="0.2">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x14ac:dyDescent="0.2">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x14ac:dyDescent="0.2">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x14ac:dyDescent="0.2">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x14ac:dyDescent="0.2">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x14ac:dyDescent="0.2">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x14ac:dyDescent="0.2">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x14ac:dyDescent="0.2">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x14ac:dyDescent="0.2">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x14ac:dyDescent="0.2">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x14ac:dyDescent="0.2">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x14ac:dyDescent="0.2">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x14ac:dyDescent="0.2">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x14ac:dyDescent="0.2">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x14ac:dyDescent="0.2">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x14ac:dyDescent="0.2">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x14ac:dyDescent="0.2">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x14ac:dyDescent="0.2">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x14ac:dyDescent="0.2">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x14ac:dyDescent="0.2">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x14ac:dyDescent="0.2">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x14ac:dyDescent="0.2">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x14ac:dyDescent="0.2">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x14ac:dyDescent="0.2">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x14ac:dyDescent="0.2">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x14ac:dyDescent="0.2">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x14ac:dyDescent="0.2">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x14ac:dyDescent="0.2">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x14ac:dyDescent="0.2">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x14ac:dyDescent="0.2">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x14ac:dyDescent="0.2">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x14ac:dyDescent="0.2">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x14ac:dyDescent="0.2">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x14ac:dyDescent="0.2">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x14ac:dyDescent="0.2">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x14ac:dyDescent="0.2">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x14ac:dyDescent="0.2">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x14ac:dyDescent="0.2">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x14ac:dyDescent="0.2">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x14ac:dyDescent="0.2">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x14ac:dyDescent="0.2">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x14ac:dyDescent="0.2">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x14ac:dyDescent="0.2">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x14ac:dyDescent="0.2">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x14ac:dyDescent="0.2">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x14ac:dyDescent="0.2">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x14ac:dyDescent="0.2">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x14ac:dyDescent="0.2">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x14ac:dyDescent="0.2">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x14ac:dyDescent="0.2">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x14ac:dyDescent="0.2">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x14ac:dyDescent="0.2">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x14ac:dyDescent="0.2">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x14ac:dyDescent="0.2">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x14ac:dyDescent="0.2">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x14ac:dyDescent="0.2">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x14ac:dyDescent="0.2">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x14ac:dyDescent="0.2">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x14ac:dyDescent="0.2">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x14ac:dyDescent="0.2">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x14ac:dyDescent="0.2">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x14ac:dyDescent="0.2">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x14ac:dyDescent="0.2">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x14ac:dyDescent="0.2">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x14ac:dyDescent="0.2">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x14ac:dyDescent="0.2">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x14ac:dyDescent="0.2">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x14ac:dyDescent="0.2">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x14ac:dyDescent="0.2">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x14ac:dyDescent="0.2">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x14ac:dyDescent="0.2">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x14ac:dyDescent="0.2">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x14ac:dyDescent="0.2">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x14ac:dyDescent="0.2">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x14ac:dyDescent="0.2">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x14ac:dyDescent="0.2">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x14ac:dyDescent="0.2">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x14ac:dyDescent="0.2">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x14ac:dyDescent="0.2">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x14ac:dyDescent="0.2">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x14ac:dyDescent="0.2">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x14ac:dyDescent="0.2">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x14ac:dyDescent="0.2">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x14ac:dyDescent="0.2">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x14ac:dyDescent="0.2">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x14ac:dyDescent="0.2">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x14ac:dyDescent="0.2">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x14ac:dyDescent="0.2">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x14ac:dyDescent="0.2">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x14ac:dyDescent="0.2">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x14ac:dyDescent="0.2">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x14ac:dyDescent="0.2">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x14ac:dyDescent="0.2">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x14ac:dyDescent="0.2">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x14ac:dyDescent="0.2">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x14ac:dyDescent="0.2">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x14ac:dyDescent="0.2">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x14ac:dyDescent="0.2">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x14ac:dyDescent="0.2">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x14ac:dyDescent="0.2">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x14ac:dyDescent="0.2">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x14ac:dyDescent="0.2">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x14ac:dyDescent="0.2">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x14ac:dyDescent="0.2">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x14ac:dyDescent="0.2">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x14ac:dyDescent="0.2">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x14ac:dyDescent="0.2">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x14ac:dyDescent="0.2">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x14ac:dyDescent="0.2">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x14ac:dyDescent="0.2">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x14ac:dyDescent="0.2">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x14ac:dyDescent="0.2">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x14ac:dyDescent="0.2">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x14ac:dyDescent="0.2">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x14ac:dyDescent="0.2">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x14ac:dyDescent="0.2">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x14ac:dyDescent="0.2">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x14ac:dyDescent="0.2">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x14ac:dyDescent="0.2">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x14ac:dyDescent="0.2">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x14ac:dyDescent="0.2">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x14ac:dyDescent="0.2">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x14ac:dyDescent="0.2">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x14ac:dyDescent="0.2">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x14ac:dyDescent="0.2">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x14ac:dyDescent="0.2">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x14ac:dyDescent="0.2">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x14ac:dyDescent="0.2">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x14ac:dyDescent="0.2">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x14ac:dyDescent="0.2">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x14ac:dyDescent="0.2">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x14ac:dyDescent="0.2">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x14ac:dyDescent="0.2">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x14ac:dyDescent="0.2">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x14ac:dyDescent="0.2">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x14ac:dyDescent="0.2">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x14ac:dyDescent="0.2">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x14ac:dyDescent="0.2">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x14ac:dyDescent="0.2">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x14ac:dyDescent="0.2">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x14ac:dyDescent="0.2">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x14ac:dyDescent="0.2">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x14ac:dyDescent="0.2">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x14ac:dyDescent="0.2">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x14ac:dyDescent="0.2">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x14ac:dyDescent="0.2">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x14ac:dyDescent="0.2">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x14ac:dyDescent="0.2">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x14ac:dyDescent="0.2">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x14ac:dyDescent="0.2">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x14ac:dyDescent="0.2">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x14ac:dyDescent="0.2">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x14ac:dyDescent="0.2">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x14ac:dyDescent="0.2">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x14ac:dyDescent="0.2">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x14ac:dyDescent="0.2">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x14ac:dyDescent="0.2">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x14ac:dyDescent="0.2">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x14ac:dyDescent="0.2">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x14ac:dyDescent="0.2">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x14ac:dyDescent="0.2">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x14ac:dyDescent="0.2">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x14ac:dyDescent="0.2">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x14ac:dyDescent="0.2">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x14ac:dyDescent="0.2">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x14ac:dyDescent="0.2">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x14ac:dyDescent="0.2">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x14ac:dyDescent="0.2">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x14ac:dyDescent="0.2">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x14ac:dyDescent="0.2">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x14ac:dyDescent="0.2">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x14ac:dyDescent="0.2">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x14ac:dyDescent="0.2">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x14ac:dyDescent="0.2">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x14ac:dyDescent="0.2">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x14ac:dyDescent="0.2">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x14ac:dyDescent="0.2">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x14ac:dyDescent="0.2">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x14ac:dyDescent="0.2">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x14ac:dyDescent="0.2">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x14ac:dyDescent="0.2">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x14ac:dyDescent="0.2">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x14ac:dyDescent="0.2">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x14ac:dyDescent="0.2">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x14ac:dyDescent="0.2">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x14ac:dyDescent="0.2">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x14ac:dyDescent="0.2">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x14ac:dyDescent="0.2">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x14ac:dyDescent="0.2">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x14ac:dyDescent="0.2">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x14ac:dyDescent="0.2">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x14ac:dyDescent="0.2">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x14ac:dyDescent="0.2">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x14ac:dyDescent="0.2">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x14ac:dyDescent="0.2">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x14ac:dyDescent="0.2">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x14ac:dyDescent="0.2">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x14ac:dyDescent="0.2">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x14ac:dyDescent="0.2">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x14ac:dyDescent="0.2">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x14ac:dyDescent="0.2">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x14ac:dyDescent="0.2">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x14ac:dyDescent="0.2">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x14ac:dyDescent="0.2">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x14ac:dyDescent="0.2">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x14ac:dyDescent="0.2">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x14ac:dyDescent="0.2">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x14ac:dyDescent="0.2">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x14ac:dyDescent="0.2">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x14ac:dyDescent="0.2">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x14ac:dyDescent="0.2">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x14ac:dyDescent="0.2">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x14ac:dyDescent="0.2">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x14ac:dyDescent="0.2">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x14ac:dyDescent="0.2">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x14ac:dyDescent="0.2">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x14ac:dyDescent="0.2">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x14ac:dyDescent="0.2">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x14ac:dyDescent="0.2">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x14ac:dyDescent="0.2">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x14ac:dyDescent="0.2">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x14ac:dyDescent="0.2">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x14ac:dyDescent="0.2">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x14ac:dyDescent="0.2">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x14ac:dyDescent="0.2">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x14ac:dyDescent="0.2">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x14ac:dyDescent="0.2">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x14ac:dyDescent="0.2">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x14ac:dyDescent="0.2">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x14ac:dyDescent="0.2">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x14ac:dyDescent="0.2">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x14ac:dyDescent="0.2">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x14ac:dyDescent="0.2">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x14ac:dyDescent="0.2">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x14ac:dyDescent="0.2">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x14ac:dyDescent="0.2">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x14ac:dyDescent="0.2">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x14ac:dyDescent="0.2">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x14ac:dyDescent="0.2">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x14ac:dyDescent="0.2">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x14ac:dyDescent="0.2">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x14ac:dyDescent="0.2">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x14ac:dyDescent="0.2">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x14ac:dyDescent="0.2">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x14ac:dyDescent="0.2">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x14ac:dyDescent="0.2">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x14ac:dyDescent="0.2">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x14ac:dyDescent="0.2">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x14ac:dyDescent="0.2">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x14ac:dyDescent="0.2">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x14ac:dyDescent="0.2">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x14ac:dyDescent="0.2">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x14ac:dyDescent="0.2">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x14ac:dyDescent="0.2">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x14ac:dyDescent="0.2">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x14ac:dyDescent="0.2">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x14ac:dyDescent="0.2">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x14ac:dyDescent="0.2">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x14ac:dyDescent="0.2">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x14ac:dyDescent="0.2">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x14ac:dyDescent="0.2">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x14ac:dyDescent="0.2">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x14ac:dyDescent="0.2">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x14ac:dyDescent="0.2">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x14ac:dyDescent="0.2">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x14ac:dyDescent="0.2">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x14ac:dyDescent="0.2">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x14ac:dyDescent="0.2">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x14ac:dyDescent="0.2">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x14ac:dyDescent="0.2">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x14ac:dyDescent="0.2">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x14ac:dyDescent="0.2">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x14ac:dyDescent="0.2">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x14ac:dyDescent="0.2">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x14ac:dyDescent="0.2">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x14ac:dyDescent="0.2">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x14ac:dyDescent="0.2">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x14ac:dyDescent="0.2">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x14ac:dyDescent="0.2">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x14ac:dyDescent="0.2">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x14ac:dyDescent="0.2">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x14ac:dyDescent="0.2">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x14ac:dyDescent="0.2">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x14ac:dyDescent="0.2">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x14ac:dyDescent="0.2">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x14ac:dyDescent="0.2">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x14ac:dyDescent="0.2">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x14ac:dyDescent="0.2">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x14ac:dyDescent="0.2">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x14ac:dyDescent="0.2">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x14ac:dyDescent="0.2">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x14ac:dyDescent="0.2">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x14ac:dyDescent="0.2">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x14ac:dyDescent="0.2">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x14ac:dyDescent="0.2">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x14ac:dyDescent="0.2">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x14ac:dyDescent="0.2">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x14ac:dyDescent="0.2">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x14ac:dyDescent="0.2">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x14ac:dyDescent="0.2">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x14ac:dyDescent="0.2">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x14ac:dyDescent="0.2">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x14ac:dyDescent="0.2">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x14ac:dyDescent="0.2">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x14ac:dyDescent="0.2">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x14ac:dyDescent="0.2">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x14ac:dyDescent="0.2">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x14ac:dyDescent="0.2">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x14ac:dyDescent="0.2">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x14ac:dyDescent="0.2">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x14ac:dyDescent="0.2">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x14ac:dyDescent="0.2">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x14ac:dyDescent="0.2">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x14ac:dyDescent="0.2">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x14ac:dyDescent="0.2">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x14ac:dyDescent="0.2">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x14ac:dyDescent="0.2">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x14ac:dyDescent="0.2">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x14ac:dyDescent="0.2">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x14ac:dyDescent="0.2">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x14ac:dyDescent="0.2">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x14ac:dyDescent="0.2">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x14ac:dyDescent="0.2">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x14ac:dyDescent="0.2">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x14ac:dyDescent="0.2">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x14ac:dyDescent="0.2">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x14ac:dyDescent="0.2">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x14ac:dyDescent="0.2">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x14ac:dyDescent="0.2">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x14ac:dyDescent="0.2">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x14ac:dyDescent="0.2">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x14ac:dyDescent="0.2">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x14ac:dyDescent="0.2">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x14ac:dyDescent="0.2">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x14ac:dyDescent="0.2">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x14ac:dyDescent="0.2">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x14ac:dyDescent="0.2">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x14ac:dyDescent="0.2">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x14ac:dyDescent="0.2">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x14ac:dyDescent="0.2">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x14ac:dyDescent="0.2">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x14ac:dyDescent="0.2">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x14ac:dyDescent="0.2">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x14ac:dyDescent="0.2">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x14ac:dyDescent="0.2">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x14ac:dyDescent="0.2">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x14ac:dyDescent="0.2">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x14ac:dyDescent="0.2">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x14ac:dyDescent="0.2">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x14ac:dyDescent="0.2">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x14ac:dyDescent="0.2">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x14ac:dyDescent="0.2">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x14ac:dyDescent="0.2">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x14ac:dyDescent="0.2">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x14ac:dyDescent="0.2">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x14ac:dyDescent="0.2">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x14ac:dyDescent="0.2">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x14ac:dyDescent="0.2">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x14ac:dyDescent="0.2">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x14ac:dyDescent="0.2">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x14ac:dyDescent="0.2">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x14ac:dyDescent="0.2">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x14ac:dyDescent="0.2">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x14ac:dyDescent="0.2">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x14ac:dyDescent="0.2">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x14ac:dyDescent="0.2">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x14ac:dyDescent="0.2">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x14ac:dyDescent="0.2">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x14ac:dyDescent="0.2">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x14ac:dyDescent="0.2">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x14ac:dyDescent="0.2">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x14ac:dyDescent="0.2">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x14ac:dyDescent="0.2">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x14ac:dyDescent="0.2">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x14ac:dyDescent="0.2">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x14ac:dyDescent="0.2">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x14ac:dyDescent="0.2">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x14ac:dyDescent="0.2">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x14ac:dyDescent="0.2">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x14ac:dyDescent="0.2">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x14ac:dyDescent="0.2">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x14ac:dyDescent="0.2">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x14ac:dyDescent="0.2">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x14ac:dyDescent="0.2">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x14ac:dyDescent="0.2">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x14ac:dyDescent="0.2">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x14ac:dyDescent="0.2">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x14ac:dyDescent="0.2">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x14ac:dyDescent="0.2">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x14ac:dyDescent="0.2">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x14ac:dyDescent="0.2">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x14ac:dyDescent="0.2">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x14ac:dyDescent="0.2">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x14ac:dyDescent="0.2">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x14ac:dyDescent="0.2">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x14ac:dyDescent="0.2">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x14ac:dyDescent="0.2">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x14ac:dyDescent="0.2">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x14ac:dyDescent="0.2">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x14ac:dyDescent="0.2">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x14ac:dyDescent="0.2">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x14ac:dyDescent="0.2">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x14ac:dyDescent="0.2">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x14ac:dyDescent="0.2">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x14ac:dyDescent="0.2">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x14ac:dyDescent="0.2">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x14ac:dyDescent="0.2">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x14ac:dyDescent="0.2">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x14ac:dyDescent="0.2">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x14ac:dyDescent="0.2">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x14ac:dyDescent="0.2">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x14ac:dyDescent="0.2">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x14ac:dyDescent="0.2">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x14ac:dyDescent="0.2">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x14ac:dyDescent="0.2">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x14ac:dyDescent="0.2">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x14ac:dyDescent="0.2">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x14ac:dyDescent="0.2">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x14ac:dyDescent="0.2">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x14ac:dyDescent="0.2">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x14ac:dyDescent="0.2">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x14ac:dyDescent="0.2">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x14ac:dyDescent="0.2">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x14ac:dyDescent="0.2">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x14ac:dyDescent="0.2">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x14ac:dyDescent="0.2">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x14ac:dyDescent="0.2">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x14ac:dyDescent="0.2">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x14ac:dyDescent="0.2">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x14ac:dyDescent="0.2">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x14ac:dyDescent="0.2">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x14ac:dyDescent="0.2">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x14ac:dyDescent="0.2">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x14ac:dyDescent="0.2">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x14ac:dyDescent="0.2">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x14ac:dyDescent="0.2">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x14ac:dyDescent="0.2">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x14ac:dyDescent="0.2">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x14ac:dyDescent="0.2">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x14ac:dyDescent="0.2">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x14ac:dyDescent="0.2">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x14ac:dyDescent="0.2">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x14ac:dyDescent="0.2">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x14ac:dyDescent="0.2">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x14ac:dyDescent="0.2">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x14ac:dyDescent="0.2">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x14ac:dyDescent="0.2">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x14ac:dyDescent="0.2">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x14ac:dyDescent="0.2">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x14ac:dyDescent="0.2">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x14ac:dyDescent="0.2">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x14ac:dyDescent="0.2">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x14ac:dyDescent="0.2">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x14ac:dyDescent="0.2">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x14ac:dyDescent="0.2">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x14ac:dyDescent="0.2">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x14ac:dyDescent="0.2">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x14ac:dyDescent="0.2">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x14ac:dyDescent="0.2">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x14ac:dyDescent="0.2">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x14ac:dyDescent="0.2">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x14ac:dyDescent="0.2">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x14ac:dyDescent="0.2">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x14ac:dyDescent="0.2">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x14ac:dyDescent="0.2">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x14ac:dyDescent="0.2">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x14ac:dyDescent="0.2">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x14ac:dyDescent="0.2">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x14ac:dyDescent="0.2">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x14ac:dyDescent="0.2">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x14ac:dyDescent="0.2">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x14ac:dyDescent="0.2">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x14ac:dyDescent="0.2">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x14ac:dyDescent="0.2">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x14ac:dyDescent="0.2">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x14ac:dyDescent="0.2">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x14ac:dyDescent="0.2">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x14ac:dyDescent="0.2">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x14ac:dyDescent="0.2">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x14ac:dyDescent="0.2">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x14ac:dyDescent="0.2">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x14ac:dyDescent="0.2">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x14ac:dyDescent="0.2">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x14ac:dyDescent="0.2">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x14ac:dyDescent="0.2">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x14ac:dyDescent="0.2">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x14ac:dyDescent="0.2">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x14ac:dyDescent="0.2">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x14ac:dyDescent="0.2">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x14ac:dyDescent="0.2">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x14ac:dyDescent="0.2">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x14ac:dyDescent="0.2">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x14ac:dyDescent="0.2"/>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x14ac:dyDescent="0.2">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x14ac:dyDescent="0.2">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x14ac:dyDescent="0.2">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1">
        <v>0</v>
      </c>
      <c r="S3" s="8">
        <v>0</v>
      </c>
      <c r="T3" s="15" t="str">
        <f t="shared" ref="T3:T7" si="3">IF(AND(R3&lt;&gt;0,S3&lt;&gt;0),"FULL",(IF(AND(R3=0,S3=0),"PM",IF(R3=0,"P",(IF(S3=0,"M"))))))</f>
        <v>PM</v>
      </c>
      <c r="U3" s="15" t="s">
        <v>272</v>
      </c>
      <c r="V3" s="15" t="s">
        <v>273</v>
      </c>
      <c r="W3" s="15" t="s">
        <v>274</v>
      </c>
      <c r="X3" s="15" t="s">
        <v>275</v>
      </c>
      <c r="Y3" s="15"/>
      <c r="Z3" s="15"/>
    </row>
    <row r="4" spans="1:26" ht="12.75" customHeight="1" x14ac:dyDescent="0.2">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1" t="s">
        <v>199</v>
      </c>
      <c r="S4" s="8">
        <v>0</v>
      </c>
      <c r="T4" s="15" t="str">
        <f t="shared" si="3"/>
        <v>M</v>
      </c>
      <c r="U4" s="15" t="s">
        <v>277</v>
      </c>
      <c r="V4" s="15" t="s">
        <v>278</v>
      </c>
      <c r="W4" s="15" t="s">
        <v>279</v>
      </c>
      <c r="X4" s="15" t="s">
        <v>280</v>
      </c>
      <c r="Y4" s="15"/>
      <c r="Z4" s="15"/>
    </row>
    <row r="5" spans="1:26" ht="12.75" customHeight="1" x14ac:dyDescent="0.2">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1">
        <v>0</v>
      </c>
      <c r="S5" s="8">
        <v>0</v>
      </c>
      <c r="T5" s="15" t="str">
        <f t="shared" si="3"/>
        <v>PM</v>
      </c>
      <c r="U5" s="15" t="s">
        <v>282</v>
      </c>
      <c r="V5" s="15" t="s">
        <v>283</v>
      </c>
      <c r="W5" s="15" t="s">
        <v>284</v>
      </c>
      <c r="X5" s="15" t="s">
        <v>285</v>
      </c>
      <c r="Y5" s="15"/>
      <c r="Z5" s="15"/>
    </row>
    <row r="6" spans="1:26" ht="12.75" customHeight="1" x14ac:dyDescent="0.2">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1">
        <v>0</v>
      </c>
      <c r="S6" s="8">
        <v>0</v>
      </c>
      <c r="T6" s="15" t="str">
        <f t="shared" si="3"/>
        <v>PM</v>
      </c>
      <c r="U6" s="15" t="s">
        <v>287</v>
      </c>
      <c r="V6" s="15" t="s">
        <v>288</v>
      </c>
      <c r="W6" s="15" t="s">
        <v>289</v>
      </c>
      <c r="X6" s="15" t="s">
        <v>290</v>
      </c>
      <c r="Y6" s="15"/>
      <c r="Z6" s="15"/>
    </row>
    <row r="7" spans="1:26" ht="12.75" customHeight="1" x14ac:dyDescent="0.2">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1">
        <v>0</v>
      </c>
      <c r="S7" s="8">
        <v>0</v>
      </c>
      <c r="T7" s="15" t="str">
        <f t="shared" si="3"/>
        <v>PM</v>
      </c>
      <c r="U7" s="15" t="s">
        <v>292</v>
      </c>
      <c r="V7" s="15" t="s">
        <v>293</v>
      </c>
      <c r="W7" s="15" t="s">
        <v>294</v>
      </c>
      <c r="X7" s="15" t="s">
        <v>295</v>
      </c>
      <c r="Y7" s="15"/>
      <c r="Z7" s="15"/>
    </row>
    <row r="8" spans="1:26" ht="12.75" customHeight="1" x14ac:dyDescent="0.2">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x14ac:dyDescent="0.2">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x14ac:dyDescent="0.2">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x14ac:dyDescent="0.2">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x14ac:dyDescent="0.2">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x14ac:dyDescent="0.2">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x14ac:dyDescent="0.2">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x14ac:dyDescent="0.2">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x14ac:dyDescent="0.2">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x14ac:dyDescent="0.2">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x14ac:dyDescent="0.2">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x14ac:dyDescent="0.2">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x14ac:dyDescent="0.2">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x14ac:dyDescent="0.2">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1">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x14ac:dyDescent="0.2">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1">
        <v>0</v>
      </c>
      <c r="S22" s="8" t="s">
        <v>198</v>
      </c>
      <c r="T22" s="15" t="str">
        <f t="shared" si="10"/>
        <v>P</v>
      </c>
      <c r="U22" s="15" t="s">
        <v>342</v>
      </c>
      <c r="V22" s="15" t="s">
        <v>343</v>
      </c>
      <c r="W22" s="15" t="s">
        <v>344</v>
      </c>
      <c r="X22" s="15" t="s">
        <v>345</v>
      </c>
      <c r="Y22" s="15"/>
      <c r="Z22" s="15"/>
    </row>
    <row r="23" spans="1:26" ht="12.75" customHeight="1" x14ac:dyDescent="0.2">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1">
        <v>0</v>
      </c>
      <c r="S23" s="8" t="s">
        <v>198</v>
      </c>
      <c r="T23" s="15" t="str">
        <f t="shared" si="10"/>
        <v>P</v>
      </c>
      <c r="U23" s="15" t="s">
        <v>347</v>
      </c>
      <c r="V23" s="15" t="s">
        <v>348</v>
      </c>
      <c r="W23" s="15" t="s">
        <v>349</v>
      </c>
      <c r="X23" s="15" t="s">
        <v>350</v>
      </c>
      <c r="Y23" s="15"/>
      <c r="Z23" s="15"/>
    </row>
    <row r="24" spans="1:26" ht="12.75" customHeight="1" x14ac:dyDescent="0.2">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2">
        <v>0</v>
      </c>
      <c r="S24" s="8" t="s">
        <v>198</v>
      </c>
      <c r="T24" s="15" t="str">
        <f t="shared" si="10"/>
        <v>P</v>
      </c>
      <c r="U24" s="15" t="s">
        <v>352</v>
      </c>
      <c r="V24" s="15" t="s">
        <v>353</v>
      </c>
      <c r="W24" s="15" t="s">
        <v>354</v>
      </c>
      <c r="X24" s="15" t="s">
        <v>355</v>
      </c>
      <c r="Y24" s="15"/>
      <c r="Z24" s="15"/>
    </row>
    <row r="25" spans="1:26" ht="12.75" customHeight="1" x14ac:dyDescent="0.2">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1">
        <v>0</v>
      </c>
      <c r="S25" s="8" t="s">
        <v>198</v>
      </c>
      <c r="T25" s="15" t="str">
        <f t="shared" si="10"/>
        <v>P</v>
      </c>
      <c r="U25" s="15" t="s">
        <v>357</v>
      </c>
      <c r="V25" s="15" t="s">
        <v>358</v>
      </c>
      <c r="W25" s="15" t="s">
        <v>359</v>
      </c>
      <c r="X25" s="15" t="s">
        <v>360</v>
      </c>
      <c r="Y25" s="15"/>
      <c r="Z25" s="15"/>
    </row>
    <row r="26" spans="1:26" ht="12.75" customHeight="1" x14ac:dyDescent="0.2">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x14ac:dyDescent="0.2">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x14ac:dyDescent="0.2">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x14ac:dyDescent="0.2">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x14ac:dyDescent="0.2">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x14ac:dyDescent="0.2">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x14ac:dyDescent="0.2">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x14ac:dyDescent="0.2">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x14ac:dyDescent="0.2">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x14ac:dyDescent="0.2">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x14ac:dyDescent="0.2">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x14ac:dyDescent="0.2">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x14ac:dyDescent="0.2">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x14ac:dyDescent="0.2">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x14ac:dyDescent="0.2">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x14ac:dyDescent="0.2">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x14ac:dyDescent="0.2">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x14ac:dyDescent="0.2">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x14ac:dyDescent="0.2">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x14ac:dyDescent="0.2">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x14ac:dyDescent="0.2">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x14ac:dyDescent="0.2">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x14ac:dyDescent="0.2">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x14ac:dyDescent="0.2">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x14ac:dyDescent="0.2">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x14ac:dyDescent="0.2">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x14ac:dyDescent="0.2">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x14ac:dyDescent="0.2">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x14ac:dyDescent="0.2">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x14ac:dyDescent="0.2">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x14ac:dyDescent="0.2">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x14ac:dyDescent="0.2">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x14ac:dyDescent="0.2">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x14ac:dyDescent="0.2">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x14ac:dyDescent="0.2">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x14ac:dyDescent="0.2">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x14ac:dyDescent="0.2">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x14ac:dyDescent="0.2">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x14ac:dyDescent="0.2">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x14ac:dyDescent="0.2">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x14ac:dyDescent="0.2">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x14ac:dyDescent="0.2">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x14ac:dyDescent="0.2">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x14ac:dyDescent="0.2">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x14ac:dyDescent="0.2">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x14ac:dyDescent="0.2">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x14ac:dyDescent="0.2">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x14ac:dyDescent="0.2">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x14ac:dyDescent="0.2">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x14ac:dyDescent="0.2">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1"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x14ac:dyDescent="0.2">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1" t="s">
        <v>199</v>
      </c>
      <c r="S76" s="8">
        <v>0</v>
      </c>
      <c r="T76" s="15" t="str">
        <f t="shared" si="28"/>
        <v>M</v>
      </c>
      <c r="U76" s="15" t="s">
        <v>506</v>
      </c>
      <c r="V76" s="15" t="s">
        <v>507</v>
      </c>
      <c r="W76" s="15" t="s">
        <v>508</v>
      </c>
      <c r="X76" s="15" t="s">
        <v>509</v>
      </c>
      <c r="Y76" s="15"/>
      <c r="Z76" s="15"/>
    </row>
    <row r="77" spans="1:26" ht="12.75" customHeight="1" x14ac:dyDescent="0.2">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1">
        <v>0</v>
      </c>
      <c r="S77" s="8">
        <v>0</v>
      </c>
      <c r="T77" s="15" t="str">
        <f t="shared" si="28"/>
        <v>PM</v>
      </c>
      <c r="U77" s="15" t="s">
        <v>510</v>
      </c>
      <c r="V77" s="15" t="s">
        <v>511</v>
      </c>
      <c r="W77" s="15" t="s">
        <v>512</v>
      </c>
      <c r="X77" s="15" t="s">
        <v>513</v>
      </c>
      <c r="Y77" s="15"/>
      <c r="Z77" s="15"/>
    </row>
    <row r="78" spans="1:26" ht="12.75" customHeight="1" x14ac:dyDescent="0.2">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1" t="s">
        <v>198</v>
      </c>
      <c r="S78" s="8">
        <v>0</v>
      </c>
      <c r="T78" s="15" t="str">
        <f t="shared" si="28"/>
        <v>M</v>
      </c>
      <c r="U78" s="15" t="s">
        <v>407</v>
      </c>
      <c r="V78" s="15" t="s">
        <v>408</v>
      </c>
      <c r="W78" s="15" t="s">
        <v>407</v>
      </c>
      <c r="X78" s="15" t="s">
        <v>409</v>
      </c>
      <c r="Y78" s="15"/>
      <c r="Z78" s="15"/>
    </row>
    <row r="79" spans="1:26" ht="12.75" customHeight="1" x14ac:dyDescent="0.2">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1" t="s">
        <v>198</v>
      </c>
      <c r="S79" s="8">
        <v>0</v>
      </c>
      <c r="T79" s="15" t="str">
        <f t="shared" si="28"/>
        <v>M</v>
      </c>
      <c r="U79" s="15" t="s">
        <v>357</v>
      </c>
      <c r="V79" s="15" t="s">
        <v>358</v>
      </c>
      <c r="W79" s="15" t="s">
        <v>359</v>
      </c>
      <c r="X79" s="15" t="s">
        <v>360</v>
      </c>
      <c r="Y79" s="15"/>
      <c r="Z79" s="15"/>
    </row>
    <row r="80" spans="1:26" ht="12.75" customHeight="1" x14ac:dyDescent="0.2">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x14ac:dyDescent="0.2">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x14ac:dyDescent="0.2">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x14ac:dyDescent="0.2">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x14ac:dyDescent="0.2">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x14ac:dyDescent="0.2">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x14ac:dyDescent="0.2">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x14ac:dyDescent="0.2">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x14ac:dyDescent="0.2">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x14ac:dyDescent="0.2">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x14ac:dyDescent="0.2">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x14ac:dyDescent="0.2">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x14ac:dyDescent="0.2">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x14ac:dyDescent="0.2">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x14ac:dyDescent="0.2">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x14ac:dyDescent="0.2">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x14ac:dyDescent="0.2">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3">
        <v>0</v>
      </c>
      <c r="S96" s="18" t="s">
        <v>199</v>
      </c>
      <c r="T96" s="15" t="s">
        <v>199</v>
      </c>
      <c r="U96" s="19" t="s">
        <v>388</v>
      </c>
      <c r="V96" s="19" t="s">
        <v>389</v>
      </c>
      <c r="W96" s="19" t="s">
        <v>390</v>
      </c>
      <c r="X96" s="19" t="s">
        <v>391</v>
      </c>
      <c r="Y96" s="15"/>
      <c r="Z96" s="15"/>
    </row>
    <row r="97" spans="1:26" ht="12.75" customHeight="1" x14ac:dyDescent="0.2">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3" t="s">
        <v>198</v>
      </c>
      <c r="S97" s="18" t="s">
        <v>199</v>
      </c>
      <c r="T97" s="15" t="s">
        <v>225</v>
      </c>
      <c r="U97" s="19" t="s">
        <v>546</v>
      </c>
      <c r="V97" s="19" t="s">
        <v>547</v>
      </c>
      <c r="W97" s="19" t="s">
        <v>548</v>
      </c>
      <c r="X97" s="19" t="s">
        <v>549</v>
      </c>
      <c r="Y97" s="15"/>
      <c r="Z97" s="15"/>
    </row>
    <row r="98" spans="1:26" ht="12.75" customHeight="1" x14ac:dyDescent="0.2">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3">
        <v>0</v>
      </c>
      <c r="S98" s="18" t="s">
        <v>199</v>
      </c>
      <c r="T98" s="15" t="s">
        <v>199</v>
      </c>
      <c r="U98" s="19" t="s">
        <v>388</v>
      </c>
      <c r="V98" s="19" t="s">
        <v>389</v>
      </c>
      <c r="W98" s="19" t="s">
        <v>390</v>
      </c>
      <c r="X98" s="19" t="s">
        <v>391</v>
      </c>
      <c r="Y98" s="15"/>
      <c r="Z98" s="15"/>
    </row>
    <row r="99" spans="1:26" ht="12.75" customHeight="1" x14ac:dyDescent="0.2">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3">
        <v>0</v>
      </c>
      <c r="S99" s="18" t="s">
        <v>199</v>
      </c>
      <c r="T99" s="15" t="s">
        <v>199</v>
      </c>
      <c r="U99" s="19" t="s">
        <v>552</v>
      </c>
      <c r="V99" s="19" t="s">
        <v>553</v>
      </c>
      <c r="W99" s="19" t="s">
        <v>554</v>
      </c>
      <c r="X99" s="19" t="s">
        <v>555</v>
      </c>
      <c r="Y99" s="15"/>
      <c r="Z99" s="15"/>
    </row>
    <row r="100" spans="1:26" ht="12.75" customHeight="1" x14ac:dyDescent="0.2">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3">
        <v>0</v>
      </c>
      <c r="S100" s="18" t="s">
        <v>199</v>
      </c>
      <c r="T100" s="15" t="s">
        <v>199</v>
      </c>
      <c r="U100" s="19" t="s">
        <v>392</v>
      </c>
      <c r="V100" s="19" t="s">
        <v>393</v>
      </c>
      <c r="W100" s="19" t="s">
        <v>394</v>
      </c>
      <c r="X100" s="19" t="s">
        <v>395</v>
      </c>
      <c r="Y100" s="15"/>
      <c r="Z100" s="15"/>
    </row>
    <row r="101" spans="1:26" ht="12.75" customHeight="1" x14ac:dyDescent="0.2">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x14ac:dyDescent="0.2">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x14ac:dyDescent="0.2">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x14ac:dyDescent="0.2">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x14ac:dyDescent="0.2">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x14ac:dyDescent="0.2">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x14ac:dyDescent="0.2">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x14ac:dyDescent="0.2">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x14ac:dyDescent="0.2">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x14ac:dyDescent="0.2">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x14ac:dyDescent="0.2">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x14ac:dyDescent="0.2">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x14ac:dyDescent="0.2">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x14ac:dyDescent="0.2">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x14ac:dyDescent="0.2">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x14ac:dyDescent="0.2">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1">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x14ac:dyDescent="0.2">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1" t="s">
        <v>199</v>
      </c>
      <c r="S117" s="8">
        <v>0</v>
      </c>
      <c r="T117" s="15" t="str">
        <f t="shared" si="42"/>
        <v>M</v>
      </c>
      <c r="U117" s="15" t="s">
        <v>604</v>
      </c>
      <c r="V117" s="15" t="s">
        <v>605</v>
      </c>
      <c r="W117" s="15" t="s">
        <v>606</v>
      </c>
      <c r="X117" s="15" t="s">
        <v>607</v>
      </c>
      <c r="Y117" s="15"/>
      <c r="Z117" s="15"/>
    </row>
    <row r="118" spans="1:26" ht="12.75" customHeight="1" x14ac:dyDescent="0.2">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1">
        <v>0</v>
      </c>
      <c r="S118" s="8">
        <v>0</v>
      </c>
      <c r="T118" s="15" t="str">
        <f t="shared" si="42"/>
        <v>PM</v>
      </c>
      <c r="U118" s="15" t="s">
        <v>608</v>
      </c>
      <c r="V118" s="15" t="s">
        <v>609</v>
      </c>
      <c r="W118" s="15" t="s">
        <v>610</v>
      </c>
      <c r="X118" s="15" t="s">
        <v>611</v>
      </c>
      <c r="Y118" s="15"/>
      <c r="Z118" s="15"/>
    </row>
    <row r="119" spans="1:26" ht="12.75" customHeight="1" x14ac:dyDescent="0.2">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1">
        <v>0</v>
      </c>
      <c r="S119" s="8">
        <v>0</v>
      </c>
      <c r="T119" s="15" t="str">
        <f t="shared" si="42"/>
        <v>PM</v>
      </c>
      <c r="U119" s="15" t="s">
        <v>613</v>
      </c>
      <c r="V119" s="15" t="s">
        <v>614</v>
      </c>
      <c r="W119" s="15" t="s">
        <v>615</v>
      </c>
      <c r="X119" s="15" t="s">
        <v>616</v>
      </c>
      <c r="Y119" s="15"/>
      <c r="Z119" s="15"/>
    </row>
    <row r="120" spans="1:26" ht="12.75" customHeight="1" x14ac:dyDescent="0.2">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2">
        <v>0</v>
      </c>
      <c r="S120" s="8">
        <v>0</v>
      </c>
      <c r="T120" s="15" t="str">
        <f t="shared" si="42"/>
        <v>PM</v>
      </c>
      <c r="U120" s="15" t="s">
        <v>388</v>
      </c>
      <c r="V120" s="15" t="s">
        <v>389</v>
      </c>
      <c r="W120" s="15" t="s">
        <v>390</v>
      </c>
      <c r="X120" s="15" t="s">
        <v>391</v>
      </c>
      <c r="Y120" s="15"/>
      <c r="Z120" s="15"/>
    </row>
    <row r="121" spans="1:26" ht="12.75" customHeight="1" x14ac:dyDescent="0.2">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2">
        <v>0</v>
      </c>
      <c r="S121" s="8">
        <v>0</v>
      </c>
      <c r="T121" s="15" t="str">
        <f t="shared" si="42"/>
        <v>PM</v>
      </c>
      <c r="U121" s="15" t="s">
        <v>619</v>
      </c>
      <c r="V121" s="15" t="s">
        <v>620</v>
      </c>
      <c r="W121" s="15" t="s">
        <v>621</v>
      </c>
      <c r="X121" s="15" t="s">
        <v>622</v>
      </c>
      <c r="Y121" s="15"/>
      <c r="Z121" s="15"/>
    </row>
    <row r="122" spans="1:26" ht="12.75" customHeight="1" x14ac:dyDescent="0.2">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1">
        <v>0</v>
      </c>
      <c r="S122" s="8">
        <v>0</v>
      </c>
      <c r="T122" s="15" t="str">
        <f t="shared" si="42"/>
        <v>PM</v>
      </c>
      <c r="U122" s="15" t="s">
        <v>623</v>
      </c>
      <c r="V122" s="15" t="s">
        <v>624</v>
      </c>
      <c r="W122" s="15" t="s">
        <v>625</v>
      </c>
      <c r="X122" s="15" t="s">
        <v>626</v>
      </c>
      <c r="Y122" s="15"/>
      <c r="Z122" s="15"/>
    </row>
    <row r="123" spans="1:26" s="329" customFormat="1" ht="12.75" customHeight="1" x14ac:dyDescent="0.2">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1">
        <v>0</v>
      </c>
      <c r="L123" s="261">
        <f t="shared" ref="L123:L129" si="43">K123/1000</f>
        <v>0</v>
      </c>
      <c r="M123" s="261">
        <v>0</v>
      </c>
      <c r="N123" s="261">
        <v>0</v>
      </c>
      <c r="O123" s="261"/>
      <c r="P123" s="261"/>
      <c r="Q123" s="261"/>
      <c r="R123" s="261"/>
      <c r="S123" s="261"/>
      <c r="T123" s="261"/>
      <c r="U123" s="330">
        <v>0</v>
      </c>
      <c r="V123" s="330">
        <v>0</v>
      </c>
      <c r="W123" s="330">
        <v>0</v>
      </c>
      <c r="X123" s="330">
        <v>0</v>
      </c>
      <c r="Y123" s="330">
        <v>0</v>
      </c>
      <c r="Z123" s="330"/>
    </row>
    <row r="124" spans="1:26" s="329" customFormat="1" ht="12.75" customHeight="1" x14ac:dyDescent="0.2">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1">
        <v>50000</v>
      </c>
      <c r="L124" s="261">
        <f t="shared" si="43"/>
        <v>50</v>
      </c>
      <c r="M124" s="261">
        <v>16</v>
      </c>
      <c r="N124" s="261">
        <f>IF(M124&lt;10,1,0)</f>
        <v>0</v>
      </c>
      <c r="O124" s="261" t="s">
        <v>199</v>
      </c>
      <c r="P124" s="261" t="s">
        <v>198</v>
      </c>
      <c r="Q124" s="261" t="s">
        <v>198</v>
      </c>
      <c r="R124" s="261" t="s">
        <v>198</v>
      </c>
      <c r="S124" s="261">
        <v>0</v>
      </c>
      <c r="T124" s="330" t="s">
        <v>200</v>
      </c>
      <c r="U124" s="330" t="s">
        <v>1385</v>
      </c>
      <c r="V124" s="330" t="s">
        <v>1386</v>
      </c>
      <c r="W124" s="330" t="s">
        <v>1387</v>
      </c>
      <c r="X124" s="330" t="s">
        <v>1388</v>
      </c>
      <c r="Y124" s="330"/>
      <c r="Z124" s="330"/>
    </row>
    <row r="125" spans="1:26" s="329" customFormat="1" ht="12.75" customHeight="1" x14ac:dyDescent="0.2">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1">
        <v>20000</v>
      </c>
      <c r="L125" s="261">
        <f t="shared" si="43"/>
        <v>20</v>
      </c>
      <c r="M125" s="261">
        <v>2</v>
      </c>
      <c r="N125" s="261">
        <v>0</v>
      </c>
      <c r="O125" s="261">
        <v>0</v>
      </c>
      <c r="P125" s="261" t="s">
        <v>198</v>
      </c>
      <c r="Q125" s="261">
        <v>0</v>
      </c>
      <c r="R125" s="261">
        <v>0</v>
      </c>
      <c r="S125" s="261">
        <v>0</v>
      </c>
      <c r="T125" s="330" t="s">
        <v>226</v>
      </c>
      <c r="U125" s="330" t="s">
        <v>1390</v>
      </c>
      <c r="V125" s="330" t="s">
        <v>1391</v>
      </c>
      <c r="W125" s="330" t="s">
        <v>1392</v>
      </c>
      <c r="X125" s="330" t="s">
        <v>1393</v>
      </c>
      <c r="Y125" s="330"/>
      <c r="Z125" s="330"/>
    </row>
    <row r="126" spans="1:26" s="329" customFormat="1" ht="12.75" customHeight="1" x14ac:dyDescent="0.2">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1">
        <v>90000</v>
      </c>
      <c r="L126" s="261">
        <f t="shared" si="43"/>
        <v>90</v>
      </c>
      <c r="M126" s="261">
        <v>2</v>
      </c>
      <c r="N126" s="261">
        <v>0</v>
      </c>
      <c r="O126" s="261" t="s">
        <v>199</v>
      </c>
      <c r="P126" s="261" t="s">
        <v>198</v>
      </c>
      <c r="Q126" s="261" t="s">
        <v>199</v>
      </c>
      <c r="R126" s="261" t="s">
        <v>198</v>
      </c>
      <c r="S126" s="261">
        <v>0</v>
      </c>
      <c r="T126" s="330" t="s">
        <v>200</v>
      </c>
      <c r="U126" s="330" t="s">
        <v>613</v>
      </c>
      <c r="V126" s="330" t="s">
        <v>614</v>
      </c>
      <c r="W126" s="330" t="s">
        <v>615</v>
      </c>
      <c r="X126" s="330" t="s">
        <v>616</v>
      </c>
      <c r="Y126" s="330"/>
      <c r="Z126" s="330"/>
    </row>
    <row r="127" spans="1:26" s="329" customFormat="1" ht="12.75" customHeight="1" x14ac:dyDescent="0.2">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1">
        <v>95000</v>
      </c>
      <c r="L127" s="261">
        <f t="shared" si="43"/>
        <v>95</v>
      </c>
      <c r="M127" s="261">
        <v>2</v>
      </c>
      <c r="N127" s="261">
        <v>0</v>
      </c>
      <c r="O127" s="261" t="s">
        <v>199</v>
      </c>
      <c r="P127" s="261" t="s">
        <v>199</v>
      </c>
      <c r="Q127" s="261" t="s">
        <v>198</v>
      </c>
      <c r="R127" s="261" t="s">
        <v>199</v>
      </c>
      <c r="S127" s="261">
        <v>0</v>
      </c>
      <c r="T127" s="330" t="s">
        <v>200</v>
      </c>
      <c r="U127" s="330" t="s">
        <v>1395</v>
      </c>
      <c r="V127" s="330" t="s">
        <v>1396</v>
      </c>
      <c r="W127" s="330" t="s">
        <v>1397</v>
      </c>
      <c r="X127" s="330" t="s">
        <v>1398</v>
      </c>
      <c r="Y127" s="330"/>
      <c r="Z127" s="330"/>
    </row>
    <row r="128" spans="1:26" s="329" customFormat="1" ht="12.75" customHeight="1" x14ac:dyDescent="0.2">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1">
        <v>105000</v>
      </c>
      <c r="L128" s="261">
        <f t="shared" si="43"/>
        <v>105</v>
      </c>
      <c r="M128" s="261">
        <v>2</v>
      </c>
      <c r="N128" s="261">
        <v>0</v>
      </c>
      <c r="O128" s="261" t="s">
        <v>199</v>
      </c>
      <c r="P128" s="261" t="s">
        <v>198</v>
      </c>
      <c r="Q128" s="261" t="s">
        <v>199</v>
      </c>
      <c r="R128" s="261">
        <v>0</v>
      </c>
      <c r="S128" s="261">
        <v>0</v>
      </c>
      <c r="T128" s="330" t="s">
        <v>226</v>
      </c>
      <c r="U128" s="330" t="s">
        <v>388</v>
      </c>
      <c r="V128" s="330" t="s">
        <v>389</v>
      </c>
      <c r="W128" s="330" t="s">
        <v>390</v>
      </c>
      <c r="X128" s="330" t="s">
        <v>391</v>
      </c>
      <c r="Y128" s="330"/>
      <c r="Z128" s="330"/>
    </row>
    <row r="129" spans="1:26" s="329" customFormat="1" ht="12.75" customHeight="1" x14ac:dyDescent="0.2">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1">
        <v>140000</v>
      </c>
      <c r="L129" s="261">
        <f t="shared" si="43"/>
        <v>140</v>
      </c>
      <c r="M129" s="261">
        <v>1</v>
      </c>
      <c r="N129" s="261">
        <f>IF(M129&lt;10,1,0)</f>
        <v>1</v>
      </c>
      <c r="O129" s="261" t="s">
        <v>199</v>
      </c>
      <c r="P129" s="261" t="s">
        <v>199</v>
      </c>
      <c r="Q129" s="261" t="s">
        <v>199</v>
      </c>
      <c r="R129" s="261">
        <v>0</v>
      </c>
      <c r="S129" s="261">
        <v>0</v>
      </c>
      <c r="T129" s="330" t="s">
        <v>226</v>
      </c>
      <c r="U129" s="330" t="s">
        <v>619</v>
      </c>
      <c r="V129" s="330" t="s">
        <v>620</v>
      </c>
      <c r="W129" s="330" t="s">
        <v>621</v>
      </c>
      <c r="X129" s="330" t="s">
        <v>622</v>
      </c>
      <c r="Y129" s="330"/>
      <c r="Z129" s="330"/>
    </row>
    <row r="130" spans="1:26" s="329" customFormat="1" ht="12.75" customHeight="1" x14ac:dyDescent="0.2">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1">
        <v>0</v>
      </c>
      <c r="L130" s="261">
        <v>50</v>
      </c>
      <c r="M130" s="261">
        <v>16</v>
      </c>
      <c r="N130" s="261">
        <f>IF(M130&lt;10,1,0)</f>
        <v>0</v>
      </c>
      <c r="O130" s="261" t="s">
        <v>199</v>
      </c>
      <c r="P130" s="261" t="s">
        <v>198</v>
      </c>
      <c r="Q130" s="261" t="s">
        <v>198</v>
      </c>
      <c r="R130" s="261" t="s">
        <v>198</v>
      </c>
      <c r="S130" s="261">
        <v>0</v>
      </c>
      <c r="T130" s="330" t="s">
        <v>200</v>
      </c>
      <c r="U130" s="330" t="s">
        <v>1385</v>
      </c>
      <c r="V130" s="330" t="s">
        <v>1386</v>
      </c>
      <c r="W130" s="330" t="s">
        <v>1387</v>
      </c>
      <c r="X130" s="330" t="s">
        <v>1388</v>
      </c>
      <c r="Y130" s="330"/>
      <c r="Z130" s="330"/>
    </row>
    <row r="131" spans="1:26" ht="12.75" customHeight="1" x14ac:dyDescent="0.2">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x14ac:dyDescent="0.2">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x14ac:dyDescent="0.2">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x14ac:dyDescent="0.2">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x14ac:dyDescent="0.2">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x14ac:dyDescent="0.2">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x14ac:dyDescent="0.2">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x14ac:dyDescent="0.2">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x14ac:dyDescent="0.2">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x14ac:dyDescent="0.2">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x14ac:dyDescent="0.2">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x14ac:dyDescent="0.2">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x14ac:dyDescent="0.2">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1">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x14ac:dyDescent="0.2">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1">
        <v>0</v>
      </c>
      <c r="S144" s="8">
        <v>0</v>
      </c>
      <c r="T144" s="15" t="str">
        <f t="shared" si="49"/>
        <v>PM</v>
      </c>
      <c r="U144" s="15" t="s">
        <v>672</v>
      </c>
      <c r="V144" s="9" t="s">
        <v>673</v>
      </c>
      <c r="W144" s="15" t="s">
        <v>674</v>
      </c>
      <c r="X144" s="15" t="s">
        <v>675</v>
      </c>
      <c r="Y144" s="15"/>
      <c r="Z144" s="15"/>
    </row>
    <row r="145" spans="1:26" ht="12.75" customHeight="1" x14ac:dyDescent="0.2">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1" t="s">
        <v>199</v>
      </c>
      <c r="S145" s="8">
        <v>0</v>
      </c>
      <c r="T145" s="15" t="str">
        <f t="shared" si="49"/>
        <v>M</v>
      </c>
      <c r="U145" s="15" t="s">
        <v>676</v>
      </c>
      <c r="V145" s="9" t="s">
        <v>677</v>
      </c>
      <c r="W145" s="15" t="s">
        <v>678</v>
      </c>
      <c r="X145" s="15" t="s">
        <v>679</v>
      </c>
      <c r="Y145" s="15"/>
      <c r="Z145" s="15"/>
    </row>
    <row r="146" spans="1:26" ht="12.75" customHeight="1" x14ac:dyDescent="0.2">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1">
        <v>0</v>
      </c>
      <c r="S146" s="8">
        <v>0</v>
      </c>
      <c r="T146" s="15" t="str">
        <f t="shared" si="49"/>
        <v>PM</v>
      </c>
      <c r="U146" s="15" t="s">
        <v>680</v>
      </c>
      <c r="V146" s="9" t="s">
        <v>681</v>
      </c>
      <c r="W146" s="15" t="s">
        <v>682</v>
      </c>
      <c r="X146" s="15" t="s">
        <v>683</v>
      </c>
      <c r="Y146" s="15"/>
      <c r="Z146" s="15"/>
    </row>
    <row r="147" spans="1:26" ht="12.75" customHeight="1" x14ac:dyDescent="0.2">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1">
        <v>0</v>
      </c>
      <c r="S147" s="8">
        <v>0</v>
      </c>
      <c r="T147" s="15" t="str">
        <f t="shared" si="49"/>
        <v>PM</v>
      </c>
      <c r="U147" s="15" t="s">
        <v>684</v>
      </c>
      <c r="V147" s="9" t="s">
        <v>685</v>
      </c>
      <c r="W147" s="15" t="s">
        <v>686</v>
      </c>
      <c r="X147" s="15" t="s">
        <v>687</v>
      </c>
      <c r="Y147" s="15"/>
      <c r="Z147" s="15"/>
    </row>
    <row r="148" spans="1:26" ht="12.75" customHeight="1" x14ac:dyDescent="0.2">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1">
        <v>0</v>
      </c>
      <c r="S148" s="8">
        <v>0</v>
      </c>
      <c r="T148" s="15" t="str">
        <f t="shared" si="49"/>
        <v>PM</v>
      </c>
      <c r="U148" s="15" t="s">
        <v>689</v>
      </c>
      <c r="V148" s="9" t="s">
        <v>690</v>
      </c>
      <c r="W148" s="15" t="s">
        <v>691</v>
      </c>
      <c r="X148" s="15" t="s">
        <v>692</v>
      </c>
      <c r="Y148" s="15"/>
      <c r="Z148" s="15"/>
    </row>
    <row r="149" spans="1:26" ht="12.75" customHeight="1" x14ac:dyDescent="0.2">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1" t="s">
        <v>199</v>
      </c>
      <c r="S149" s="8">
        <v>0</v>
      </c>
      <c r="T149" s="15" t="str">
        <f t="shared" si="49"/>
        <v>M</v>
      </c>
      <c r="U149" s="15" t="s">
        <v>694</v>
      </c>
      <c r="V149" s="9" t="s">
        <v>695</v>
      </c>
      <c r="W149" s="15" t="s">
        <v>696</v>
      </c>
      <c r="X149" s="15" t="s">
        <v>697</v>
      </c>
      <c r="Y149" s="15"/>
      <c r="Z149" s="15"/>
    </row>
    <row r="150" spans="1:26" ht="12.75" customHeight="1" x14ac:dyDescent="0.2">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1">
        <v>0</v>
      </c>
      <c r="S150" s="8">
        <v>0</v>
      </c>
      <c r="T150" s="15" t="str">
        <f t="shared" si="49"/>
        <v>PM</v>
      </c>
      <c r="U150" s="15" t="s">
        <v>699</v>
      </c>
      <c r="V150" s="9" t="s">
        <v>700</v>
      </c>
      <c r="W150" s="15" t="s">
        <v>701</v>
      </c>
      <c r="X150" s="15" t="s">
        <v>702</v>
      </c>
      <c r="Y150" s="15"/>
      <c r="Z150" s="15"/>
    </row>
    <row r="151" spans="1:26" ht="12.75" customHeight="1" x14ac:dyDescent="0.2">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2">
        <v>0</v>
      </c>
      <c r="S151" s="8">
        <v>0</v>
      </c>
      <c r="T151" s="15" t="str">
        <f t="shared" si="49"/>
        <v>PM</v>
      </c>
      <c r="U151" s="15" t="s">
        <v>704</v>
      </c>
      <c r="V151" s="15" t="s">
        <v>705</v>
      </c>
      <c r="W151" s="15" t="s">
        <v>706</v>
      </c>
      <c r="X151" s="15" t="s">
        <v>707</v>
      </c>
      <c r="Y151" s="15"/>
      <c r="Z151" s="15"/>
    </row>
    <row r="152" spans="1:26" ht="12.75" customHeight="1" x14ac:dyDescent="0.2">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1">
        <v>0</v>
      </c>
      <c r="S152" s="8">
        <v>0</v>
      </c>
      <c r="T152" s="15" t="str">
        <f t="shared" si="49"/>
        <v>PM</v>
      </c>
      <c r="U152" s="15" t="s">
        <v>326</v>
      </c>
      <c r="V152" s="15" t="s">
        <v>327</v>
      </c>
      <c r="W152" s="15" t="s">
        <v>328</v>
      </c>
      <c r="X152" s="15" t="s">
        <v>329</v>
      </c>
      <c r="Y152" s="15"/>
      <c r="Z152" s="15"/>
    </row>
    <row r="153" spans="1:26" ht="12.75" customHeight="1" x14ac:dyDescent="0.2">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1" t="s">
        <v>198</v>
      </c>
      <c r="S153" s="8">
        <v>0</v>
      </c>
      <c r="T153" s="15" t="str">
        <f t="shared" si="49"/>
        <v>M</v>
      </c>
      <c r="U153" s="15" t="s">
        <v>708</v>
      </c>
      <c r="V153" s="15" t="s">
        <v>709</v>
      </c>
      <c r="W153" s="15" t="s">
        <v>710</v>
      </c>
      <c r="X153" s="15" t="s">
        <v>711</v>
      </c>
      <c r="Y153" s="15"/>
      <c r="Z153" s="15"/>
    </row>
    <row r="154" spans="1:26" ht="12.75" customHeight="1" x14ac:dyDescent="0.2">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1">
        <v>0</v>
      </c>
      <c r="S154" s="8">
        <v>0</v>
      </c>
      <c r="T154" s="15" t="str">
        <f t="shared" si="49"/>
        <v>PM</v>
      </c>
      <c r="U154" s="15" t="s">
        <v>357</v>
      </c>
      <c r="V154" s="15" t="s">
        <v>358</v>
      </c>
      <c r="W154" s="15" t="s">
        <v>359</v>
      </c>
      <c r="X154" s="15" t="s">
        <v>360</v>
      </c>
      <c r="Y154" s="15"/>
      <c r="Z154" s="15"/>
    </row>
    <row r="155" spans="1:26" ht="12.75" customHeight="1" x14ac:dyDescent="0.2">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x14ac:dyDescent="0.2">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1">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x14ac:dyDescent="0.2">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1">
        <v>0</v>
      </c>
      <c r="S157" s="8">
        <v>0</v>
      </c>
      <c r="T157" s="15" t="str">
        <f t="shared" si="52"/>
        <v>PM</v>
      </c>
      <c r="U157" s="15" t="s">
        <v>451</v>
      </c>
      <c r="V157" s="15" t="s">
        <v>452</v>
      </c>
      <c r="W157" s="15" t="s">
        <v>453</v>
      </c>
      <c r="X157" s="15" t="s">
        <v>454</v>
      </c>
      <c r="Y157" s="15"/>
      <c r="Z157" s="15"/>
    </row>
    <row r="158" spans="1:26" ht="12.75" customHeight="1" x14ac:dyDescent="0.2">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1" t="s">
        <v>199</v>
      </c>
      <c r="S158" s="8">
        <v>0</v>
      </c>
      <c r="T158" s="15" t="str">
        <f t="shared" si="52"/>
        <v>M</v>
      </c>
      <c r="U158" s="15" t="s">
        <v>1381</v>
      </c>
      <c r="V158" s="15" t="s">
        <v>717</v>
      </c>
      <c r="W158" s="15" t="s">
        <v>718</v>
      </c>
      <c r="X158" s="15" t="s">
        <v>719</v>
      </c>
      <c r="Y158" s="15"/>
      <c r="Z158" s="15"/>
    </row>
    <row r="159" spans="1:26" ht="12.75" customHeight="1" x14ac:dyDescent="0.2">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2">
        <v>0</v>
      </c>
      <c r="S159" s="8">
        <v>0</v>
      </c>
      <c r="T159" s="15" t="str">
        <f t="shared" si="52"/>
        <v>PM</v>
      </c>
      <c r="U159" s="15" t="s">
        <v>721</v>
      </c>
      <c r="V159" s="15" t="s">
        <v>722</v>
      </c>
      <c r="W159" s="15" t="s">
        <v>723</v>
      </c>
      <c r="X159" s="15" t="s">
        <v>724</v>
      </c>
      <c r="Y159" s="15"/>
      <c r="Z159" s="15"/>
    </row>
    <row r="160" spans="1:26" ht="12.75" customHeight="1" x14ac:dyDescent="0.2">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1" t="s">
        <v>198</v>
      </c>
      <c r="S160" s="8">
        <v>0</v>
      </c>
      <c r="T160" s="15" t="str">
        <f t="shared" si="52"/>
        <v>M</v>
      </c>
      <c r="U160" s="15" t="s">
        <v>1382</v>
      </c>
      <c r="V160" s="9" t="s">
        <v>725</v>
      </c>
      <c r="W160" s="15" t="s">
        <v>726</v>
      </c>
      <c r="X160" s="15" t="s">
        <v>727</v>
      </c>
      <c r="Y160" s="15"/>
      <c r="Z160" s="15"/>
    </row>
    <row r="161" spans="1:26" ht="12.75" customHeight="1" x14ac:dyDescent="0.2">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1" t="s">
        <v>198</v>
      </c>
      <c r="S161" s="8">
        <v>0</v>
      </c>
      <c r="T161" s="15" t="str">
        <f t="shared" si="52"/>
        <v>M</v>
      </c>
      <c r="U161" s="15" t="s">
        <v>321</v>
      </c>
      <c r="V161" s="9" t="s">
        <v>322</v>
      </c>
      <c r="W161" s="15" t="s">
        <v>323</v>
      </c>
      <c r="X161" s="15" t="s">
        <v>324</v>
      </c>
      <c r="Y161" s="15"/>
      <c r="Z161" s="15"/>
    </row>
    <row r="162" spans="1:26" ht="12.75" customHeight="1" x14ac:dyDescent="0.2">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1">
        <v>0</v>
      </c>
      <c r="S162" s="8">
        <v>0</v>
      </c>
      <c r="T162" s="15" t="str">
        <f t="shared" si="52"/>
        <v>PM</v>
      </c>
      <c r="U162" s="15" t="s">
        <v>730</v>
      </c>
      <c r="V162" s="15" t="s">
        <v>731</v>
      </c>
      <c r="W162" s="15" t="s">
        <v>732</v>
      </c>
      <c r="X162" s="15" t="s">
        <v>733</v>
      </c>
      <c r="Y162" s="15"/>
      <c r="Z162" s="15"/>
    </row>
    <row r="163" spans="1:26" ht="12.75" customHeight="1" x14ac:dyDescent="0.2">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x14ac:dyDescent="0.2">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1">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x14ac:dyDescent="0.2">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2">
        <v>0</v>
      </c>
      <c r="S165" s="8">
        <v>0</v>
      </c>
      <c r="T165" s="15" t="str">
        <f t="shared" si="54"/>
        <v>PM</v>
      </c>
      <c r="U165" s="15" t="s">
        <v>579</v>
      </c>
      <c r="V165" s="9" t="s">
        <v>580</v>
      </c>
      <c r="W165" s="15" t="s">
        <v>579</v>
      </c>
      <c r="X165" s="15" t="s">
        <v>581</v>
      </c>
      <c r="Y165" s="15"/>
      <c r="Z165" s="15"/>
    </row>
    <row r="166" spans="1:26" ht="12.75" customHeight="1" x14ac:dyDescent="0.2">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1" t="s">
        <v>198</v>
      </c>
      <c r="S166" s="8">
        <v>0</v>
      </c>
      <c r="T166" s="15" t="str">
        <f t="shared" si="54"/>
        <v>M</v>
      </c>
      <c r="U166" s="15" t="s">
        <v>272</v>
      </c>
      <c r="V166" s="15" t="s">
        <v>273</v>
      </c>
      <c r="W166" s="15" t="s">
        <v>274</v>
      </c>
      <c r="X166" s="15" t="s">
        <v>275</v>
      </c>
      <c r="Y166" s="15"/>
      <c r="Z166" s="15"/>
    </row>
    <row r="167" spans="1:26" ht="12.75" customHeight="1" x14ac:dyDescent="0.2">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1" t="s">
        <v>198</v>
      </c>
      <c r="S167" s="8">
        <v>0</v>
      </c>
      <c r="T167" s="15" t="str">
        <f t="shared" si="54"/>
        <v>M</v>
      </c>
      <c r="U167" s="15" t="s">
        <v>740</v>
      </c>
      <c r="V167" s="15" t="s">
        <v>741</v>
      </c>
      <c r="W167" s="15" t="s">
        <v>740</v>
      </c>
      <c r="X167" s="15" t="s">
        <v>742</v>
      </c>
      <c r="Y167" s="15"/>
      <c r="Z167" s="15"/>
    </row>
    <row r="168" spans="1:26" ht="12.75" customHeight="1" x14ac:dyDescent="0.2">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2">
        <v>0</v>
      </c>
      <c r="S168" s="8">
        <v>0</v>
      </c>
      <c r="T168" s="15" t="str">
        <f t="shared" si="54"/>
        <v>PM</v>
      </c>
      <c r="U168" s="15" t="s">
        <v>744</v>
      </c>
      <c r="V168" s="9" t="s">
        <v>745</v>
      </c>
      <c r="W168" s="15" t="s">
        <v>746</v>
      </c>
      <c r="X168" s="15" t="s">
        <v>747</v>
      </c>
      <c r="Y168" s="15"/>
      <c r="Z168" s="15"/>
    </row>
    <row r="169" spans="1:26" ht="12.75" customHeight="1" x14ac:dyDescent="0.2">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2">
        <v>0</v>
      </c>
      <c r="S169" s="8">
        <v>0</v>
      </c>
      <c r="T169" s="15" t="str">
        <f t="shared" si="54"/>
        <v>PM</v>
      </c>
      <c r="U169" s="15"/>
      <c r="V169" s="9"/>
      <c r="W169" s="15"/>
      <c r="X169" s="15"/>
      <c r="Y169" s="15"/>
      <c r="Z169" s="15"/>
    </row>
    <row r="170" spans="1:26" ht="12.75" customHeight="1" x14ac:dyDescent="0.2">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1">
        <v>0</v>
      </c>
      <c r="S170" s="8">
        <v>0</v>
      </c>
      <c r="T170" s="15" t="str">
        <f t="shared" si="54"/>
        <v>PM</v>
      </c>
      <c r="U170" s="15" t="s">
        <v>749</v>
      </c>
      <c r="V170" s="9" t="s">
        <v>750</v>
      </c>
      <c r="W170" s="15" t="s">
        <v>751</v>
      </c>
      <c r="X170" s="15" t="s">
        <v>752</v>
      </c>
      <c r="Y170" s="15"/>
      <c r="Z170" s="15"/>
    </row>
    <row r="171" spans="1:26" ht="12.75" customHeight="1" x14ac:dyDescent="0.2">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2">
        <v>0</v>
      </c>
      <c r="S171" s="8">
        <v>0</v>
      </c>
      <c r="T171" s="15" t="str">
        <f t="shared" si="54"/>
        <v>PM</v>
      </c>
      <c r="U171" s="15" t="s">
        <v>600</v>
      </c>
      <c r="V171" s="9" t="s">
        <v>601</v>
      </c>
      <c r="W171" s="15" t="s">
        <v>602</v>
      </c>
      <c r="X171" s="15" t="s">
        <v>603</v>
      </c>
      <c r="Y171" s="15"/>
      <c r="Z171" s="15"/>
    </row>
    <row r="172" spans="1:26" ht="12.75" customHeight="1" x14ac:dyDescent="0.2">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x14ac:dyDescent="0.2">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1">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x14ac:dyDescent="0.2">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1" t="s">
        <v>198</v>
      </c>
      <c r="S174" s="8">
        <v>0</v>
      </c>
      <c r="T174" s="15" t="str">
        <f t="shared" si="56"/>
        <v>M</v>
      </c>
      <c r="U174" s="15" t="s">
        <v>758</v>
      </c>
      <c r="V174" s="15" t="s">
        <v>759</v>
      </c>
      <c r="W174" s="15" t="s">
        <v>760</v>
      </c>
      <c r="X174" s="15" t="s">
        <v>761</v>
      </c>
      <c r="Y174" s="15"/>
      <c r="Z174" s="15"/>
    </row>
    <row r="175" spans="1:26" ht="12.75" customHeight="1" x14ac:dyDescent="0.2">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1" t="s">
        <v>198</v>
      </c>
      <c r="S175" s="8">
        <v>0</v>
      </c>
      <c r="T175" s="15" t="str">
        <f t="shared" si="56"/>
        <v>M</v>
      </c>
      <c r="U175" s="15" t="s">
        <v>762</v>
      </c>
      <c r="V175" s="15" t="s">
        <v>763</v>
      </c>
      <c r="W175" s="15" t="s">
        <v>764</v>
      </c>
      <c r="X175" s="15" t="s">
        <v>765</v>
      </c>
      <c r="Y175" s="15"/>
      <c r="Z175" s="15"/>
    </row>
    <row r="176" spans="1:26" ht="12.75" customHeight="1" x14ac:dyDescent="0.2">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2">
        <v>0</v>
      </c>
      <c r="S176" s="8">
        <v>0</v>
      </c>
      <c r="T176" s="15" t="str">
        <f t="shared" si="56"/>
        <v>PM</v>
      </c>
      <c r="U176" s="15" t="s">
        <v>766</v>
      </c>
      <c r="V176" s="15" t="s">
        <v>570</v>
      </c>
      <c r="W176" s="15" t="s">
        <v>767</v>
      </c>
      <c r="X176" s="15" t="s">
        <v>768</v>
      </c>
      <c r="Y176" s="15"/>
      <c r="Z176" s="15"/>
    </row>
    <row r="177" spans="1:26" ht="12.75" customHeight="1" x14ac:dyDescent="0.2">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1">
        <v>0</v>
      </c>
      <c r="S177" s="8">
        <v>0</v>
      </c>
      <c r="T177" s="15" t="str">
        <f t="shared" si="56"/>
        <v>PM</v>
      </c>
      <c r="U177" s="15" t="s">
        <v>770</v>
      </c>
      <c r="V177" s="9" t="s">
        <v>771</v>
      </c>
      <c r="W177" s="15" t="s">
        <v>772</v>
      </c>
      <c r="X177" s="15" t="s">
        <v>773</v>
      </c>
      <c r="Y177" s="15"/>
      <c r="Z177" s="15"/>
    </row>
    <row r="178" spans="1:26" ht="12.75" customHeight="1" x14ac:dyDescent="0.2">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x14ac:dyDescent="0.2">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1">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x14ac:dyDescent="0.2">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1" t="s">
        <v>199</v>
      </c>
      <c r="S180" s="8" t="s">
        <v>198</v>
      </c>
      <c r="T180" s="15" t="str">
        <f t="shared" si="58"/>
        <v>FULL</v>
      </c>
      <c r="U180" s="15" t="s">
        <v>518</v>
      </c>
      <c r="V180" s="9" t="s">
        <v>519</v>
      </c>
      <c r="W180" s="15" t="s">
        <v>520</v>
      </c>
      <c r="X180" s="15" t="s">
        <v>521</v>
      </c>
      <c r="Y180" s="15"/>
      <c r="Z180" s="15"/>
    </row>
    <row r="181" spans="1:26" ht="12.75" customHeight="1" x14ac:dyDescent="0.2">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1" t="s">
        <v>198</v>
      </c>
      <c r="S181" s="8" t="s">
        <v>198</v>
      </c>
      <c r="T181" s="15" t="str">
        <f t="shared" si="58"/>
        <v>FULL</v>
      </c>
      <c r="U181" s="15" t="s">
        <v>272</v>
      </c>
      <c r="V181" s="15" t="s">
        <v>273</v>
      </c>
      <c r="W181" s="15" t="s">
        <v>274</v>
      </c>
      <c r="X181" s="15" t="s">
        <v>275</v>
      </c>
      <c r="Y181" s="15"/>
      <c r="Z181" s="15"/>
    </row>
    <row r="182" spans="1:26" ht="12.75" customHeight="1" x14ac:dyDescent="0.2">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1" t="s">
        <v>198</v>
      </c>
      <c r="S182" s="8" t="s">
        <v>198</v>
      </c>
      <c r="T182" s="15" t="str">
        <f t="shared" si="58"/>
        <v>FULL</v>
      </c>
      <c r="U182" s="15" t="s">
        <v>407</v>
      </c>
      <c r="V182" s="9" t="s">
        <v>408</v>
      </c>
      <c r="W182" s="15" t="s">
        <v>407</v>
      </c>
      <c r="X182" s="15" t="s">
        <v>409</v>
      </c>
      <c r="Y182" s="15"/>
      <c r="Z182" s="15"/>
    </row>
    <row r="183" spans="1:26" ht="12.75" customHeight="1" x14ac:dyDescent="0.2">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2">
        <v>0</v>
      </c>
      <c r="S183" s="8" t="s">
        <v>198</v>
      </c>
      <c r="T183" s="15" t="str">
        <f t="shared" si="58"/>
        <v>P</v>
      </c>
      <c r="U183" s="15" t="s">
        <v>383</v>
      </c>
      <c r="V183" s="9" t="s">
        <v>384</v>
      </c>
      <c r="W183" s="15" t="s">
        <v>385</v>
      </c>
      <c r="X183" s="15" t="s">
        <v>386</v>
      </c>
      <c r="Y183" s="15"/>
      <c r="Z183" s="15"/>
    </row>
    <row r="184" spans="1:26" ht="12.75" customHeight="1" x14ac:dyDescent="0.2">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1">
        <v>0</v>
      </c>
      <c r="S184" s="8" t="s">
        <v>198</v>
      </c>
      <c r="T184" s="15" t="str">
        <f t="shared" si="58"/>
        <v>P</v>
      </c>
      <c r="U184" s="15" t="s">
        <v>357</v>
      </c>
      <c r="V184" s="15" t="s">
        <v>358</v>
      </c>
      <c r="W184" s="15" t="s">
        <v>359</v>
      </c>
      <c r="X184" s="15" t="s">
        <v>360</v>
      </c>
      <c r="Y184" s="15"/>
      <c r="Z184" s="15"/>
    </row>
    <row r="185" spans="1:26" ht="12.75" customHeight="1" x14ac:dyDescent="0.2">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x14ac:dyDescent="0.2">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1">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x14ac:dyDescent="0.2">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1" t="s">
        <v>199</v>
      </c>
      <c r="S187" s="8">
        <v>0</v>
      </c>
      <c r="T187" s="15" t="str">
        <f t="shared" si="61"/>
        <v>M</v>
      </c>
      <c r="U187" s="15" t="s">
        <v>778</v>
      </c>
      <c r="V187" s="15" t="s">
        <v>779</v>
      </c>
      <c r="W187" s="15" t="s">
        <v>780</v>
      </c>
      <c r="X187" s="15" t="s">
        <v>781</v>
      </c>
      <c r="Y187" s="15"/>
      <c r="Z187" s="15"/>
    </row>
    <row r="188" spans="1:26" ht="12.75" customHeight="1" x14ac:dyDescent="0.2">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1" t="s">
        <v>198</v>
      </c>
      <c r="S188" s="8">
        <v>0</v>
      </c>
      <c r="T188" s="15" t="str">
        <f t="shared" si="61"/>
        <v>M</v>
      </c>
      <c r="U188" s="15" t="s">
        <v>783</v>
      </c>
      <c r="V188" s="9" t="s">
        <v>784</v>
      </c>
      <c r="W188" s="15" t="s">
        <v>785</v>
      </c>
      <c r="X188" s="15" t="s">
        <v>786</v>
      </c>
      <c r="Y188" s="15"/>
      <c r="Z188" s="15"/>
    </row>
    <row r="189" spans="1:26" ht="12.75" customHeight="1" x14ac:dyDescent="0.2">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2">
        <v>0</v>
      </c>
      <c r="S189" s="8">
        <v>0</v>
      </c>
      <c r="T189" s="15" t="str">
        <f t="shared" si="61"/>
        <v>PM</v>
      </c>
      <c r="U189" s="15" t="s">
        <v>788</v>
      </c>
      <c r="V189" s="9" t="s">
        <v>789</v>
      </c>
      <c r="W189" s="15" t="s">
        <v>790</v>
      </c>
      <c r="X189" s="15" t="s">
        <v>791</v>
      </c>
      <c r="Y189" s="15"/>
      <c r="Z189" s="15"/>
    </row>
    <row r="190" spans="1:26" ht="12.75" customHeight="1" x14ac:dyDescent="0.2">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1">
        <v>0</v>
      </c>
      <c r="S190" s="8">
        <v>0</v>
      </c>
      <c r="T190" s="15" t="str">
        <f t="shared" si="61"/>
        <v>PM</v>
      </c>
      <c r="U190" s="15" t="s">
        <v>749</v>
      </c>
      <c r="V190" s="9" t="s">
        <v>750</v>
      </c>
      <c r="W190" s="15" t="s">
        <v>751</v>
      </c>
      <c r="X190" s="15" t="s">
        <v>752</v>
      </c>
      <c r="Y190" s="15"/>
      <c r="Z190" s="15"/>
    </row>
    <row r="191" spans="1:26" ht="12.75" customHeight="1" x14ac:dyDescent="0.2">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x14ac:dyDescent="0.2">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1">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x14ac:dyDescent="0.2">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1" t="s">
        <v>199</v>
      </c>
      <c r="S193" s="8">
        <v>0</v>
      </c>
      <c r="T193" s="15" t="str">
        <f t="shared" si="62"/>
        <v>M</v>
      </c>
      <c r="U193" s="15" t="s">
        <v>798</v>
      </c>
      <c r="V193" s="9" t="s">
        <v>799</v>
      </c>
      <c r="W193" s="15" t="s">
        <v>800</v>
      </c>
      <c r="X193" s="15" t="s">
        <v>801</v>
      </c>
      <c r="Y193" s="15"/>
      <c r="Z193" s="15"/>
    </row>
    <row r="194" spans="1:26" ht="12.75" customHeight="1" x14ac:dyDescent="0.2">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1">
        <v>0</v>
      </c>
      <c r="S194" s="8">
        <v>0</v>
      </c>
      <c r="T194" s="15" t="str">
        <f t="shared" si="62"/>
        <v>PM</v>
      </c>
      <c r="U194" s="15" t="s">
        <v>803</v>
      </c>
      <c r="V194" s="9" t="s">
        <v>804</v>
      </c>
      <c r="W194" s="15" t="s">
        <v>805</v>
      </c>
      <c r="X194" s="15" t="s">
        <v>806</v>
      </c>
      <c r="Y194" s="15"/>
      <c r="Z194" s="15"/>
    </row>
    <row r="195" spans="1:26" ht="12.75" customHeight="1" x14ac:dyDescent="0.2">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1">
        <v>0</v>
      </c>
      <c r="S195" s="8">
        <v>0</v>
      </c>
      <c r="T195" s="15" t="str">
        <f t="shared" si="62"/>
        <v>PM</v>
      </c>
      <c r="U195" s="15" t="s">
        <v>808</v>
      </c>
      <c r="V195" s="15" t="s">
        <v>809</v>
      </c>
      <c r="W195" s="15" t="s">
        <v>810</v>
      </c>
      <c r="X195" s="15" t="s">
        <v>811</v>
      </c>
      <c r="Y195" s="15"/>
      <c r="Z195" s="15"/>
    </row>
    <row r="196" spans="1:26" ht="12.75" customHeight="1" x14ac:dyDescent="0.2">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2">
        <v>0</v>
      </c>
      <c r="S196" s="8">
        <v>0</v>
      </c>
      <c r="T196" s="15" t="str">
        <f t="shared" si="62"/>
        <v>PM</v>
      </c>
      <c r="U196" s="15" t="s">
        <v>813</v>
      </c>
      <c r="V196" s="9" t="s">
        <v>814</v>
      </c>
      <c r="W196" s="15" t="s">
        <v>815</v>
      </c>
      <c r="X196" s="15" t="s">
        <v>816</v>
      </c>
      <c r="Y196" s="15"/>
      <c r="Z196" s="15"/>
    </row>
    <row r="197" spans="1:26" ht="12.75" customHeight="1" x14ac:dyDescent="0.2">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1" t="s">
        <v>198</v>
      </c>
      <c r="S197" s="8">
        <v>0</v>
      </c>
      <c r="T197" s="15" t="str">
        <f t="shared" si="62"/>
        <v>M</v>
      </c>
      <c r="U197" s="15" t="s">
        <v>305</v>
      </c>
      <c r="V197" s="9" t="s">
        <v>306</v>
      </c>
      <c r="W197" s="15" t="s">
        <v>307</v>
      </c>
      <c r="X197" s="15" t="s">
        <v>308</v>
      </c>
      <c r="Y197" s="15"/>
      <c r="Z197" s="15"/>
    </row>
    <row r="198" spans="1:26" ht="12.75" customHeight="1" x14ac:dyDescent="0.2">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1">
        <v>0</v>
      </c>
      <c r="S198" s="8">
        <v>0</v>
      </c>
      <c r="T198" s="15" t="str">
        <f t="shared" si="62"/>
        <v>PM</v>
      </c>
      <c r="U198" s="15" t="s">
        <v>818</v>
      </c>
      <c r="V198" s="9" t="s">
        <v>819</v>
      </c>
      <c r="W198" s="15" t="s">
        <v>820</v>
      </c>
      <c r="X198" s="15" t="s">
        <v>821</v>
      </c>
      <c r="Y198" s="15"/>
      <c r="Z198" s="15"/>
    </row>
    <row r="199" spans="1:26" ht="12.75" customHeight="1" x14ac:dyDescent="0.2">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x14ac:dyDescent="0.2">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1">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x14ac:dyDescent="0.2">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1">
        <v>0</v>
      </c>
      <c r="S201" s="8" t="s">
        <v>199</v>
      </c>
      <c r="T201" s="15" t="str">
        <f t="shared" si="65"/>
        <v>P</v>
      </c>
      <c r="U201" s="15" t="s">
        <v>793</v>
      </c>
      <c r="V201" s="15" t="s">
        <v>794</v>
      </c>
      <c r="W201" s="15" t="s">
        <v>795</v>
      </c>
      <c r="X201" s="15" t="s">
        <v>796</v>
      </c>
      <c r="Y201" s="15"/>
      <c r="Z201" s="15"/>
    </row>
    <row r="202" spans="1:26" ht="12.75" customHeight="1" x14ac:dyDescent="0.2">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1">
        <v>0</v>
      </c>
      <c r="S202" s="8" t="s">
        <v>199</v>
      </c>
      <c r="T202" s="15" t="str">
        <f t="shared" si="65"/>
        <v>P</v>
      </c>
      <c r="U202" s="15" t="s">
        <v>823</v>
      </c>
      <c r="V202" s="15" t="s">
        <v>824</v>
      </c>
      <c r="W202" s="15" t="s">
        <v>825</v>
      </c>
      <c r="X202" s="15" t="s">
        <v>826</v>
      </c>
      <c r="Y202" s="15"/>
      <c r="Z202" s="15"/>
    </row>
    <row r="203" spans="1:26" ht="12.75" customHeight="1" x14ac:dyDescent="0.2">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1" t="s">
        <v>199</v>
      </c>
      <c r="S203" s="8" t="s">
        <v>199</v>
      </c>
      <c r="T203" s="15" t="str">
        <f t="shared" si="65"/>
        <v>FULL</v>
      </c>
      <c r="U203" s="15" t="s">
        <v>828</v>
      </c>
      <c r="V203" s="9" t="s">
        <v>829</v>
      </c>
      <c r="W203" s="15" t="s">
        <v>830</v>
      </c>
      <c r="X203" s="15" t="s">
        <v>831</v>
      </c>
      <c r="Y203" s="15"/>
      <c r="Z203" s="15"/>
    </row>
    <row r="204" spans="1:26" ht="12.75" customHeight="1" x14ac:dyDescent="0.2">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1" t="s">
        <v>198</v>
      </c>
      <c r="S204" s="8" t="s">
        <v>199</v>
      </c>
      <c r="T204" s="15" t="str">
        <f t="shared" si="65"/>
        <v>FULL</v>
      </c>
      <c r="U204" s="15" t="s">
        <v>832</v>
      </c>
      <c r="V204" s="9" t="s">
        <v>833</v>
      </c>
      <c r="W204" s="15" t="s">
        <v>834</v>
      </c>
      <c r="X204" s="15" t="s">
        <v>835</v>
      </c>
      <c r="Y204" s="15"/>
      <c r="Z204" s="15"/>
    </row>
    <row r="205" spans="1:26" ht="12.75" customHeight="1" x14ac:dyDescent="0.2">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1" t="s">
        <v>198</v>
      </c>
      <c r="S205" s="8" t="s">
        <v>199</v>
      </c>
      <c r="T205" s="15" t="str">
        <f t="shared" si="65"/>
        <v>FULL</v>
      </c>
      <c r="U205" s="15" t="s">
        <v>837</v>
      </c>
      <c r="V205" s="15" t="s">
        <v>838</v>
      </c>
      <c r="W205" s="15" t="s">
        <v>839</v>
      </c>
      <c r="X205" s="15" t="s">
        <v>840</v>
      </c>
      <c r="Y205" s="15"/>
      <c r="Z205" s="15"/>
    </row>
    <row r="206" spans="1:26" ht="12.75" customHeight="1" x14ac:dyDescent="0.2">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1" t="s">
        <v>198</v>
      </c>
      <c r="S206" s="8" t="s">
        <v>199</v>
      </c>
      <c r="T206" s="15" t="str">
        <f t="shared" si="65"/>
        <v>FULL</v>
      </c>
      <c r="U206" s="15" t="s">
        <v>321</v>
      </c>
      <c r="V206" s="9" t="s">
        <v>322</v>
      </c>
      <c r="W206" s="15" t="s">
        <v>323</v>
      </c>
      <c r="X206" s="15" t="s">
        <v>324</v>
      </c>
      <c r="Y206" s="15"/>
      <c r="Z206" s="15"/>
    </row>
    <row r="207" spans="1:26" ht="12.75" customHeight="1" x14ac:dyDescent="0.2">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2">
        <v>0</v>
      </c>
      <c r="S207" s="8" t="s">
        <v>199</v>
      </c>
      <c r="T207" s="15" t="str">
        <f t="shared" si="65"/>
        <v>P</v>
      </c>
      <c r="U207" s="15" t="s">
        <v>383</v>
      </c>
      <c r="V207" s="9" t="s">
        <v>384</v>
      </c>
      <c r="W207" s="15" t="s">
        <v>385</v>
      </c>
      <c r="X207" s="15" t="s">
        <v>386</v>
      </c>
      <c r="Y207" s="15"/>
      <c r="Z207" s="15"/>
    </row>
    <row r="208" spans="1:26" ht="12.75" customHeight="1" x14ac:dyDescent="0.2">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1">
        <v>0</v>
      </c>
      <c r="S208" s="8" t="s">
        <v>199</v>
      </c>
      <c r="T208" s="15" t="str">
        <f t="shared" si="65"/>
        <v>P</v>
      </c>
      <c r="U208" s="15" t="s">
        <v>486</v>
      </c>
      <c r="V208" s="9" t="s">
        <v>487</v>
      </c>
      <c r="W208" s="15" t="s">
        <v>488</v>
      </c>
      <c r="X208" s="15" t="s">
        <v>489</v>
      </c>
      <c r="Y208" s="15"/>
      <c r="Z208" s="15"/>
    </row>
    <row r="209" spans="1:26" ht="12.75" customHeight="1" x14ac:dyDescent="0.2">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x14ac:dyDescent="0.2">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1">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x14ac:dyDescent="0.2">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1" t="s">
        <v>198</v>
      </c>
      <c r="S211" s="8">
        <v>0</v>
      </c>
      <c r="T211" s="15" t="str">
        <f t="shared" si="67"/>
        <v>M</v>
      </c>
      <c r="U211" s="15" t="s">
        <v>844</v>
      </c>
      <c r="V211" s="9" t="s">
        <v>845</v>
      </c>
      <c r="W211" s="15" t="s">
        <v>846</v>
      </c>
      <c r="X211" s="15" t="s">
        <v>847</v>
      </c>
      <c r="Y211" s="15"/>
      <c r="Z211" s="15"/>
    </row>
    <row r="212" spans="1:26" ht="12.75" customHeight="1" x14ac:dyDescent="0.2">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1">
        <v>0</v>
      </c>
      <c r="S212" s="8">
        <v>0</v>
      </c>
      <c r="T212" s="15" t="str">
        <f t="shared" si="67"/>
        <v>PM</v>
      </c>
      <c r="U212" s="15" t="s">
        <v>357</v>
      </c>
      <c r="V212" s="15" t="s">
        <v>358</v>
      </c>
      <c r="W212" s="15" t="s">
        <v>359</v>
      </c>
      <c r="X212" s="15" t="s">
        <v>360</v>
      </c>
      <c r="Y212" s="15"/>
      <c r="Z212" s="15"/>
    </row>
    <row r="213" spans="1:26" ht="12.75" customHeight="1" x14ac:dyDescent="0.2">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x14ac:dyDescent="0.2">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1">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x14ac:dyDescent="0.2">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1" t="s">
        <v>198</v>
      </c>
      <c r="S215" s="8">
        <v>0</v>
      </c>
      <c r="T215" s="15" t="str">
        <f t="shared" si="69"/>
        <v>M</v>
      </c>
      <c r="U215" s="15" t="s">
        <v>514</v>
      </c>
      <c r="V215" s="9" t="s">
        <v>515</v>
      </c>
      <c r="W215" s="15" t="s">
        <v>516</v>
      </c>
      <c r="X215" s="15" t="s">
        <v>517</v>
      </c>
      <c r="Y215" s="15"/>
      <c r="Z215" s="15"/>
    </row>
    <row r="216" spans="1:26" ht="12.75" customHeight="1" x14ac:dyDescent="0.2">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1" t="s">
        <v>199</v>
      </c>
      <c r="S216" s="8">
        <v>0</v>
      </c>
      <c r="T216" s="15" t="str">
        <f t="shared" si="69"/>
        <v>M</v>
      </c>
      <c r="U216" s="15" t="s">
        <v>439</v>
      </c>
      <c r="V216" s="15" t="s">
        <v>440</v>
      </c>
      <c r="W216" s="15" t="s">
        <v>441</v>
      </c>
      <c r="X216" s="15" t="s">
        <v>442</v>
      </c>
      <c r="Y216" s="15"/>
      <c r="Z216" s="15"/>
    </row>
    <row r="217" spans="1:26" ht="12.75" customHeight="1" x14ac:dyDescent="0.2">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1" t="s">
        <v>198</v>
      </c>
      <c r="S217" s="8">
        <v>0</v>
      </c>
      <c r="T217" s="15" t="str">
        <f t="shared" si="69"/>
        <v>M</v>
      </c>
      <c r="U217" s="15" t="s">
        <v>850</v>
      </c>
      <c r="V217" s="15" t="s">
        <v>851</v>
      </c>
      <c r="W217" s="15" t="s">
        <v>852</v>
      </c>
      <c r="X217" s="15" t="s">
        <v>853</v>
      </c>
      <c r="Y217" s="15"/>
      <c r="Z217" s="15"/>
    </row>
    <row r="218" spans="1:26" ht="12.75" customHeight="1" x14ac:dyDescent="0.2">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1">
        <v>0</v>
      </c>
      <c r="S218" s="8">
        <v>0</v>
      </c>
      <c r="T218" s="15" t="str">
        <f t="shared" si="69"/>
        <v>PM</v>
      </c>
      <c r="U218" s="15" t="s">
        <v>855</v>
      </c>
      <c r="V218" s="15" t="s">
        <v>856</v>
      </c>
      <c r="W218" s="15" t="s">
        <v>1346</v>
      </c>
      <c r="X218" s="15" t="s">
        <v>857</v>
      </c>
      <c r="Y218" s="15"/>
      <c r="Z218" s="15"/>
    </row>
    <row r="219" spans="1:26" ht="12.75" customHeight="1" x14ac:dyDescent="0.2">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1">
        <v>0</v>
      </c>
      <c r="S219" s="8">
        <v>0</v>
      </c>
      <c r="T219" s="15" t="str">
        <f t="shared" si="69"/>
        <v>PM</v>
      </c>
      <c r="U219" s="15" t="s">
        <v>357</v>
      </c>
      <c r="V219" s="15" t="s">
        <v>358</v>
      </c>
      <c r="W219" s="15" t="s">
        <v>359</v>
      </c>
      <c r="X219" s="15" t="s">
        <v>360</v>
      </c>
      <c r="Y219" s="15"/>
      <c r="Z219" s="15"/>
    </row>
    <row r="220" spans="1:26" ht="12.75" customHeight="1" x14ac:dyDescent="0.2">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x14ac:dyDescent="0.2">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x14ac:dyDescent="0.2">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x14ac:dyDescent="0.2">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x14ac:dyDescent="0.2">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x14ac:dyDescent="0.2">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x14ac:dyDescent="0.2">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x14ac:dyDescent="0.2">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x14ac:dyDescent="0.2">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x14ac:dyDescent="0.2">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x14ac:dyDescent="0.2">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x14ac:dyDescent="0.2">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x14ac:dyDescent="0.2">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x14ac:dyDescent="0.2">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x14ac:dyDescent="0.2">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x14ac:dyDescent="0.2">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x14ac:dyDescent="0.2">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x14ac:dyDescent="0.2">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x14ac:dyDescent="0.2">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x14ac:dyDescent="0.2">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x14ac:dyDescent="0.2">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x14ac:dyDescent="0.2">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x14ac:dyDescent="0.2">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x14ac:dyDescent="0.2">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x14ac:dyDescent="0.2">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x14ac:dyDescent="0.2">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x14ac:dyDescent="0.2">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x14ac:dyDescent="0.2">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x14ac:dyDescent="0.2">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x14ac:dyDescent="0.2">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x14ac:dyDescent="0.2">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x14ac:dyDescent="0.2">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x14ac:dyDescent="0.2">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x14ac:dyDescent="0.2">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x14ac:dyDescent="0.2">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x14ac:dyDescent="0.2">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x14ac:dyDescent="0.2">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x14ac:dyDescent="0.2">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x14ac:dyDescent="0.2">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x14ac:dyDescent="0.2">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x14ac:dyDescent="0.2">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x14ac:dyDescent="0.2">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x14ac:dyDescent="0.2">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x14ac:dyDescent="0.2">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x14ac:dyDescent="0.2">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x14ac:dyDescent="0.2">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x14ac:dyDescent="0.2">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x14ac:dyDescent="0.2">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x14ac:dyDescent="0.2">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x14ac:dyDescent="0.2">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x14ac:dyDescent="0.2">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x14ac:dyDescent="0.2">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x14ac:dyDescent="0.2">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x14ac:dyDescent="0.2">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x14ac:dyDescent="0.2">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x14ac:dyDescent="0.2">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x14ac:dyDescent="0.2">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x14ac:dyDescent="0.2">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x14ac:dyDescent="0.2">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x14ac:dyDescent="0.2">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x14ac:dyDescent="0.2">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x14ac:dyDescent="0.2">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x14ac:dyDescent="0.2">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x14ac:dyDescent="0.2">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x14ac:dyDescent="0.2">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x14ac:dyDescent="0.2">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x14ac:dyDescent="0.2">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x14ac:dyDescent="0.2">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x14ac:dyDescent="0.2">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x14ac:dyDescent="0.2">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x14ac:dyDescent="0.2">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x14ac:dyDescent="0.2">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x14ac:dyDescent="0.2">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x14ac:dyDescent="0.2">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x14ac:dyDescent="0.2">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x14ac:dyDescent="0.2">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x14ac:dyDescent="0.2">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x14ac:dyDescent="0.2">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x14ac:dyDescent="0.2">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x14ac:dyDescent="0.2">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x14ac:dyDescent="0.2">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x14ac:dyDescent="0.2">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x14ac:dyDescent="0.2">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x14ac:dyDescent="0.2">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x14ac:dyDescent="0.2">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x14ac:dyDescent="0.2">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x14ac:dyDescent="0.2">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x14ac:dyDescent="0.2">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x14ac:dyDescent="0.2">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x14ac:dyDescent="0.2">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x14ac:dyDescent="0.2">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x14ac:dyDescent="0.2">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x14ac:dyDescent="0.2">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x14ac:dyDescent="0.2">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x14ac:dyDescent="0.2">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x14ac:dyDescent="0.2">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x14ac:dyDescent="0.2">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x14ac:dyDescent="0.2">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x14ac:dyDescent="0.2">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x14ac:dyDescent="0.2">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x14ac:dyDescent="0.2">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x14ac:dyDescent="0.2">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x14ac:dyDescent="0.2">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x14ac:dyDescent="0.2">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x14ac:dyDescent="0.2">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x14ac:dyDescent="0.2">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x14ac:dyDescent="0.2">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x14ac:dyDescent="0.2">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x14ac:dyDescent="0.2">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x14ac:dyDescent="0.2">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x14ac:dyDescent="0.2">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x14ac:dyDescent="0.2">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x14ac:dyDescent="0.2">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x14ac:dyDescent="0.2">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x14ac:dyDescent="0.2">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x14ac:dyDescent="0.2">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x14ac:dyDescent="0.2">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x14ac:dyDescent="0.2">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x14ac:dyDescent="0.2">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x14ac:dyDescent="0.2">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x14ac:dyDescent="0.2">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x14ac:dyDescent="0.2">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x14ac:dyDescent="0.2">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x14ac:dyDescent="0.2">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x14ac:dyDescent="0.2">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x14ac:dyDescent="0.2">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x14ac:dyDescent="0.2">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x14ac:dyDescent="0.2">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x14ac:dyDescent="0.2">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x14ac:dyDescent="0.2">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x14ac:dyDescent="0.2">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x14ac:dyDescent="0.2">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x14ac:dyDescent="0.2">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x14ac:dyDescent="0.2">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x14ac:dyDescent="0.2">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x14ac:dyDescent="0.2">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x14ac:dyDescent="0.2">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x14ac:dyDescent="0.2">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x14ac:dyDescent="0.2">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x14ac:dyDescent="0.2">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x14ac:dyDescent="0.2">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x14ac:dyDescent="0.2">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x14ac:dyDescent="0.2">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x14ac:dyDescent="0.2">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x14ac:dyDescent="0.2">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x14ac:dyDescent="0.2">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x14ac:dyDescent="0.2">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x14ac:dyDescent="0.2">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x14ac:dyDescent="0.2">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x14ac:dyDescent="0.2">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x14ac:dyDescent="0.2">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x14ac:dyDescent="0.2">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x14ac:dyDescent="0.2">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x14ac:dyDescent="0.2">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x14ac:dyDescent="0.2">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x14ac:dyDescent="0.2">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x14ac:dyDescent="0.2">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x14ac:dyDescent="0.2">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x14ac:dyDescent="0.2">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x14ac:dyDescent="0.2">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x14ac:dyDescent="0.2">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x14ac:dyDescent="0.2">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x14ac:dyDescent="0.2">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x14ac:dyDescent="0.2">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x14ac:dyDescent="0.2">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x14ac:dyDescent="0.2">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x14ac:dyDescent="0.2">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x14ac:dyDescent="0.2">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x14ac:dyDescent="0.2">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x14ac:dyDescent="0.2">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x14ac:dyDescent="0.2">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x14ac:dyDescent="0.2">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x14ac:dyDescent="0.2">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x14ac:dyDescent="0.2">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x14ac:dyDescent="0.2">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x14ac:dyDescent="0.2">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x14ac:dyDescent="0.2">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x14ac:dyDescent="0.2">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x14ac:dyDescent="0.2">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x14ac:dyDescent="0.2">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x14ac:dyDescent="0.2">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x14ac:dyDescent="0.2">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x14ac:dyDescent="0.2">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x14ac:dyDescent="0.2">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x14ac:dyDescent="0.2">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x14ac:dyDescent="0.2">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x14ac:dyDescent="0.2">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x14ac:dyDescent="0.2">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x14ac:dyDescent="0.2">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x14ac:dyDescent="0.2">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x14ac:dyDescent="0.2">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x14ac:dyDescent="0.2">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x14ac:dyDescent="0.2">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x14ac:dyDescent="0.2">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x14ac:dyDescent="0.2">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x14ac:dyDescent="0.2">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x14ac:dyDescent="0.2">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x14ac:dyDescent="0.2">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x14ac:dyDescent="0.2">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x14ac:dyDescent="0.2">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x14ac:dyDescent="0.2">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x14ac:dyDescent="0.2">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x14ac:dyDescent="0.2">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x14ac:dyDescent="0.2">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x14ac:dyDescent="0.2">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x14ac:dyDescent="0.2">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x14ac:dyDescent="0.2">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x14ac:dyDescent="0.2">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x14ac:dyDescent="0.2">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x14ac:dyDescent="0.2">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x14ac:dyDescent="0.2">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x14ac:dyDescent="0.2">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x14ac:dyDescent="0.2">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x14ac:dyDescent="0.2">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x14ac:dyDescent="0.2">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x14ac:dyDescent="0.2">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x14ac:dyDescent="0.2">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x14ac:dyDescent="0.2">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x14ac:dyDescent="0.2">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x14ac:dyDescent="0.2">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x14ac:dyDescent="0.2">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x14ac:dyDescent="0.2">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x14ac:dyDescent="0.2">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x14ac:dyDescent="0.2">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x14ac:dyDescent="0.2">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x14ac:dyDescent="0.2">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x14ac:dyDescent="0.2">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x14ac:dyDescent="0.2">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x14ac:dyDescent="0.2">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x14ac:dyDescent="0.2">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x14ac:dyDescent="0.2">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x14ac:dyDescent="0.2">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x14ac:dyDescent="0.2">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x14ac:dyDescent="0.2">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x14ac:dyDescent="0.2">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x14ac:dyDescent="0.2">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x14ac:dyDescent="0.2">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x14ac:dyDescent="0.2">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x14ac:dyDescent="0.2">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x14ac:dyDescent="0.2">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x14ac:dyDescent="0.2">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x14ac:dyDescent="0.2">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x14ac:dyDescent="0.2">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x14ac:dyDescent="0.2">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x14ac:dyDescent="0.2">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x14ac:dyDescent="0.2">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x14ac:dyDescent="0.2">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x14ac:dyDescent="0.2">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x14ac:dyDescent="0.2">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x14ac:dyDescent="0.2">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x14ac:dyDescent="0.2">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x14ac:dyDescent="0.2">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x14ac:dyDescent="0.2">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x14ac:dyDescent="0.2">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x14ac:dyDescent="0.2">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x14ac:dyDescent="0.2">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x14ac:dyDescent="0.2">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x14ac:dyDescent="0.2">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x14ac:dyDescent="0.2">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x14ac:dyDescent="0.2">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x14ac:dyDescent="0.2">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x14ac:dyDescent="0.2">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x14ac:dyDescent="0.2">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x14ac:dyDescent="0.2">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x14ac:dyDescent="0.2">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x14ac:dyDescent="0.2">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x14ac:dyDescent="0.2">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x14ac:dyDescent="0.2">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x14ac:dyDescent="0.2">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x14ac:dyDescent="0.2">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x14ac:dyDescent="0.2">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x14ac:dyDescent="0.2">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x14ac:dyDescent="0.2">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x14ac:dyDescent="0.2">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x14ac:dyDescent="0.2">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x14ac:dyDescent="0.2">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x14ac:dyDescent="0.2">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x14ac:dyDescent="0.2">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x14ac:dyDescent="0.2">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x14ac:dyDescent="0.2">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x14ac:dyDescent="0.2">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x14ac:dyDescent="0.2">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x14ac:dyDescent="0.2">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x14ac:dyDescent="0.2">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x14ac:dyDescent="0.2">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x14ac:dyDescent="0.2">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x14ac:dyDescent="0.2">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x14ac:dyDescent="0.2">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x14ac:dyDescent="0.2">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x14ac:dyDescent="0.2">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x14ac:dyDescent="0.2">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x14ac:dyDescent="0.2">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x14ac:dyDescent="0.2">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x14ac:dyDescent="0.2">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x14ac:dyDescent="0.2">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x14ac:dyDescent="0.2">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x14ac:dyDescent="0.2">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x14ac:dyDescent="0.2">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x14ac:dyDescent="0.2">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x14ac:dyDescent="0.2">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x14ac:dyDescent="0.2">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x14ac:dyDescent="0.2">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x14ac:dyDescent="0.2">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x14ac:dyDescent="0.2">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x14ac:dyDescent="0.2">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x14ac:dyDescent="0.2">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x14ac:dyDescent="0.2">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x14ac:dyDescent="0.2">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x14ac:dyDescent="0.2">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x14ac:dyDescent="0.2">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x14ac:dyDescent="0.2">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x14ac:dyDescent="0.2">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x14ac:dyDescent="0.2">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x14ac:dyDescent="0.2">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x14ac:dyDescent="0.2">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x14ac:dyDescent="0.2">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x14ac:dyDescent="0.2">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x14ac:dyDescent="0.2">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x14ac:dyDescent="0.2">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x14ac:dyDescent="0.2">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x14ac:dyDescent="0.2">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x14ac:dyDescent="0.2">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x14ac:dyDescent="0.2">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x14ac:dyDescent="0.2">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x14ac:dyDescent="0.2">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x14ac:dyDescent="0.2">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x14ac:dyDescent="0.2">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x14ac:dyDescent="0.2">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x14ac:dyDescent="0.2">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x14ac:dyDescent="0.2">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x14ac:dyDescent="0.2">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x14ac:dyDescent="0.2">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x14ac:dyDescent="0.2">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x14ac:dyDescent="0.2">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x14ac:dyDescent="0.2">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x14ac:dyDescent="0.2">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x14ac:dyDescent="0.2">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x14ac:dyDescent="0.2">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x14ac:dyDescent="0.2">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x14ac:dyDescent="0.2">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x14ac:dyDescent="0.2">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x14ac:dyDescent="0.2">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x14ac:dyDescent="0.2">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x14ac:dyDescent="0.2">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x14ac:dyDescent="0.2">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x14ac:dyDescent="0.2">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x14ac:dyDescent="0.2">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x14ac:dyDescent="0.2">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x14ac:dyDescent="0.2">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x14ac:dyDescent="0.2">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x14ac:dyDescent="0.2">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x14ac:dyDescent="0.2">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x14ac:dyDescent="0.2">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x14ac:dyDescent="0.2">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x14ac:dyDescent="0.2">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x14ac:dyDescent="0.2">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x14ac:dyDescent="0.2">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x14ac:dyDescent="0.2">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x14ac:dyDescent="0.2">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x14ac:dyDescent="0.2">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x14ac:dyDescent="0.2">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x14ac:dyDescent="0.2">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x14ac:dyDescent="0.2">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x14ac:dyDescent="0.2">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x14ac:dyDescent="0.2">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x14ac:dyDescent="0.2">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x14ac:dyDescent="0.2">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x14ac:dyDescent="0.2">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x14ac:dyDescent="0.2">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x14ac:dyDescent="0.2">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x14ac:dyDescent="0.2">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x14ac:dyDescent="0.2">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x14ac:dyDescent="0.2">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x14ac:dyDescent="0.2">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x14ac:dyDescent="0.2">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x14ac:dyDescent="0.2">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x14ac:dyDescent="0.2">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x14ac:dyDescent="0.2">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x14ac:dyDescent="0.2">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x14ac:dyDescent="0.2">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x14ac:dyDescent="0.2">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x14ac:dyDescent="0.2">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x14ac:dyDescent="0.2">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x14ac:dyDescent="0.2">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x14ac:dyDescent="0.2">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x14ac:dyDescent="0.2">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x14ac:dyDescent="0.2">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x14ac:dyDescent="0.2">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x14ac:dyDescent="0.2">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x14ac:dyDescent="0.2">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x14ac:dyDescent="0.2">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x14ac:dyDescent="0.2">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x14ac:dyDescent="0.2">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x14ac:dyDescent="0.2">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x14ac:dyDescent="0.2">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x14ac:dyDescent="0.2">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x14ac:dyDescent="0.2">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x14ac:dyDescent="0.2">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x14ac:dyDescent="0.2">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x14ac:dyDescent="0.2">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x14ac:dyDescent="0.2">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x14ac:dyDescent="0.2">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x14ac:dyDescent="0.2">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x14ac:dyDescent="0.2">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x14ac:dyDescent="0.2">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x14ac:dyDescent="0.2">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x14ac:dyDescent="0.2">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x14ac:dyDescent="0.2">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x14ac:dyDescent="0.2">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x14ac:dyDescent="0.2">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x14ac:dyDescent="0.2">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x14ac:dyDescent="0.2">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x14ac:dyDescent="0.2">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x14ac:dyDescent="0.2">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x14ac:dyDescent="0.2">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x14ac:dyDescent="0.2">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x14ac:dyDescent="0.2">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x14ac:dyDescent="0.2">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x14ac:dyDescent="0.2">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x14ac:dyDescent="0.2">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x14ac:dyDescent="0.2">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x14ac:dyDescent="0.2">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x14ac:dyDescent="0.2">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x14ac:dyDescent="0.2">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x14ac:dyDescent="0.2">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x14ac:dyDescent="0.2">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x14ac:dyDescent="0.2">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x14ac:dyDescent="0.2">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x14ac:dyDescent="0.2">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x14ac:dyDescent="0.2">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x14ac:dyDescent="0.2">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x14ac:dyDescent="0.2">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x14ac:dyDescent="0.2">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x14ac:dyDescent="0.2">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x14ac:dyDescent="0.2">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x14ac:dyDescent="0.2">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x14ac:dyDescent="0.2">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x14ac:dyDescent="0.2">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x14ac:dyDescent="0.2">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x14ac:dyDescent="0.2">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x14ac:dyDescent="0.2">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x14ac:dyDescent="0.2">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x14ac:dyDescent="0.2">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x14ac:dyDescent="0.2">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x14ac:dyDescent="0.2">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x14ac:dyDescent="0.2">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x14ac:dyDescent="0.2">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x14ac:dyDescent="0.2">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x14ac:dyDescent="0.2">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x14ac:dyDescent="0.2">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x14ac:dyDescent="0.2">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x14ac:dyDescent="0.2">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x14ac:dyDescent="0.2">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x14ac:dyDescent="0.2">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x14ac:dyDescent="0.2">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x14ac:dyDescent="0.2">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x14ac:dyDescent="0.2">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x14ac:dyDescent="0.2">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x14ac:dyDescent="0.2">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x14ac:dyDescent="0.2">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x14ac:dyDescent="0.2">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x14ac:dyDescent="0.2">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x14ac:dyDescent="0.2">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x14ac:dyDescent="0.2">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x14ac:dyDescent="0.2">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x14ac:dyDescent="0.2">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x14ac:dyDescent="0.2">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x14ac:dyDescent="0.2">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x14ac:dyDescent="0.2">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x14ac:dyDescent="0.2">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x14ac:dyDescent="0.2">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x14ac:dyDescent="0.2">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x14ac:dyDescent="0.2">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x14ac:dyDescent="0.2">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x14ac:dyDescent="0.2">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x14ac:dyDescent="0.2">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x14ac:dyDescent="0.2">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x14ac:dyDescent="0.2">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x14ac:dyDescent="0.2">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x14ac:dyDescent="0.2">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x14ac:dyDescent="0.2">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x14ac:dyDescent="0.2">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x14ac:dyDescent="0.2">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x14ac:dyDescent="0.2">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x14ac:dyDescent="0.2">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x14ac:dyDescent="0.2">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x14ac:dyDescent="0.2">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x14ac:dyDescent="0.2">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x14ac:dyDescent="0.2">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x14ac:dyDescent="0.2">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x14ac:dyDescent="0.2">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x14ac:dyDescent="0.2">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x14ac:dyDescent="0.2">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x14ac:dyDescent="0.2">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x14ac:dyDescent="0.2">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x14ac:dyDescent="0.2">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x14ac:dyDescent="0.2">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x14ac:dyDescent="0.2">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x14ac:dyDescent="0.2">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x14ac:dyDescent="0.2">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x14ac:dyDescent="0.2">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x14ac:dyDescent="0.2">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x14ac:dyDescent="0.2">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x14ac:dyDescent="0.2">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x14ac:dyDescent="0.2">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x14ac:dyDescent="0.2">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x14ac:dyDescent="0.2">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x14ac:dyDescent="0.2">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x14ac:dyDescent="0.2">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x14ac:dyDescent="0.2">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x14ac:dyDescent="0.2">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x14ac:dyDescent="0.2">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x14ac:dyDescent="0.2">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x14ac:dyDescent="0.2">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x14ac:dyDescent="0.2">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x14ac:dyDescent="0.2">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x14ac:dyDescent="0.2">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x14ac:dyDescent="0.2">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x14ac:dyDescent="0.2">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x14ac:dyDescent="0.2">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x14ac:dyDescent="0.2">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x14ac:dyDescent="0.2">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x14ac:dyDescent="0.2">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x14ac:dyDescent="0.2">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x14ac:dyDescent="0.2">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x14ac:dyDescent="0.2">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x14ac:dyDescent="0.2">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x14ac:dyDescent="0.2">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x14ac:dyDescent="0.2">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x14ac:dyDescent="0.2">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x14ac:dyDescent="0.2">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x14ac:dyDescent="0.2">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x14ac:dyDescent="0.2">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x14ac:dyDescent="0.2">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x14ac:dyDescent="0.2">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x14ac:dyDescent="0.2">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x14ac:dyDescent="0.2">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x14ac:dyDescent="0.2">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x14ac:dyDescent="0.2">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x14ac:dyDescent="0.2">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x14ac:dyDescent="0.2">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x14ac:dyDescent="0.2">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x14ac:dyDescent="0.2">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x14ac:dyDescent="0.2">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x14ac:dyDescent="0.2">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x14ac:dyDescent="0.2">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x14ac:dyDescent="0.2">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x14ac:dyDescent="0.2">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x14ac:dyDescent="0.2">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x14ac:dyDescent="0.2">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x14ac:dyDescent="0.2">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x14ac:dyDescent="0.2">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x14ac:dyDescent="0.2">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x14ac:dyDescent="0.2">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x14ac:dyDescent="0.2">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x14ac:dyDescent="0.2">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x14ac:dyDescent="0.2">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x14ac:dyDescent="0.2">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x14ac:dyDescent="0.2">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x14ac:dyDescent="0.2">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x14ac:dyDescent="0.2">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x14ac:dyDescent="0.2">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x14ac:dyDescent="0.2">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x14ac:dyDescent="0.2">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x14ac:dyDescent="0.2">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x14ac:dyDescent="0.2">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x14ac:dyDescent="0.2">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x14ac:dyDescent="0.2">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x14ac:dyDescent="0.2">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x14ac:dyDescent="0.2">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x14ac:dyDescent="0.2">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x14ac:dyDescent="0.2">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x14ac:dyDescent="0.2">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x14ac:dyDescent="0.2">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x14ac:dyDescent="0.2">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x14ac:dyDescent="0.2">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x14ac:dyDescent="0.2">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x14ac:dyDescent="0.2">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x14ac:dyDescent="0.2">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x14ac:dyDescent="0.2">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x14ac:dyDescent="0.2">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x14ac:dyDescent="0.2">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x14ac:dyDescent="0.2">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x14ac:dyDescent="0.2">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x14ac:dyDescent="0.2">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x14ac:dyDescent="0.2">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x14ac:dyDescent="0.2">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x14ac:dyDescent="0.2">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x14ac:dyDescent="0.2">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x14ac:dyDescent="0.2">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x14ac:dyDescent="0.2">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x14ac:dyDescent="0.2">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x14ac:dyDescent="0.2">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x14ac:dyDescent="0.2">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x14ac:dyDescent="0.2">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x14ac:dyDescent="0.2">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x14ac:dyDescent="0.2">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x14ac:dyDescent="0.2">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x14ac:dyDescent="0.2">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x14ac:dyDescent="0.2">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x14ac:dyDescent="0.2">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x14ac:dyDescent="0.2">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x14ac:dyDescent="0.2">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x14ac:dyDescent="0.2">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x14ac:dyDescent="0.2">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x14ac:dyDescent="0.2">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x14ac:dyDescent="0.2">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x14ac:dyDescent="0.2">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x14ac:dyDescent="0.2">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x14ac:dyDescent="0.2">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x14ac:dyDescent="0.2">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x14ac:dyDescent="0.2">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x14ac:dyDescent="0.2">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x14ac:dyDescent="0.2">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x14ac:dyDescent="0.2">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x14ac:dyDescent="0.2">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x14ac:dyDescent="0.2">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x14ac:dyDescent="0.2">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x14ac:dyDescent="0.2">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x14ac:dyDescent="0.2">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x14ac:dyDescent="0.2">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x14ac:dyDescent="0.2">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x14ac:dyDescent="0.2">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x14ac:dyDescent="0.2">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x14ac:dyDescent="0.2">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x14ac:dyDescent="0.2">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x14ac:dyDescent="0.2">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x14ac:dyDescent="0.2">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x14ac:dyDescent="0.2">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x14ac:dyDescent="0.2">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x14ac:dyDescent="0.2">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x14ac:dyDescent="0.2">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x14ac:dyDescent="0.2">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x14ac:dyDescent="0.2">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x14ac:dyDescent="0.2">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x14ac:dyDescent="0.2">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x14ac:dyDescent="0.2">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x14ac:dyDescent="0.2">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x14ac:dyDescent="0.2">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x14ac:dyDescent="0.2">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x14ac:dyDescent="0.2">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x14ac:dyDescent="0.2">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x14ac:dyDescent="0.2">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x14ac:dyDescent="0.2">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x14ac:dyDescent="0.2">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x14ac:dyDescent="0.2">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x14ac:dyDescent="0.2">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x14ac:dyDescent="0.2">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x14ac:dyDescent="0.2">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x14ac:dyDescent="0.2">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x14ac:dyDescent="0.2">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x14ac:dyDescent="0.2">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x14ac:dyDescent="0.2">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x14ac:dyDescent="0.2">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x14ac:dyDescent="0.2">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x14ac:dyDescent="0.2">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x14ac:dyDescent="0.2">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x14ac:dyDescent="0.2">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x14ac:dyDescent="0.2">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x14ac:dyDescent="0.2">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x14ac:dyDescent="0.2">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x14ac:dyDescent="0.2">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x14ac:dyDescent="0.2">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x14ac:dyDescent="0.2">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x14ac:dyDescent="0.2">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x14ac:dyDescent="0.2">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x14ac:dyDescent="0.2">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x14ac:dyDescent="0.2">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x14ac:dyDescent="0.2">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x14ac:dyDescent="0.2">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x14ac:dyDescent="0.2">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x14ac:dyDescent="0.2">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x14ac:dyDescent="0.2">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x14ac:dyDescent="0.2">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x14ac:dyDescent="0.2">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x14ac:dyDescent="0.2">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x14ac:dyDescent="0.2">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x14ac:dyDescent="0.2">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x14ac:dyDescent="0.2">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x14ac:dyDescent="0.2">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x14ac:dyDescent="0.2">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x14ac:dyDescent="0.2">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x14ac:dyDescent="0.2">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x14ac:dyDescent="0.2">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x14ac:dyDescent="0.2">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x14ac:dyDescent="0.2">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x14ac:dyDescent="0.2">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x14ac:dyDescent="0.2">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x14ac:dyDescent="0.2">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x14ac:dyDescent="0.2">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x14ac:dyDescent="0.2">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x14ac:dyDescent="0.2">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x14ac:dyDescent="0.2">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x14ac:dyDescent="0.2">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x14ac:dyDescent="0.2">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x14ac:dyDescent="0.2">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x14ac:dyDescent="0.2">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x14ac:dyDescent="0.2">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x14ac:dyDescent="0.2">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x14ac:dyDescent="0.2">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x14ac:dyDescent="0.2">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x14ac:dyDescent="0.2">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x14ac:dyDescent="0.2">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x14ac:dyDescent="0.2">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x14ac:dyDescent="0.2">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x14ac:dyDescent="0.2">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x14ac:dyDescent="0.2">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x14ac:dyDescent="0.2">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x14ac:dyDescent="0.2">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x14ac:dyDescent="0.2">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x14ac:dyDescent="0.2">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x14ac:dyDescent="0.2">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x14ac:dyDescent="0.2">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x14ac:dyDescent="0.2">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x14ac:dyDescent="0.2">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x14ac:dyDescent="0.2">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x14ac:dyDescent="0.2">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x14ac:dyDescent="0.2">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x14ac:dyDescent="0.2">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x14ac:dyDescent="0.2">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x14ac:dyDescent="0.2">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x14ac:dyDescent="0.2">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x14ac:dyDescent="0.2">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x14ac:dyDescent="0.2">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x14ac:dyDescent="0.2">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x14ac:dyDescent="0.2">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x14ac:dyDescent="0.2">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x14ac:dyDescent="0.2">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x14ac:dyDescent="0.2">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x14ac:dyDescent="0.2">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x14ac:dyDescent="0.2">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x14ac:dyDescent="0.2">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x14ac:dyDescent="0.2">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x14ac:dyDescent="0.2">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x14ac:dyDescent="0.2">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x14ac:dyDescent="0.2">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x14ac:dyDescent="0.2">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x14ac:dyDescent="0.2">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x14ac:dyDescent="0.2">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x14ac:dyDescent="0.2">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x14ac:dyDescent="0.2">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x14ac:dyDescent="0.2">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x14ac:dyDescent="0.2">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x14ac:dyDescent="0.2">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x14ac:dyDescent="0.2">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x14ac:dyDescent="0.2">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x14ac:dyDescent="0.2">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x14ac:dyDescent="0.2">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x14ac:dyDescent="0.2">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x14ac:dyDescent="0.2">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x14ac:dyDescent="0.2">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x14ac:dyDescent="0.2">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x14ac:dyDescent="0.2">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x14ac:dyDescent="0.2">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x14ac:dyDescent="0.2">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x14ac:dyDescent="0.2">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x14ac:dyDescent="0.2">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x14ac:dyDescent="0.2">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x14ac:dyDescent="0.2">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x14ac:dyDescent="0.2">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x14ac:dyDescent="0.2">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x14ac:dyDescent="0.2">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x14ac:dyDescent="0.2">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x14ac:dyDescent="0.2">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x14ac:dyDescent="0.2">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x14ac:dyDescent="0.2">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x14ac:dyDescent="0.2">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x14ac:dyDescent="0.2">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x14ac:dyDescent="0.2">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x14ac:dyDescent="0.2">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x14ac:dyDescent="0.2">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x14ac:dyDescent="0.2">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x14ac:dyDescent="0.2">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x14ac:dyDescent="0.2">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x14ac:dyDescent="0.2">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x14ac:dyDescent="0.2">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x14ac:dyDescent="0.2">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x14ac:dyDescent="0.2">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x14ac:dyDescent="0.2">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x14ac:dyDescent="0.2">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x14ac:dyDescent="0.2">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x14ac:dyDescent="0.2">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x14ac:dyDescent="0.2">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x14ac:dyDescent="0.2">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x14ac:dyDescent="0.2">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x14ac:dyDescent="0.2">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x14ac:dyDescent="0.2">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x14ac:dyDescent="0.2">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x14ac:dyDescent="0.2">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x14ac:dyDescent="0.2"/>
  <cols>
    <col min="1" max="1" width="9.140625" customWidth="1"/>
    <col min="2" max="34" width="15.7109375" customWidth="1"/>
  </cols>
  <sheetData>
    <row r="1" spans="1:34" ht="12.75" customHeight="1" x14ac:dyDescent="0.2">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x14ac:dyDescent="0.2">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x14ac:dyDescent="0.2">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x14ac:dyDescent="0.2">
      <c r="A4" s="9" t="s">
        <v>871</v>
      </c>
      <c r="B4" s="307"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x14ac:dyDescent="0.2">
      <c r="A5" s="13" t="s">
        <v>883</v>
      </c>
      <c r="B5" s="307"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x14ac:dyDescent="0.2">
      <c r="A6" s="13" t="s">
        <v>895</v>
      </c>
      <c r="B6" s="307"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x14ac:dyDescent="0.2">
      <c r="A7" s="13" t="s">
        <v>904</v>
      </c>
      <c r="B7" s="307"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x14ac:dyDescent="0.2">
      <c r="A8" s="13" t="s">
        <v>916</v>
      </c>
      <c r="B8" s="307"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x14ac:dyDescent="0.2">
      <c r="A9" s="13" t="s">
        <v>923</v>
      </c>
      <c r="B9" s="307"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x14ac:dyDescent="0.2">
      <c r="A10" s="13" t="s">
        <v>934</v>
      </c>
      <c r="B10" s="307"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x14ac:dyDescent="0.2">
      <c r="A11" s="9" t="s">
        <v>945</v>
      </c>
      <c r="B11" s="307"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x14ac:dyDescent="0.2">
      <c r="A12" s="9" t="s">
        <v>956</v>
      </c>
      <c r="B12" s="307"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x14ac:dyDescent="0.2">
      <c r="A13" s="13" t="s">
        <v>966</v>
      </c>
      <c r="B13" s="307"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x14ac:dyDescent="0.2">
      <c r="A14" s="13" t="s">
        <v>976</v>
      </c>
      <c r="B14" s="307"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x14ac:dyDescent="0.2">
      <c r="A15" s="13" t="s">
        <v>986</v>
      </c>
      <c r="B15" s="307"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x14ac:dyDescent="0.2">
      <c r="A16" s="13" t="s">
        <v>996</v>
      </c>
      <c r="B16" s="307"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x14ac:dyDescent="0.2">
      <c r="A17" s="13" t="s">
        <v>1006</v>
      </c>
      <c r="B17" s="307"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x14ac:dyDescent="0.2">
      <c r="A18" s="13" t="s">
        <v>1016</v>
      </c>
      <c r="B18" s="307"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x14ac:dyDescent="0.2">
      <c r="A19" s="13" t="s">
        <v>1026</v>
      </c>
      <c r="B19" s="307"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x14ac:dyDescent="0.2">
      <c r="A20" s="13" t="s">
        <v>1035</v>
      </c>
      <c r="B20" s="307"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x14ac:dyDescent="0.2">
      <c r="A21" s="13" t="s">
        <v>1045</v>
      </c>
      <c r="B21" s="307"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x14ac:dyDescent="0.2">
      <c r="A22" s="13" t="s">
        <v>1055</v>
      </c>
      <c r="B22" s="307"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x14ac:dyDescent="0.2">
      <c r="A23" s="13" t="s">
        <v>1065</v>
      </c>
      <c r="B23" s="307"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x14ac:dyDescent="0.2">
      <c r="A24" s="13" t="s">
        <v>1075</v>
      </c>
      <c r="B24" s="307"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x14ac:dyDescent="0.2">
      <c r="A25" s="9" t="s">
        <v>1085</v>
      </c>
      <c r="B25" s="307"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x14ac:dyDescent="0.2">
      <c r="A26" s="13" t="s">
        <v>1096</v>
      </c>
      <c r="B26" s="307"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x14ac:dyDescent="0.2">
      <c r="A27" s="13" t="s">
        <v>1106</v>
      </c>
      <c r="B27" s="307"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x14ac:dyDescent="0.2">
      <c r="A28" s="13" t="s">
        <v>1112</v>
      </c>
      <c r="B28" s="307"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x14ac:dyDescent="0.2">
      <c r="A29" s="21" t="s">
        <v>1122</v>
      </c>
      <c r="B29" s="307"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x14ac:dyDescent="0.2">
      <c r="A30" s="13" t="s">
        <v>1132</v>
      </c>
      <c r="B30" s="307"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x14ac:dyDescent="0.2">
      <c r="A31" s="13" t="s">
        <v>1142</v>
      </c>
      <c r="B31" s="307"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x14ac:dyDescent="0.2">
      <c r="A32" s="13" t="s">
        <v>1152</v>
      </c>
      <c r="B32" s="307"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x14ac:dyDescent="0.2">
      <c r="A33" s="13" t="s">
        <v>1162</v>
      </c>
      <c r="B33" s="307"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x14ac:dyDescent="0.2">
      <c r="A34" s="13" t="s">
        <v>1172</v>
      </c>
      <c r="B34" s="307"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x14ac:dyDescent="0.2">
      <c r="A35" s="13" t="s">
        <v>1182</v>
      </c>
      <c r="B35" s="307"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x14ac:dyDescent="0.2">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9"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x14ac:dyDescent="0.2">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8" t="s">
        <v>1342</v>
      </c>
      <c r="T37" s="308" t="s">
        <v>1344</v>
      </c>
      <c r="U37" s="308" t="s">
        <v>1348</v>
      </c>
      <c r="V37" s="308" t="s">
        <v>1345</v>
      </c>
      <c r="W37" s="10"/>
      <c r="X37" s="10"/>
      <c r="Y37" s="13"/>
      <c r="Z37" s="13"/>
      <c r="AA37" s="13"/>
      <c r="AB37" s="13"/>
      <c r="AC37" s="13"/>
      <c r="AD37" s="13"/>
      <c r="AE37" s="13"/>
      <c r="AF37" s="13"/>
      <c r="AG37" s="13"/>
      <c r="AH37" s="13"/>
    </row>
    <row r="38" spans="1:44" s="311" customFormat="1" ht="12.75" customHeight="1" x14ac:dyDescent="0.2">
      <c r="A38" s="315" t="s">
        <v>1358</v>
      </c>
      <c r="B38" s="315" t="s">
        <v>1359</v>
      </c>
      <c r="C38" s="315">
        <v>4</v>
      </c>
      <c r="D38" s="315">
        <v>7</v>
      </c>
      <c r="E38" s="315" t="s">
        <v>885</v>
      </c>
      <c r="F38" s="315" t="s">
        <v>253</v>
      </c>
      <c r="G38" s="315"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3">
        <v>80000</v>
      </c>
      <c r="K38" s="315">
        <v>1</v>
      </c>
      <c r="L38" s="317"/>
      <c r="M38" s="318" t="s">
        <v>1360</v>
      </c>
      <c r="N38" s="311" t="s">
        <v>1361</v>
      </c>
      <c r="O38" s="319" t="s">
        <v>1362</v>
      </c>
      <c r="P38" s="319" t="s">
        <v>1363</v>
      </c>
      <c r="Q38" s="319" t="s">
        <v>1364</v>
      </c>
      <c r="R38" s="319"/>
      <c r="S38" s="319" t="s">
        <v>1365</v>
      </c>
      <c r="T38" s="319" t="s">
        <v>1366</v>
      </c>
      <c r="U38" s="319" t="s">
        <v>1367</v>
      </c>
      <c r="V38" s="319" t="s">
        <v>1368</v>
      </c>
      <c r="W38" s="319"/>
      <c r="AA38" s="224"/>
      <c r="AB38" s="224"/>
      <c r="AC38" s="224"/>
      <c r="AD38" s="224"/>
      <c r="AE38" s="224"/>
      <c r="AF38" s="224"/>
      <c r="AG38" s="224"/>
      <c r="AH38" s="224"/>
    </row>
    <row r="39" spans="1:44" s="311" customFormat="1" ht="12.75" customHeight="1" x14ac:dyDescent="0.2">
      <c r="A39" s="315" t="s">
        <v>1369</v>
      </c>
      <c r="B39" s="315" t="s">
        <v>1370</v>
      </c>
      <c r="C39" s="315">
        <v>6</v>
      </c>
      <c r="D39" s="315">
        <v>2</v>
      </c>
      <c r="E39" s="315" t="s">
        <v>885</v>
      </c>
      <c r="F39" s="315" t="s">
        <v>885</v>
      </c>
      <c r="G39" s="315"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3">
        <v>50000</v>
      </c>
      <c r="K39" s="315">
        <v>1</v>
      </c>
      <c r="L39" s="317"/>
      <c r="M39" s="318" t="s">
        <v>1371</v>
      </c>
      <c r="N39" s="318" t="s">
        <v>1372</v>
      </c>
      <c r="O39" s="319" t="s">
        <v>1373</v>
      </c>
      <c r="P39" s="319" t="s">
        <v>1374</v>
      </c>
      <c r="Q39" s="319" t="s">
        <v>1375</v>
      </c>
      <c r="R39" s="319"/>
      <c r="S39" s="319" t="s">
        <v>1376</v>
      </c>
      <c r="T39" s="319" t="s">
        <v>1377</v>
      </c>
      <c r="U39" s="319" t="s">
        <v>1378</v>
      </c>
      <c r="V39" s="319" t="s">
        <v>1379</v>
      </c>
      <c r="W39" s="319"/>
      <c r="AA39" s="224"/>
      <c r="AB39" s="224"/>
      <c r="AC39" s="224"/>
      <c r="AD39" s="224"/>
      <c r="AE39" s="224"/>
      <c r="AF39" s="224"/>
      <c r="AG39" s="224"/>
      <c r="AH39" s="224"/>
    </row>
    <row r="40" spans="1:44" s="329" customFormat="1" ht="12.75" customHeight="1" x14ac:dyDescent="0.2">
      <c r="A40" s="315" t="s">
        <v>1403</v>
      </c>
      <c r="B40" s="315" t="s">
        <v>1406</v>
      </c>
      <c r="C40" s="315">
        <v>6</v>
      </c>
      <c r="D40" s="315">
        <v>4</v>
      </c>
      <c r="E40" s="315" t="s">
        <v>885</v>
      </c>
      <c r="F40" s="315" t="s">
        <v>906</v>
      </c>
      <c r="G40" s="315"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3">
        <v>245000</v>
      </c>
      <c r="K40" s="315">
        <v>1</v>
      </c>
      <c r="L40" s="317"/>
      <c r="M40" s="318" t="s">
        <v>1407</v>
      </c>
      <c r="N40" s="318" t="s">
        <v>1408</v>
      </c>
      <c r="O40" s="319" t="s">
        <v>1409</v>
      </c>
      <c r="P40" s="319" t="s">
        <v>1410</v>
      </c>
      <c r="Q40" s="319" t="s">
        <v>1411</v>
      </c>
      <c r="R40" s="319"/>
      <c r="S40" s="319" t="s">
        <v>1412</v>
      </c>
      <c r="T40" s="22" t="s">
        <v>1413</v>
      </c>
      <c r="U40" s="22" t="s">
        <v>1415</v>
      </c>
      <c r="V40" s="22" t="s">
        <v>1414</v>
      </c>
      <c r="W40" s="319"/>
      <c r="AA40" s="224"/>
      <c r="AB40" s="224"/>
      <c r="AC40" s="224"/>
      <c r="AD40" s="224"/>
      <c r="AE40" s="224"/>
      <c r="AF40" s="224"/>
      <c r="AG40" s="224"/>
      <c r="AH40" s="224"/>
    </row>
    <row r="41" spans="1:44" s="329" customFormat="1" ht="12.75" customHeight="1" x14ac:dyDescent="0.2">
      <c r="A41" s="315" t="s">
        <v>1404</v>
      </c>
      <c r="B41" s="315" t="s">
        <v>1416</v>
      </c>
      <c r="C41" s="315">
        <v>5</v>
      </c>
      <c r="D41" s="315">
        <v>5</v>
      </c>
      <c r="E41" s="315" t="s">
        <v>906</v>
      </c>
      <c r="F41" s="315" t="s">
        <v>253</v>
      </c>
      <c r="G41" s="315"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3">
        <v>250000</v>
      </c>
      <c r="K41" s="315">
        <v>1</v>
      </c>
      <c r="L41" s="317"/>
      <c r="M41" s="318" t="s">
        <v>1417</v>
      </c>
      <c r="N41" s="318" t="s">
        <v>1421</v>
      </c>
      <c r="O41" s="319" t="s">
        <v>1420</v>
      </c>
      <c r="P41" s="319" t="s">
        <v>1419</v>
      </c>
      <c r="Q41" s="319" t="s">
        <v>1418</v>
      </c>
      <c r="R41" s="319"/>
      <c r="S41" s="319" t="s">
        <v>1432</v>
      </c>
      <c r="T41" s="319" t="s">
        <v>1433</v>
      </c>
      <c r="U41" s="22" t="s">
        <v>1434</v>
      </c>
      <c r="V41" s="22" t="s">
        <v>1435</v>
      </c>
      <c r="W41" s="319"/>
      <c r="AA41" s="224"/>
      <c r="AB41" s="224"/>
      <c r="AC41" s="224"/>
      <c r="AD41" s="224"/>
      <c r="AE41" s="224"/>
      <c r="AF41" s="224"/>
      <c r="AG41" s="224"/>
      <c r="AH41" s="224"/>
    </row>
    <row r="42" spans="1:44" s="329" customFormat="1" ht="12.75" customHeight="1" x14ac:dyDescent="0.2">
      <c r="A42" s="315" t="s">
        <v>1405</v>
      </c>
      <c r="B42" s="315" t="s">
        <v>1422</v>
      </c>
      <c r="C42" s="315">
        <v>6</v>
      </c>
      <c r="D42" s="315">
        <v>3</v>
      </c>
      <c r="E42" s="315" t="s">
        <v>906</v>
      </c>
      <c r="F42" s="315" t="s">
        <v>885</v>
      </c>
      <c r="G42" s="315"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3">
        <v>170000</v>
      </c>
      <c r="K42" s="315">
        <v>1</v>
      </c>
      <c r="L42" s="317"/>
      <c r="M42" s="318" t="s">
        <v>1423</v>
      </c>
      <c r="N42" s="318" t="s">
        <v>1424</v>
      </c>
      <c r="O42" s="319" t="s">
        <v>1425</v>
      </c>
      <c r="P42" s="319" t="s">
        <v>1426</v>
      </c>
      <c r="Q42" s="319" t="s">
        <v>1427</v>
      </c>
      <c r="R42" s="319"/>
      <c r="S42" s="319" t="s">
        <v>1428</v>
      </c>
      <c r="T42" s="330" t="s">
        <v>1429</v>
      </c>
      <c r="U42" s="330" t="s">
        <v>1430</v>
      </c>
      <c r="V42" s="330" t="s">
        <v>1431</v>
      </c>
      <c r="W42" s="319"/>
      <c r="AA42" s="224"/>
      <c r="AB42" s="224"/>
      <c r="AC42" s="224"/>
      <c r="AD42" s="224"/>
      <c r="AE42" s="224"/>
      <c r="AF42" s="224"/>
      <c r="AG42" s="224"/>
      <c r="AH42" s="224"/>
    </row>
    <row r="43" spans="1:44" s="23" customFormat="1" ht="12.75" customHeight="1" x14ac:dyDescent="0.2">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x14ac:dyDescent="0.2">
      <c r="A44" s="13" t="s">
        <v>1327</v>
      </c>
      <c r="B44" s="224" t="str">
        <f>IF(Roster!$K$25="Italiano","Mercenario 1",(IF(Roster!$K$25="Español","Mercenario 1",(IF(Roster!$K$25="Français","Mercenaire 1","Mercenary 1")))))</f>
        <v>Mercenary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x14ac:dyDescent="0.2">
      <c r="A45" s="13" t="s">
        <v>1328</v>
      </c>
      <c r="B45" s="224" t="str">
        <f>IF(Roster!$K$25="Italiano","Mercenario 2",(IF(Roster!$K$25="Español","Mercenario 2",(IF(Roster!$K$25="Français","Mercenaire 2","Mercenary 2")))))</f>
        <v>Mercenary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x14ac:dyDescent="0.2">
      <c r="A46" s="13" t="s">
        <v>1329</v>
      </c>
      <c r="B46" s="224" t="str">
        <f>IF(Roster!$K$25="Italiano","Mercenario 3",(IF(Roster!$K$25="Español","Mercenario 3",(IF(Roster!$K$25="Français","Mercenaire 3","Mercenary 3")))))</f>
        <v>Mercenary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x14ac:dyDescent="0.2">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11" customFormat="1" ht="12.75" customHeight="1" x14ac:dyDescent="0.2">
      <c r="B48" s="224"/>
      <c r="C48" s="315" t="str">
        <f t="shared" ref="C48:E48" si="0">IF(C49=1,C50,"")</f>
        <v/>
      </c>
      <c r="D48" s="315" t="str">
        <f t="shared" si="0"/>
        <v>AAA</v>
      </c>
      <c r="E48" s="315" t="str">
        <f t="shared" si="0"/>
        <v/>
      </c>
      <c r="F48" s="315" t="str">
        <f>IF(F49=1,F50,"")</f>
        <v/>
      </c>
      <c r="G48" s="315" t="str">
        <f t="shared" ref="G48:AR48" si="1">IF(G49=1,G50,"")</f>
        <v/>
      </c>
      <c r="H48" s="315" t="str">
        <f t="shared" si="1"/>
        <v/>
      </c>
      <c r="I48" s="315" t="str">
        <f t="shared" si="1"/>
        <v>AAB</v>
      </c>
      <c r="J48" s="315" t="str">
        <f t="shared" si="1"/>
        <v/>
      </c>
      <c r="K48" s="315" t="str">
        <f t="shared" si="1"/>
        <v/>
      </c>
      <c r="L48" s="315" t="str">
        <f t="shared" si="1"/>
        <v/>
      </c>
      <c r="M48" s="315" t="str">
        <f t="shared" si="1"/>
        <v/>
      </c>
      <c r="N48" s="315" t="str">
        <f t="shared" si="1"/>
        <v/>
      </c>
      <c r="O48" s="315" t="str">
        <f t="shared" si="1"/>
        <v/>
      </c>
      <c r="P48" s="315" t="str">
        <f t="shared" si="1"/>
        <v/>
      </c>
      <c r="Q48" s="315" t="str">
        <f t="shared" si="1"/>
        <v/>
      </c>
      <c r="R48" s="315" t="str">
        <f t="shared" si="1"/>
        <v/>
      </c>
      <c r="S48" s="315" t="str">
        <f t="shared" si="1"/>
        <v/>
      </c>
      <c r="T48" s="315" t="str">
        <f t="shared" si="1"/>
        <v>AAL</v>
      </c>
      <c r="U48" s="315" t="str">
        <f t="shared" si="1"/>
        <v>AAM</v>
      </c>
      <c r="V48" s="315" t="str">
        <f t="shared" si="1"/>
        <v>ABF</v>
      </c>
      <c r="W48" s="315" t="str">
        <f t="shared" si="1"/>
        <v/>
      </c>
      <c r="X48" s="315" t="str">
        <f t="shared" si="1"/>
        <v/>
      </c>
      <c r="Y48" s="315" t="str">
        <f t="shared" si="1"/>
        <v/>
      </c>
      <c r="Z48" s="315" t="str">
        <f t="shared" si="1"/>
        <v>AAV</v>
      </c>
      <c r="AA48" s="315" t="str">
        <f t="shared" si="1"/>
        <v/>
      </c>
      <c r="AB48" s="315" t="str">
        <f t="shared" si="1"/>
        <v/>
      </c>
      <c r="AC48" s="315" t="str">
        <f t="shared" si="1"/>
        <v/>
      </c>
      <c r="AD48" s="315" t="str">
        <f t="shared" si="1"/>
        <v/>
      </c>
      <c r="AE48" s="315" t="str">
        <f t="shared" si="1"/>
        <v>AAD</v>
      </c>
      <c r="AF48" s="315" t="str">
        <f t="shared" si="1"/>
        <v>AAE</v>
      </c>
      <c r="AG48" s="315" t="str">
        <f t="shared" si="1"/>
        <v/>
      </c>
      <c r="AH48" s="315" t="str">
        <f t="shared" si="1"/>
        <v/>
      </c>
      <c r="AI48" s="315" t="str">
        <f t="shared" si="1"/>
        <v/>
      </c>
      <c r="AJ48" s="315" t="str">
        <f t="shared" si="1"/>
        <v/>
      </c>
      <c r="AK48" s="315" t="str">
        <f t="shared" si="1"/>
        <v/>
      </c>
      <c r="AL48" s="315" t="str">
        <f t="shared" si="1"/>
        <v/>
      </c>
      <c r="AM48" s="315" t="str">
        <f t="shared" si="1"/>
        <v/>
      </c>
      <c r="AN48" s="315" t="str">
        <f t="shared" si="1"/>
        <v/>
      </c>
      <c r="AO48" s="315" t="str">
        <f t="shared" si="1"/>
        <v>AAG</v>
      </c>
      <c r="AP48" s="315" t="str">
        <f t="shared" si="1"/>
        <v>CCC</v>
      </c>
      <c r="AQ48" s="315" t="str">
        <f t="shared" si="1"/>
        <v>DDD</v>
      </c>
      <c r="AR48" s="315" t="str">
        <f t="shared" si="1"/>
        <v>EEE</v>
      </c>
    </row>
    <row r="49" spans="2:44" s="311" customFormat="1" ht="12.75" customHeight="1" x14ac:dyDescent="0.2">
      <c r="B49" s="224" t="str">
        <f>Roster!$BV$2</f>
        <v>LustrianSuperleague</v>
      </c>
      <c r="C49" s="315">
        <f>VLOOKUP($B$49,$B$52:$BO$67,2,FALSE)</f>
        <v>0</v>
      </c>
      <c r="D49" s="315">
        <f>VLOOKUP($B$49,$B$52:$BO$67,3,FALSE)</f>
        <v>1</v>
      </c>
      <c r="E49" s="315">
        <f>VLOOKUP($B$49,$B$52:$BO$67,4,FALSE)</f>
        <v>0</v>
      </c>
      <c r="F49" s="315">
        <f>VLOOKUP($B$49,$B$52:$BO$67,5,FALSE)</f>
        <v>0</v>
      </c>
      <c r="G49" s="315">
        <f>VLOOKUP($B$49,$B$52:$BO$67,6,FALSE)</f>
        <v>0</v>
      </c>
      <c r="H49" s="315">
        <f>VLOOKUP($B$49,$B$52:$BO$67,7,FALSE)</f>
        <v>0</v>
      </c>
      <c r="I49" s="315">
        <f>VLOOKUP($B$49,$B$52:$BO$67,8,FALSE)</f>
        <v>1</v>
      </c>
      <c r="J49" s="315">
        <f>VLOOKUP($B$49,$B$52:$BO$67,9,FALSE)</f>
        <v>0</v>
      </c>
      <c r="K49" s="315">
        <f>VLOOKUP($B$49,$B$52:$BO$67,10,FALSE)</f>
        <v>0</v>
      </c>
      <c r="L49" s="315">
        <f>VLOOKUP($B$49,$B$52:$BO$67,11,FALSE)</f>
        <v>0</v>
      </c>
      <c r="M49" s="315">
        <f>VLOOKUP($B$49,$B$52:$BO$67,12,FALSE)</f>
        <v>0</v>
      </c>
      <c r="N49" s="315">
        <f>VLOOKUP($B$49,$B$52:$BO$67,13,FALSE)</f>
        <v>0</v>
      </c>
      <c r="O49" s="315">
        <f>VLOOKUP($B$49,$B$52:$BO$67,14,FALSE)</f>
        <v>0</v>
      </c>
      <c r="P49" s="315">
        <f>VLOOKUP($B$49,$B$52:$BO$67,15,FALSE)</f>
        <v>0</v>
      </c>
      <c r="Q49" s="315">
        <f>VLOOKUP($B$49,$B$52:$BO$67,16,FALSE)</f>
        <v>0</v>
      </c>
      <c r="R49" s="315">
        <f>VLOOKUP($B$49,$B$52:$BO$67,17,FALSE)</f>
        <v>0</v>
      </c>
      <c r="S49" s="315">
        <f>VLOOKUP($B$49,$B$52:$BO$67,18,FALSE)</f>
        <v>0</v>
      </c>
      <c r="T49" s="315">
        <f>VLOOKUP($B$49,$B$52:$BO$67,19,FALSE)</f>
        <v>1</v>
      </c>
      <c r="U49" s="315">
        <f>VLOOKUP($B$49,$B$52:$BO$67,20,FALSE)</f>
        <v>1</v>
      </c>
      <c r="V49" s="315">
        <f>VLOOKUP($B$49,$B$52:$BO$67,21,FALSE)</f>
        <v>1</v>
      </c>
      <c r="W49" s="315">
        <f>VLOOKUP($B$49,$B$52:$BO$67,22,FALSE)</f>
        <v>0</v>
      </c>
      <c r="X49" s="315">
        <f>VLOOKUP($B$49,$B$52:$BO$67,23,FALSE)</f>
        <v>0</v>
      </c>
      <c r="Y49" s="315">
        <f>VLOOKUP($B$49,$B$52:$BO$67,24,FALSE)</f>
        <v>0</v>
      </c>
      <c r="Z49" s="315">
        <f>VLOOKUP($B$49,$B$52:$BO$67,25,FALSE)</f>
        <v>1</v>
      </c>
      <c r="AA49" s="315">
        <f>VLOOKUP($B$49,$B$52:$BO$67,26,FALSE)</f>
        <v>0</v>
      </c>
      <c r="AB49" s="315">
        <f>VLOOKUP($B$49,$B$52:$BO$67,27,FALSE)</f>
        <v>0</v>
      </c>
      <c r="AC49" s="315">
        <f>VLOOKUP($B$49,$B$52:$BO$67,28,FALSE)</f>
        <v>0</v>
      </c>
      <c r="AD49" s="315">
        <f>VLOOKUP($B$49,$B$52:$BO$67,29,FALSE)</f>
        <v>0</v>
      </c>
      <c r="AE49" s="315">
        <f>VLOOKUP($B$49,$B$52:$BO$67,30,FALSE)</f>
        <v>1</v>
      </c>
      <c r="AF49" s="315">
        <f>VLOOKUP($B$49,$B$52:$BO$67,31,FALSE)</f>
        <v>1</v>
      </c>
      <c r="AG49" s="315">
        <f>VLOOKUP($B$49,$B$52:$BO$67,32,FALSE)</f>
        <v>0</v>
      </c>
      <c r="AH49" s="315">
        <f>VLOOKUP($B$49,$B$52:$BO$67,33,FALSE)</f>
        <v>0</v>
      </c>
      <c r="AI49" s="315">
        <f>VLOOKUP($B$49,$B$52:$BO$67,34,FALSE)</f>
        <v>0</v>
      </c>
      <c r="AJ49" s="315">
        <f>VLOOKUP($B$49,$B$52:$BO$67,35,FALSE)</f>
        <v>0</v>
      </c>
      <c r="AK49" s="315">
        <f>VLOOKUP($B$49,$B$52:$BO$67,36,FALSE)</f>
        <v>0</v>
      </c>
      <c r="AL49" s="315">
        <f>VLOOKUP($B$49,$B$52:$BO$67,37,FALSE)</f>
        <v>0</v>
      </c>
      <c r="AM49" s="315">
        <f>VLOOKUP($B$49,$B$52:$BO$67,38,FALSE)</f>
        <v>0</v>
      </c>
      <c r="AN49" s="315">
        <f>VLOOKUP($B$49,$B$52:$BO$67,39,FALSE)</f>
        <v>0</v>
      </c>
      <c r="AO49" s="315">
        <f>VLOOKUP($B$49,$B$52:$BO$67,40,FALSE)</f>
        <v>1</v>
      </c>
      <c r="AP49" s="315">
        <f>VLOOKUP($B$49,$B$52:$BO$67,41,FALSE)</f>
        <v>1</v>
      </c>
      <c r="AQ49" s="315">
        <f>VLOOKUP($B$49,$B$52:$BO$67,42,FALSE)</f>
        <v>1</v>
      </c>
      <c r="AR49" s="315">
        <f>VLOOKUP($B$49,$B$52:$BO$67,42,FALSE)</f>
        <v>1</v>
      </c>
    </row>
    <row r="50" spans="2:44" s="311" customFormat="1" ht="12.75" customHeight="1" x14ac:dyDescent="0.2">
      <c r="B50" s="319"/>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11" customFormat="1" ht="12.75" customHeight="1" x14ac:dyDescent="0.2">
      <c r="B51" s="319"/>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5"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5"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Mercenary 1</v>
      </c>
      <c r="AQ51" s="224" t="str">
        <f>IF(Roster!$K$25="Italiano","Mercenario 2",(IF(Roster!$K$25="Español","Mercenario 2",(IF(Roster!$K$25="Français","Mercenaire 2","Mercenary 2")))))</f>
        <v>Mercenary 2</v>
      </c>
      <c r="AR51" s="224" t="str">
        <f>IF(Roster!$K$25="Italiano","Mercenario 3",(IF(Roster!$K$25="Español","Mercenario 3",(IF(Roster!$K$25="Français","Mercenaire 3","Mercenary 3")))))</f>
        <v>Mercenary 3</v>
      </c>
    </row>
    <row r="52" spans="2:44" s="311" customFormat="1" ht="12.75" customHeight="1" x14ac:dyDescent="0.2">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11" customFormat="1" ht="12.75" customHeight="1" x14ac:dyDescent="0.2">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11" customFormat="1" ht="12.75" customHeight="1" x14ac:dyDescent="0.2">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11" customFormat="1" ht="12.75" customHeight="1" x14ac:dyDescent="0.2">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11" customFormat="1" ht="12.75" customHeight="1" x14ac:dyDescent="0.2">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11" customFormat="1" ht="12.75" customHeight="1" x14ac:dyDescent="0.2">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11" customFormat="1" ht="12.75" customHeight="1" x14ac:dyDescent="0.2">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11" customFormat="1" ht="12.75" customHeight="1" x14ac:dyDescent="0.2">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11" customFormat="1" ht="12.75" customHeight="1" x14ac:dyDescent="0.2">
      <c r="B60" s="13" t="s">
        <v>42</v>
      </c>
      <c r="C60" s="13"/>
      <c r="D60" s="13">
        <v>1</v>
      </c>
      <c r="E60" s="13"/>
      <c r="F60" s="13"/>
      <c r="G60" s="13"/>
      <c r="H60" s="13"/>
      <c r="I60" s="13">
        <v>1</v>
      </c>
      <c r="J60" s="13"/>
      <c r="K60" s="13"/>
      <c r="L60" s="13"/>
      <c r="M60" s="13"/>
      <c r="N60" s="13"/>
      <c r="O60" s="13"/>
      <c r="P60" s="13"/>
      <c r="Q60" s="319"/>
      <c r="R60" s="319"/>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11" customFormat="1" ht="12.75" customHeight="1" x14ac:dyDescent="0.2">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11" customFormat="1" ht="12.75" customHeight="1" x14ac:dyDescent="0.2">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11" customFormat="1" ht="12.75" customHeight="1" x14ac:dyDescent="0.2">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11" customFormat="1" ht="12.75" customHeight="1" x14ac:dyDescent="0.2">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11" customFormat="1" ht="12.75" customHeight="1" x14ac:dyDescent="0.2">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9" customFormat="1" ht="12.75" customHeight="1" x14ac:dyDescent="0.2">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11" customFormat="1" ht="12.75" customHeight="1" x14ac:dyDescent="0.2">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11" customFormat="1" ht="12.75" customHeight="1" x14ac:dyDescent="0.2">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11" customFormat="1" ht="12.75" customHeight="1" x14ac:dyDescent="0.2">
      <c r="B69" s="224" t="str">
        <f>CONCATENATE(C48,D48,E48,F48,G48,H48,I48,J48,K48,L48,M48,N48,O48,P48,Q48,R48,S48,T48,U48,V48,W48,X48,Y48,Z48,AA48,AB48,AC48,AD48,AE48,AF48,AG48,AH48,AI48,AJ48,AK48,AL48,AM48,AN48,AO48)</f>
        <v>AAAAABAALAAMABFAAVAADAAEAAG</v>
      </c>
      <c r="C69" s="224" t="str">
        <f>" "</f>
        <v xml:space="preserve"> </v>
      </c>
      <c r="D69" s="224"/>
      <c r="E69" s="310" t="s">
        <v>48</v>
      </c>
      <c r="F69" s="310" t="s">
        <v>166</v>
      </c>
      <c r="G69" s="310" t="s">
        <v>1192</v>
      </c>
      <c r="H69" s="310" t="s">
        <v>102</v>
      </c>
      <c r="I69" s="310" t="s">
        <v>1193</v>
      </c>
      <c r="J69" s="310" t="s">
        <v>72</v>
      </c>
      <c r="K69" s="310" t="s">
        <v>1194</v>
      </c>
      <c r="L69" s="310" t="s">
        <v>121</v>
      </c>
      <c r="M69" s="310" t="s">
        <v>42</v>
      </c>
      <c r="N69" s="310" t="s">
        <v>138</v>
      </c>
      <c r="O69" s="310" t="s">
        <v>129</v>
      </c>
      <c r="P69" s="310" t="s">
        <v>92</v>
      </c>
      <c r="Q69" s="310" t="s">
        <v>87</v>
      </c>
      <c r="R69" s="310" t="s">
        <v>77</v>
      </c>
      <c r="S69" s="310" t="s">
        <v>1195</v>
      </c>
      <c r="T69" s="224"/>
      <c r="U69" s="224"/>
      <c r="V69" s="224"/>
      <c r="W69" s="224"/>
      <c r="X69" s="224"/>
      <c r="Y69" s="224"/>
      <c r="Z69" s="224" t="str">
        <f>" "</f>
        <v xml:space="preserve"> </v>
      </c>
      <c r="AA69" s="224"/>
      <c r="AB69" s="224"/>
      <c r="AC69" s="224"/>
      <c r="AD69" s="224"/>
      <c r="AE69" s="224"/>
      <c r="AF69" s="224"/>
      <c r="AG69" s="224"/>
      <c r="AH69" s="224"/>
    </row>
    <row r="70" spans="2:44" s="311" customFormat="1" ht="12.75" customHeight="1" x14ac:dyDescent="0.2">
      <c r="B70" s="224" t="str">
        <f>MID($B$69,1,3)</f>
        <v>AAA</v>
      </c>
      <c r="C70" s="224" t="str">
        <f>IFERROR((VLOOKUP(B70,$A$4:$B$51,2,FALSE))," ")</f>
        <v>Akhorne the Squirrel</v>
      </c>
      <c r="D70" s="224"/>
      <c r="E70" s="319" t="str">
        <f t="shared" ref="E70:S70" si="2">""</f>
        <v/>
      </c>
      <c r="F70" s="319" t="str">
        <f t="shared" si="2"/>
        <v/>
      </c>
      <c r="G70" s="319" t="str">
        <f t="shared" si="2"/>
        <v/>
      </c>
      <c r="H70" s="319" t="str">
        <f t="shared" si="2"/>
        <v/>
      </c>
      <c r="I70" s="319" t="str">
        <f t="shared" si="2"/>
        <v/>
      </c>
      <c r="J70" s="319" t="str">
        <f t="shared" si="2"/>
        <v/>
      </c>
      <c r="K70" s="319" t="str">
        <f t="shared" si="2"/>
        <v/>
      </c>
      <c r="L70" s="319" t="str">
        <f t="shared" si="2"/>
        <v/>
      </c>
      <c r="M70" s="319" t="str">
        <f t="shared" si="2"/>
        <v/>
      </c>
      <c r="N70" s="319" t="str">
        <f t="shared" si="2"/>
        <v/>
      </c>
      <c r="O70" s="319" t="str">
        <f t="shared" si="2"/>
        <v/>
      </c>
      <c r="P70" s="319" t="str">
        <f t="shared" si="2"/>
        <v/>
      </c>
      <c r="Q70" s="319" t="str">
        <f t="shared" si="2"/>
        <v/>
      </c>
      <c r="R70" s="319" t="str">
        <f t="shared" si="2"/>
        <v/>
      </c>
      <c r="S70" s="319" t="str">
        <f t="shared" si="2"/>
        <v/>
      </c>
      <c r="T70" s="224"/>
      <c r="U70" s="224"/>
      <c r="V70" s="224"/>
      <c r="W70" s="224"/>
      <c r="X70" s="224"/>
      <c r="Y70" s="224"/>
      <c r="Z70" s="224" t="str">
        <f>IFERROR((VLOOKUP(B70,$A$4:$B$51,2,FALSE))," ")</f>
        <v>Akhorne the Squirrel</v>
      </c>
      <c r="AA70" s="224"/>
      <c r="AB70" s="224"/>
      <c r="AC70" s="224"/>
      <c r="AD70" s="224"/>
      <c r="AE70" s="224"/>
      <c r="AF70" s="224"/>
      <c r="AG70" s="224"/>
      <c r="AH70" s="224"/>
    </row>
    <row r="71" spans="2:44" s="311" customFormat="1" ht="12.75" customHeight="1" x14ac:dyDescent="0.2">
      <c r="B71" s="224" t="str">
        <f>MID($B$69,4,3)</f>
        <v>AAB</v>
      </c>
      <c r="C71" s="224" t="str">
        <f t="shared" ref="C71:C88" si="3">IFERROR((VLOOKUP(B71,$A$4:$B$51,2,FALSE))," ")</f>
        <v>Helmut Wulf</v>
      </c>
      <c r="D71" s="224"/>
      <c r="E71" s="224" t="s">
        <v>872</v>
      </c>
      <c r="F71" s="224" t="s">
        <v>872</v>
      </c>
      <c r="G71" s="224" t="s">
        <v>872</v>
      </c>
      <c r="H71" s="224" t="s">
        <v>872</v>
      </c>
      <c r="I71" s="224" t="s">
        <v>872</v>
      </c>
      <c r="J71" s="224" t="s">
        <v>872</v>
      </c>
      <c r="K71" s="315"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Helmut Wulf</v>
      </c>
      <c r="AA71" s="224"/>
      <c r="AB71" s="224"/>
      <c r="AC71" s="224"/>
      <c r="AD71" s="224"/>
      <c r="AE71" s="224"/>
      <c r="AF71" s="224"/>
      <c r="AG71" s="224"/>
      <c r="AH71" s="224"/>
    </row>
    <row r="72" spans="2:44" s="311" customFormat="1" ht="12.75" customHeight="1" x14ac:dyDescent="0.2">
      <c r="B72" s="224" t="str">
        <f>MID($B$69,7,3)</f>
        <v>AAL</v>
      </c>
      <c r="C72" s="224" t="str">
        <f t="shared" si="3"/>
        <v>Grombrindal, the White Dwarf</v>
      </c>
      <c r="D72" s="224"/>
      <c r="E72" s="224" t="s">
        <v>884</v>
      </c>
      <c r="F72" s="224" t="s">
        <v>884</v>
      </c>
      <c r="G72" s="224" t="s">
        <v>884</v>
      </c>
      <c r="H72" s="224" t="s">
        <v>884</v>
      </c>
      <c r="I72" s="224" t="s">
        <v>884</v>
      </c>
      <c r="J72" s="224" t="s">
        <v>884</v>
      </c>
      <c r="K72" s="315"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Grombrindal, the White Dwarf</v>
      </c>
      <c r="AA72" s="224"/>
      <c r="AB72" s="224"/>
      <c r="AC72" s="224"/>
      <c r="AD72" s="224"/>
      <c r="AE72" s="224"/>
      <c r="AF72" s="224"/>
      <c r="AG72" s="224"/>
      <c r="AH72" s="224"/>
    </row>
    <row r="73" spans="2:44" s="311" customFormat="1" ht="12.75" customHeight="1" x14ac:dyDescent="0.2">
      <c r="B73" s="224" t="str">
        <f>MID($B$69,10,3)</f>
        <v>AAM</v>
      </c>
      <c r="C73" s="224" t="str">
        <f t="shared" si="3"/>
        <v>Karla Von Kill</v>
      </c>
      <c r="D73" s="320"/>
      <c r="E73" s="224" t="s">
        <v>896</v>
      </c>
      <c r="F73" s="224" t="s">
        <v>946</v>
      </c>
      <c r="G73" s="224" t="s">
        <v>967</v>
      </c>
      <c r="H73" s="224" t="s">
        <v>967</v>
      </c>
      <c r="I73" s="224" t="s">
        <v>1036</v>
      </c>
      <c r="J73" s="224" t="s">
        <v>1046</v>
      </c>
      <c r="K73" s="315"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Karla Von Kill</v>
      </c>
      <c r="AA73" s="224"/>
      <c r="AB73" s="224"/>
      <c r="AC73" s="224"/>
      <c r="AD73" s="224"/>
      <c r="AE73" s="224"/>
      <c r="AF73" s="224"/>
      <c r="AG73" s="224"/>
      <c r="AH73" s="224"/>
    </row>
    <row r="74" spans="2:44" s="311" customFormat="1" ht="12.75" customHeight="1" x14ac:dyDescent="0.2">
      <c r="B74" s="224" t="str">
        <f>MID($B$69,13,3)</f>
        <v>ABF</v>
      </c>
      <c r="C74" s="224" t="str">
        <f t="shared" si="3"/>
        <v>Mighty Zug</v>
      </c>
      <c r="D74" s="320"/>
      <c r="E74" s="224" t="s">
        <v>905</v>
      </c>
      <c r="F74" s="224" t="s">
        <v>957</v>
      </c>
      <c r="G74" s="224" t="s">
        <v>977</v>
      </c>
      <c r="H74" s="224" t="s">
        <v>977</v>
      </c>
      <c r="I74" s="224" t="s">
        <v>967</v>
      </c>
      <c r="J74" s="224" t="s">
        <v>1056</v>
      </c>
      <c r="K74" s="315"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Mighty Zug</v>
      </c>
      <c r="AA74" s="224"/>
      <c r="AB74" s="224"/>
      <c r="AC74" s="224"/>
      <c r="AD74" s="224"/>
      <c r="AE74" s="224"/>
      <c r="AF74" s="224"/>
      <c r="AG74" s="224"/>
      <c r="AH74" s="224"/>
    </row>
    <row r="75" spans="2:44" s="311" customFormat="1" ht="12.75" customHeight="1" x14ac:dyDescent="0.2">
      <c r="B75" s="224" t="str">
        <f>MID($B$69,16,3)</f>
        <v>AAV</v>
      </c>
      <c r="C75" s="224" t="str">
        <f t="shared" si="3"/>
        <v>Zolcath the Zoat</v>
      </c>
      <c r="D75" s="224"/>
      <c r="E75" s="224" t="s">
        <v>917</v>
      </c>
      <c r="F75" s="224" t="s">
        <v>896</v>
      </c>
      <c r="G75" s="224" t="s">
        <v>997</v>
      </c>
      <c r="H75" s="224" t="s">
        <v>987</v>
      </c>
      <c r="I75" s="224" t="s">
        <v>977</v>
      </c>
      <c r="J75" s="224" t="s">
        <v>1066</v>
      </c>
      <c r="K75" s="315"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Zolcath the Zoat</v>
      </c>
      <c r="AA75" s="224"/>
      <c r="AB75" s="224"/>
      <c r="AC75" s="224"/>
      <c r="AD75" s="224"/>
      <c r="AE75" s="224"/>
      <c r="AF75" s="224"/>
      <c r="AG75" s="224"/>
      <c r="AH75" s="224"/>
    </row>
    <row r="76" spans="2:44" s="311" customFormat="1" ht="12.75" customHeight="1" x14ac:dyDescent="0.2">
      <c r="B76" s="224" t="str">
        <f>MID($B$69,19,3)</f>
        <v>AAD</v>
      </c>
      <c r="C76" s="224" t="str">
        <f t="shared" si="3"/>
        <v>Grak</v>
      </c>
      <c r="D76" s="224"/>
      <c r="E76" s="224" t="s">
        <v>924</v>
      </c>
      <c r="F76" s="224" t="s">
        <v>905</v>
      </c>
      <c r="G76" s="224" t="s">
        <v>1153</v>
      </c>
      <c r="H76" s="224" t="s">
        <v>997</v>
      </c>
      <c r="I76" s="224" t="s">
        <v>905</v>
      </c>
      <c r="J76" s="224" t="s">
        <v>1076</v>
      </c>
      <c r="K76" s="315"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Grak</v>
      </c>
      <c r="AA76" s="224"/>
      <c r="AB76" s="224"/>
      <c r="AC76" s="224"/>
      <c r="AD76" s="224"/>
      <c r="AE76" s="224"/>
      <c r="AF76" s="224"/>
      <c r="AG76" s="224"/>
      <c r="AH76" s="224"/>
    </row>
    <row r="77" spans="2:44" s="311" customFormat="1" ht="12.75" customHeight="1" x14ac:dyDescent="0.2">
      <c r="B77" s="224" t="str">
        <f>MID($B$69,22,3)</f>
        <v>AAE</v>
      </c>
      <c r="C77" s="224" t="str">
        <f t="shared" si="3"/>
        <v>Crumbleberry</v>
      </c>
      <c r="D77" s="224"/>
      <c r="E77" s="224" t="s">
        <v>935</v>
      </c>
      <c r="F77" s="224" t="s">
        <v>917</v>
      </c>
      <c r="G77" s="224" t="s">
        <v>905</v>
      </c>
      <c r="H77" s="224" t="s">
        <v>1153</v>
      </c>
      <c r="I77" s="224" t="s">
        <v>917</v>
      </c>
      <c r="J77" s="224" t="s">
        <v>905</v>
      </c>
      <c r="K77" s="315"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Crumbleberry</v>
      </c>
      <c r="AA77" s="224"/>
      <c r="AB77" s="224"/>
      <c r="AC77" s="224"/>
      <c r="AD77" s="224"/>
      <c r="AE77" s="224"/>
      <c r="AF77" s="224"/>
      <c r="AG77" s="224"/>
      <c r="AH77" s="224"/>
    </row>
    <row r="78" spans="2:44" s="311" customFormat="1" ht="12.75" customHeight="1" x14ac:dyDescent="0.2">
      <c r="B78" s="224" t="str">
        <f>MID($B$69,25,3)</f>
        <v>AAG</v>
      </c>
      <c r="C78" s="224" t="str">
        <f t="shared" si="3"/>
        <v>Morg 'n' Thorg</v>
      </c>
      <c r="D78" s="224"/>
      <c r="E78" s="224" t="str">
        <f t="shared" ref="E78:S90" si="5">""</f>
        <v/>
      </c>
      <c r="F78" s="224" t="s">
        <v>924</v>
      </c>
      <c r="G78" s="224" t="s">
        <v>917</v>
      </c>
      <c r="H78" s="224" t="s">
        <v>1027</v>
      </c>
      <c r="I78" s="224" t="s">
        <v>935</v>
      </c>
      <c r="J78" s="224" t="s">
        <v>917</v>
      </c>
      <c r="K78" s="315"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Morg 'n' Thorg</v>
      </c>
      <c r="AA78" s="224"/>
      <c r="AB78" s="224"/>
      <c r="AC78" s="224"/>
      <c r="AD78" s="224"/>
      <c r="AE78" s="224"/>
      <c r="AF78" s="224"/>
      <c r="AG78" s="224"/>
      <c r="AH78" s="224"/>
    </row>
    <row r="79" spans="2:44" s="311" customFormat="1" ht="12.75" customHeight="1" x14ac:dyDescent="0.2">
      <c r="B79" s="224" t="str">
        <f>MID($B$69,28,3)</f>
        <v/>
      </c>
      <c r="C79" s="224" t="str">
        <f t="shared" si="3"/>
        <v xml:space="preserve"> </v>
      </c>
      <c r="D79" s="224"/>
      <c r="E79" s="224" t="str">
        <f t="shared" si="5"/>
        <v/>
      </c>
      <c r="F79" s="224" t="s">
        <v>935</v>
      </c>
      <c r="G79" s="224" t="s">
        <v>1007</v>
      </c>
      <c r="H79" s="224" t="s">
        <v>905</v>
      </c>
      <c r="I79" s="224" t="str">
        <f t="shared" ref="I79:M83" si="6">""</f>
        <v/>
      </c>
      <c r="J79" s="224" t="s">
        <v>1086</v>
      </c>
      <c r="K79" s="315"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 xml:space="preserve"> </v>
      </c>
      <c r="AA79" s="224"/>
      <c r="AB79" s="224"/>
      <c r="AC79" s="224"/>
      <c r="AD79" s="224"/>
      <c r="AE79" s="224"/>
      <c r="AF79" s="224"/>
      <c r="AG79" s="224"/>
      <c r="AH79" s="224"/>
    </row>
    <row r="80" spans="2:44" s="311" customFormat="1" ht="12.75" customHeight="1" x14ac:dyDescent="0.2">
      <c r="B80" s="224" t="str">
        <f>MID($B$69,31,3)</f>
        <v/>
      </c>
      <c r="C80" s="224" t="str">
        <f t="shared" si="3"/>
        <v xml:space="preserve"> </v>
      </c>
      <c r="D80" s="224"/>
      <c r="E80" s="224" t="str">
        <f t="shared" si="5"/>
        <v/>
      </c>
      <c r="F80" s="224" t="str">
        <f t="shared" si="5"/>
        <v/>
      </c>
      <c r="G80" s="224" t="s">
        <v>1017</v>
      </c>
      <c r="H80" s="224" t="s">
        <v>917</v>
      </c>
      <c r="I80" s="224" t="str">
        <f t="shared" si="6"/>
        <v/>
      </c>
      <c r="J80" s="224" t="s">
        <v>1097</v>
      </c>
      <c r="K80" s="315"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 xml:space="preserve"> </v>
      </c>
      <c r="AA80" s="224"/>
      <c r="AB80" s="224"/>
      <c r="AC80" s="224"/>
      <c r="AD80" s="224"/>
      <c r="AE80" s="224"/>
      <c r="AF80" s="224"/>
      <c r="AG80" s="224"/>
      <c r="AH80" s="224"/>
    </row>
    <row r="81" spans="2:34" s="311" customFormat="1" ht="12.75" customHeight="1" x14ac:dyDescent="0.2">
      <c r="B81" s="224" t="str">
        <f>MID($B$69,34,3)</f>
        <v/>
      </c>
      <c r="C81" s="224" t="str">
        <f t="shared" si="3"/>
        <v xml:space="preserve"> </v>
      </c>
      <c r="D81" s="224"/>
      <c r="E81" s="224" t="str">
        <f t="shared" si="5"/>
        <v/>
      </c>
      <c r="F81" s="224" t="str">
        <f t="shared" si="5"/>
        <v/>
      </c>
      <c r="G81" s="224" t="s">
        <v>935</v>
      </c>
      <c r="H81" s="224" t="s">
        <v>1007</v>
      </c>
      <c r="I81" s="224" t="str">
        <f t="shared" si="6"/>
        <v/>
      </c>
      <c r="J81" s="224" t="s">
        <v>1107</v>
      </c>
      <c r="K81" s="315"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 xml:space="preserve"> </v>
      </c>
      <c r="AA81" s="224"/>
      <c r="AB81" s="224"/>
      <c r="AC81" s="224"/>
      <c r="AD81" s="224"/>
      <c r="AE81" s="224"/>
      <c r="AF81" s="224"/>
      <c r="AG81" s="224"/>
      <c r="AH81" s="224"/>
    </row>
    <row r="82" spans="2:34" s="311" customFormat="1" ht="12.75" customHeight="1" x14ac:dyDescent="0.2">
      <c r="B82" s="224" t="str">
        <f>MID($B$69,37,3)</f>
        <v/>
      </c>
      <c r="C82" s="224" t="str">
        <f t="shared" si="3"/>
        <v xml:space="preserve"> </v>
      </c>
      <c r="D82" s="224"/>
      <c r="E82" s="224" t="str">
        <f t="shared" si="5"/>
        <v/>
      </c>
      <c r="F82" s="224" t="str">
        <f t="shared" si="5"/>
        <v/>
      </c>
      <c r="G82" s="224" t="str">
        <f t="shared" si="5"/>
        <v/>
      </c>
      <c r="H82" s="224" t="s">
        <v>1017</v>
      </c>
      <c r="I82" s="224" t="str">
        <f t="shared" si="6"/>
        <v/>
      </c>
      <c r="J82" s="224" t="s">
        <v>935</v>
      </c>
      <c r="K82" s="315"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 xml:space="preserve"> </v>
      </c>
      <c r="AA82" s="224"/>
      <c r="AB82" s="224"/>
      <c r="AC82" s="224"/>
      <c r="AD82" s="224"/>
      <c r="AE82" s="224"/>
      <c r="AF82" s="224"/>
      <c r="AG82" s="224"/>
      <c r="AH82" s="224"/>
    </row>
    <row r="83" spans="2:34" s="311" customFormat="1" ht="12.75" customHeight="1" x14ac:dyDescent="0.2">
      <c r="B83" s="224" t="str">
        <f>MID($B$69,40,3)</f>
        <v/>
      </c>
      <c r="C83" s="224" t="str">
        <f t="shared" si="3"/>
        <v xml:space="preserve"> </v>
      </c>
      <c r="D83" s="224"/>
      <c r="E83" s="224" t="str">
        <f t="shared" si="5"/>
        <v/>
      </c>
      <c r="F83" s="224" t="str">
        <f t="shared" si="5"/>
        <v/>
      </c>
      <c r="G83" s="224" t="str">
        <f t="shared" si="5"/>
        <v/>
      </c>
      <c r="H83" s="224" t="s">
        <v>935</v>
      </c>
      <c r="I83" s="224" t="str">
        <f t="shared" si="6"/>
        <v/>
      </c>
      <c r="J83" s="224" t="str">
        <f t="shared" si="6"/>
        <v/>
      </c>
      <c r="K83" s="315"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 xml:space="preserve"> </v>
      </c>
      <c r="AA83" s="224"/>
      <c r="AB83" s="224"/>
      <c r="AC83" s="224"/>
      <c r="AD83" s="224"/>
      <c r="AE83" s="224"/>
      <c r="AF83" s="224"/>
      <c r="AG83" s="224"/>
      <c r="AH83" s="224"/>
    </row>
    <row r="84" spans="2:34" s="311" customFormat="1" ht="12.75" customHeight="1" x14ac:dyDescent="0.2">
      <c r="B84" s="224" t="str">
        <f>MID($B$69,43,3)</f>
        <v/>
      </c>
      <c r="C84" s="224" t="str">
        <f t="shared" si="3"/>
        <v xml:space="preserve"> </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 xml:space="preserve"> </v>
      </c>
      <c r="AA84" s="224"/>
      <c r="AB84" s="224"/>
      <c r="AC84" s="224"/>
      <c r="AD84" s="224"/>
      <c r="AE84" s="224"/>
      <c r="AF84" s="224"/>
      <c r="AG84" s="224"/>
      <c r="AH84" s="224"/>
    </row>
    <row r="85" spans="2:34" s="311" customFormat="1" ht="12.75" customHeight="1" x14ac:dyDescent="0.2">
      <c r="B85" s="224" t="str">
        <f>MID($B$69,46,3)</f>
        <v/>
      </c>
      <c r="C85" s="224" t="str">
        <f t="shared" si="3"/>
        <v xml:space="preserve"> </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 xml:space="preserve"> </v>
      </c>
      <c r="AA85" s="224"/>
      <c r="AB85" s="224"/>
      <c r="AC85" s="224"/>
      <c r="AD85" s="224"/>
      <c r="AE85" s="224"/>
      <c r="AF85" s="224"/>
      <c r="AG85" s="224"/>
      <c r="AH85" s="224"/>
    </row>
    <row r="86" spans="2:34" s="311" customFormat="1" ht="12.75" customHeight="1" x14ac:dyDescent="0.2">
      <c r="B86" s="224" t="str">
        <f>MID($B$69,49,3)</f>
        <v/>
      </c>
      <c r="C86" s="224" t="str">
        <f t="shared" si="3"/>
        <v xml:space="preserve"> </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 xml:space="preserve"> </v>
      </c>
      <c r="AA86" s="224"/>
      <c r="AB86" s="224"/>
      <c r="AC86" s="224"/>
      <c r="AD86" s="224"/>
      <c r="AE86" s="224"/>
      <c r="AF86" s="224"/>
      <c r="AG86" s="224"/>
      <c r="AH86" s="224"/>
    </row>
    <row r="87" spans="2:34" s="311" customFormat="1" ht="12.75" customHeight="1" x14ac:dyDescent="0.2">
      <c r="B87" s="224" t="str">
        <f>MID($B$69,52,3)</f>
        <v/>
      </c>
      <c r="C87" s="224" t="str">
        <f t="shared" si="3"/>
        <v xml:space="preserve"> </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 xml:space="preserve"> </v>
      </c>
      <c r="AA87" s="224"/>
      <c r="AB87" s="224"/>
      <c r="AC87" s="224"/>
      <c r="AD87" s="224"/>
      <c r="AE87" s="224"/>
      <c r="AF87" s="224"/>
      <c r="AG87" s="224"/>
      <c r="AH87" s="224"/>
    </row>
    <row r="88" spans="2:34" s="311" customFormat="1" ht="12.75" customHeight="1" x14ac:dyDescent="0.2">
      <c r="B88" s="224" t="str">
        <f>MID($B$69,55,3)</f>
        <v/>
      </c>
      <c r="C88" s="224" t="str">
        <f t="shared" si="3"/>
        <v xml:space="preserve"> </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 xml:space="preserve"> </v>
      </c>
      <c r="AA88" s="224"/>
      <c r="AB88" s="224"/>
      <c r="AC88" s="224"/>
      <c r="AD88" s="224"/>
      <c r="AE88" s="224"/>
      <c r="AF88" s="224"/>
      <c r="AG88" s="224"/>
      <c r="AH88" s="224"/>
    </row>
    <row r="89" spans="2:34" s="311" customFormat="1" ht="12.75" customHeight="1" x14ac:dyDescent="0.2">
      <c r="B89" s="13" t="str">
        <f>MID($B$69,58,3)</f>
        <v/>
      </c>
      <c r="C89" s="13" t="str">
        <f t="shared" ref="C89" si="12">IFERROR((VLOOKUP(B89,$A$4:$B$50,2,FALSE))," ")</f>
        <v xml:space="preserve"> </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 xml:space="preserve"> </v>
      </c>
      <c r="AA89" s="224"/>
      <c r="AB89" s="224"/>
      <c r="AC89" s="224"/>
      <c r="AD89" s="224"/>
      <c r="AE89" s="224"/>
      <c r="AF89" s="224"/>
      <c r="AG89" s="224"/>
      <c r="AH89" s="224"/>
    </row>
    <row r="90" spans="2:34" s="311" customFormat="1" ht="12.75" customHeight="1" x14ac:dyDescent="0.2">
      <c r="B90" s="13" t="str">
        <f>MID($B$69,61,3)</f>
        <v/>
      </c>
      <c r="C90" s="13" t="str">
        <f>IFERROR((VLOOKUP(B90,$A$4:$B$50,2,FALSE))," ")</f>
        <v xml:space="preserve"> </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11" customFormat="1" ht="12.75" customHeight="1" x14ac:dyDescent="0.2">
      <c r="B91" s="13" t="str">
        <f>MID($B$69,64,3)</f>
        <v/>
      </c>
      <c r="C91" s="13" t="str">
        <f>IFERROR((VLOOKUP(B91,$A$4:$B$50,2,FALSE))," ")</f>
        <v xml:space="preserve"> </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11" customFormat="1" ht="12.75" customHeight="1" x14ac:dyDescent="0.2">
      <c r="B92" s="13" t="str">
        <f>MID($B$69,67,3)</f>
        <v/>
      </c>
      <c r="C92" s="13" t="str">
        <f>IFERROR((VLOOKUP(B92,$A$4:$B$50,2,FALSE))," ")</f>
        <v xml:space="preserve"> </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11" customFormat="1" ht="12.75" customHeight="1" x14ac:dyDescent="0.2">
      <c r="B93" s="13" t="str">
        <f>MID($B$69,70,3)</f>
        <v/>
      </c>
      <c r="C93" s="13" t="str">
        <f>IFERROR((VLOOKUP(B93,$A$4:$B$50,2,FALSE))," ")</f>
        <v xml:space="preserve"> </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11" customFormat="1" ht="12.75" customHeight="1" x14ac:dyDescent="0.2">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11" customFormat="1" ht="12.75" customHeight="1" x14ac:dyDescent="0.2">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11" customFormat="1" ht="12.75" customHeight="1" x14ac:dyDescent="0.2">
      <c r="B96" s="224"/>
      <c r="C96" s="224"/>
      <c r="D96" s="319"/>
      <c r="E96" s="319"/>
      <c r="F96" s="319"/>
      <c r="G96" s="319"/>
      <c r="H96" s="319"/>
      <c r="I96" s="319"/>
      <c r="J96" s="319"/>
      <c r="K96" s="319"/>
      <c r="L96" s="319"/>
    </row>
    <row r="97" spans="1:34" s="311" customFormat="1" ht="12.75" customHeight="1" x14ac:dyDescent="0.2">
      <c r="B97" s="224"/>
      <c r="C97" s="224"/>
      <c r="D97" s="319"/>
      <c r="E97" s="319"/>
      <c r="F97" s="319"/>
      <c r="G97" s="319"/>
      <c r="H97" s="319"/>
      <c r="I97" s="319"/>
      <c r="J97" s="319"/>
      <c r="K97" s="319"/>
      <c r="L97" s="319"/>
    </row>
    <row r="98" spans="1:34" s="311" customFormat="1" ht="12.75" customHeight="1" x14ac:dyDescent="0.2">
      <c r="B98" s="224"/>
      <c r="C98" s="224"/>
      <c r="D98" s="316"/>
      <c r="E98" s="319"/>
      <c r="F98" s="319"/>
      <c r="G98" s="319"/>
      <c r="H98" s="319"/>
      <c r="I98" s="319"/>
      <c r="J98" s="319"/>
      <c r="K98" s="319"/>
      <c r="L98" s="319"/>
    </row>
    <row r="99" spans="1:34" s="311" customFormat="1" ht="12.75" customHeight="1" x14ac:dyDescent="0.2">
      <c r="B99" s="224"/>
      <c r="C99" s="224"/>
      <c r="D99" s="316"/>
      <c r="E99" s="319"/>
      <c r="F99" s="319"/>
      <c r="G99" s="319"/>
      <c r="H99" s="319"/>
      <c r="I99" s="319"/>
      <c r="J99" s="319"/>
      <c r="K99" s="319"/>
      <c r="L99" s="319"/>
    </row>
    <row r="100" spans="1:34" ht="12.75" customHeight="1" x14ac:dyDescent="0.2">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x14ac:dyDescent="0.2">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x14ac:dyDescent="0.2">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x14ac:dyDescent="0.2">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x14ac:dyDescent="0.2">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x14ac:dyDescent="0.2">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x14ac:dyDescent="0.2">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x14ac:dyDescent="0.2">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x14ac:dyDescent="0.2">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x14ac:dyDescent="0.2">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x14ac:dyDescent="0.2">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x14ac:dyDescent="0.2">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x14ac:dyDescent="0.2">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x14ac:dyDescent="0.2">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x14ac:dyDescent="0.2">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x14ac:dyDescent="0.2">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x14ac:dyDescent="0.2">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x14ac:dyDescent="0.2">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x14ac:dyDescent="0.2">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x14ac:dyDescent="0.2">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x14ac:dyDescent="0.2">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x14ac:dyDescent="0.2">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x14ac:dyDescent="0.2">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x14ac:dyDescent="0.2">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x14ac:dyDescent="0.2">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x14ac:dyDescent="0.2">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x14ac:dyDescent="0.2">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x14ac:dyDescent="0.2">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x14ac:dyDescent="0.2">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x14ac:dyDescent="0.2">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x14ac:dyDescent="0.2">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x14ac:dyDescent="0.2">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x14ac:dyDescent="0.2">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x14ac:dyDescent="0.2">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x14ac:dyDescent="0.2">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x14ac:dyDescent="0.2">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x14ac:dyDescent="0.2">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x14ac:dyDescent="0.2">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x14ac:dyDescent="0.2">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x14ac:dyDescent="0.2">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x14ac:dyDescent="0.2">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x14ac:dyDescent="0.2">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x14ac:dyDescent="0.2">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x14ac:dyDescent="0.2">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x14ac:dyDescent="0.2">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x14ac:dyDescent="0.2">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x14ac:dyDescent="0.2">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x14ac:dyDescent="0.2">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x14ac:dyDescent="0.2">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x14ac:dyDescent="0.2">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x14ac:dyDescent="0.2">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x14ac:dyDescent="0.2">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x14ac:dyDescent="0.2">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x14ac:dyDescent="0.2">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x14ac:dyDescent="0.2">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x14ac:dyDescent="0.2">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x14ac:dyDescent="0.2">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x14ac:dyDescent="0.2">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x14ac:dyDescent="0.2">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x14ac:dyDescent="0.2">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x14ac:dyDescent="0.2">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x14ac:dyDescent="0.2">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x14ac:dyDescent="0.2">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x14ac:dyDescent="0.2">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x14ac:dyDescent="0.2">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x14ac:dyDescent="0.2">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x14ac:dyDescent="0.2">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x14ac:dyDescent="0.2">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x14ac:dyDescent="0.2">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x14ac:dyDescent="0.2">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x14ac:dyDescent="0.2">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x14ac:dyDescent="0.2">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x14ac:dyDescent="0.2">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x14ac:dyDescent="0.2">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x14ac:dyDescent="0.2">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x14ac:dyDescent="0.2">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x14ac:dyDescent="0.2">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x14ac:dyDescent="0.2">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x14ac:dyDescent="0.2">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x14ac:dyDescent="0.2">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x14ac:dyDescent="0.2">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x14ac:dyDescent="0.2">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x14ac:dyDescent="0.2">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x14ac:dyDescent="0.2">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x14ac:dyDescent="0.2">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x14ac:dyDescent="0.2">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x14ac:dyDescent="0.2">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x14ac:dyDescent="0.2">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x14ac:dyDescent="0.2">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x14ac:dyDescent="0.2">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x14ac:dyDescent="0.2">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x14ac:dyDescent="0.2">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x14ac:dyDescent="0.2">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x14ac:dyDescent="0.2">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x14ac:dyDescent="0.2">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x14ac:dyDescent="0.2">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x14ac:dyDescent="0.2">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x14ac:dyDescent="0.2">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x14ac:dyDescent="0.2">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x14ac:dyDescent="0.2">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x14ac:dyDescent="0.2">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x14ac:dyDescent="0.2">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x14ac:dyDescent="0.2">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x14ac:dyDescent="0.2">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x14ac:dyDescent="0.2">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x14ac:dyDescent="0.2">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x14ac:dyDescent="0.2">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x14ac:dyDescent="0.2">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x14ac:dyDescent="0.2">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x14ac:dyDescent="0.2">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x14ac:dyDescent="0.2">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x14ac:dyDescent="0.2">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x14ac:dyDescent="0.2">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x14ac:dyDescent="0.2">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x14ac:dyDescent="0.2">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x14ac:dyDescent="0.2">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x14ac:dyDescent="0.2">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x14ac:dyDescent="0.2">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x14ac:dyDescent="0.2">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x14ac:dyDescent="0.2">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x14ac:dyDescent="0.2">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x14ac:dyDescent="0.2">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x14ac:dyDescent="0.2">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x14ac:dyDescent="0.2">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x14ac:dyDescent="0.2">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x14ac:dyDescent="0.2">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x14ac:dyDescent="0.2">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x14ac:dyDescent="0.2">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x14ac:dyDescent="0.2">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x14ac:dyDescent="0.2">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x14ac:dyDescent="0.2">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x14ac:dyDescent="0.2">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x14ac:dyDescent="0.2">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x14ac:dyDescent="0.2">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x14ac:dyDescent="0.2">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x14ac:dyDescent="0.2">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x14ac:dyDescent="0.2">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x14ac:dyDescent="0.2">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x14ac:dyDescent="0.2">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x14ac:dyDescent="0.2">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x14ac:dyDescent="0.2">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x14ac:dyDescent="0.2">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x14ac:dyDescent="0.2">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x14ac:dyDescent="0.2">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x14ac:dyDescent="0.2">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x14ac:dyDescent="0.2">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x14ac:dyDescent="0.2">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x14ac:dyDescent="0.2">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x14ac:dyDescent="0.2">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x14ac:dyDescent="0.2">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x14ac:dyDescent="0.2">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x14ac:dyDescent="0.2">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x14ac:dyDescent="0.2">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x14ac:dyDescent="0.2">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x14ac:dyDescent="0.2">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x14ac:dyDescent="0.2">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x14ac:dyDescent="0.2">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x14ac:dyDescent="0.2">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x14ac:dyDescent="0.2">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x14ac:dyDescent="0.2">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x14ac:dyDescent="0.2">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x14ac:dyDescent="0.2">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x14ac:dyDescent="0.2">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x14ac:dyDescent="0.2">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x14ac:dyDescent="0.2">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x14ac:dyDescent="0.2">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x14ac:dyDescent="0.2">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x14ac:dyDescent="0.2">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x14ac:dyDescent="0.2">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x14ac:dyDescent="0.2">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x14ac:dyDescent="0.2">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x14ac:dyDescent="0.2">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x14ac:dyDescent="0.2">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x14ac:dyDescent="0.2">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x14ac:dyDescent="0.2">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x14ac:dyDescent="0.2">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x14ac:dyDescent="0.2">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x14ac:dyDescent="0.2">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x14ac:dyDescent="0.2">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x14ac:dyDescent="0.2">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x14ac:dyDescent="0.2">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x14ac:dyDescent="0.2">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x14ac:dyDescent="0.2">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x14ac:dyDescent="0.2">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x14ac:dyDescent="0.2">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x14ac:dyDescent="0.2">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x14ac:dyDescent="0.2">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x14ac:dyDescent="0.2">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x14ac:dyDescent="0.2">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x14ac:dyDescent="0.2">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x14ac:dyDescent="0.2">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x14ac:dyDescent="0.2">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x14ac:dyDescent="0.2">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x14ac:dyDescent="0.2">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x14ac:dyDescent="0.2">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x14ac:dyDescent="0.2">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x14ac:dyDescent="0.2">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x14ac:dyDescent="0.2">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x14ac:dyDescent="0.2">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x14ac:dyDescent="0.2">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x14ac:dyDescent="0.2">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x14ac:dyDescent="0.2">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x14ac:dyDescent="0.2">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x14ac:dyDescent="0.2">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x14ac:dyDescent="0.2">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x14ac:dyDescent="0.2">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x14ac:dyDescent="0.2">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x14ac:dyDescent="0.2">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x14ac:dyDescent="0.2">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x14ac:dyDescent="0.2">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x14ac:dyDescent="0.2">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x14ac:dyDescent="0.2">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x14ac:dyDescent="0.2">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x14ac:dyDescent="0.2">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x14ac:dyDescent="0.2">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x14ac:dyDescent="0.2">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x14ac:dyDescent="0.2">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x14ac:dyDescent="0.2">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x14ac:dyDescent="0.2">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x14ac:dyDescent="0.2">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x14ac:dyDescent="0.2">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x14ac:dyDescent="0.2">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x14ac:dyDescent="0.2">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x14ac:dyDescent="0.2">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x14ac:dyDescent="0.2">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x14ac:dyDescent="0.2">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x14ac:dyDescent="0.2">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x14ac:dyDescent="0.2">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x14ac:dyDescent="0.2">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x14ac:dyDescent="0.2">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x14ac:dyDescent="0.2">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x14ac:dyDescent="0.2">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x14ac:dyDescent="0.2">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x14ac:dyDescent="0.2">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x14ac:dyDescent="0.2">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x14ac:dyDescent="0.2">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x14ac:dyDescent="0.2">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x14ac:dyDescent="0.2">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x14ac:dyDescent="0.2">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x14ac:dyDescent="0.2">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x14ac:dyDescent="0.2">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x14ac:dyDescent="0.2">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x14ac:dyDescent="0.2">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x14ac:dyDescent="0.2">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x14ac:dyDescent="0.2">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x14ac:dyDescent="0.2">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x14ac:dyDescent="0.2">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x14ac:dyDescent="0.2">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x14ac:dyDescent="0.2">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x14ac:dyDescent="0.2">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x14ac:dyDescent="0.2">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x14ac:dyDescent="0.2">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x14ac:dyDescent="0.2">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x14ac:dyDescent="0.2">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x14ac:dyDescent="0.2">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x14ac:dyDescent="0.2">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x14ac:dyDescent="0.2">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x14ac:dyDescent="0.2">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x14ac:dyDescent="0.2">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x14ac:dyDescent="0.2">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x14ac:dyDescent="0.2">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x14ac:dyDescent="0.2">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x14ac:dyDescent="0.2">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x14ac:dyDescent="0.2">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x14ac:dyDescent="0.2">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x14ac:dyDescent="0.2">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x14ac:dyDescent="0.2">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x14ac:dyDescent="0.2">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x14ac:dyDescent="0.2">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x14ac:dyDescent="0.2">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x14ac:dyDescent="0.2">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x14ac:dyDescent="0.2">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x14ac:dyDescent="0.2">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x14ac:dyDescent="0.2">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x14ac:dyDescent="0.2">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x14ac:dyDescent="0.2">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x14ac:dyDescent="0.2">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x14ac:dyDescent="0.2">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x14ac:dyDescent="0.2">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x14ac:dyDescent="0.2">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x14ac:dyDescent="0.2">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x14ac:dyDescent="0.2">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x14ac:dyDescent="0.2">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x14ac:dyDescent="0.2">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x14ac:dyDescent="0.2">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x14ac:dyDescent="0.2">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x14ac:dyDescent="0.2">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x14ac:dyDescent="0.2">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x14ac:dyDescent="0.2">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x14ac:dyDescent="0.2">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x14ac:dyDescent="0.2">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x14ac:dyDescent="0.2">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x14ac:dyDescent="0.2">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x14ac:dyDescent="0.2">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x14ac:dyDescent="0.2">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x14ac:dyDescent="0.2">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x14ac:dyDescent="0.2">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x14ac:dyDescent="0.2">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x14ac:dyDescent="0.2">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x14ac:dyDescent="0.2">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x14ac:dyDescent="0.2">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x14ac:dyDescent="0.2">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x14ac:dyDescent="0.2">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x14ac:dyDescent="0.2">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x14ac:dyDescent="0.2">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x14ac:dyDescent="0.2">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x14ac:dyDescent="0.2">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x14ac:dyDescent="0.2">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x14ac:dyDescent="0.2">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x14ac:dyDescent="0.2">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x14ac:dyDescent="0.2">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x14ac:dyDescent="0.2">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x14ac:dyDescent="0.2">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x14ac:dyDescent="0.2">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x14ac:dyDescent="0.2">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x14ac:dyDescent="0.2">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x14ac:dyDescent="0.2">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x14ac:dyDescent="0.2">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x14ac:dyDescent="0.2">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x14ac:dyDescent="0.2">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x14ac:dyDescent="0.2">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x14ac:dyDescent="0.2">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x14ac:dyDescent="0.2">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x14ac:dyDescent="0.2">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x14ac:dyDescent="0.2">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x14ac:dyDescent="0.2">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x14ac:dyDescent="0.2">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x14ac:dyDescent="0.2">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x14ac:dyDescent="0.2">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x14ac:dyDescent="0.2">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x14ac:dyDescent="0.2">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x14ac:dyDescent="0.2">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x14ac:dyDescent="0.2">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x14ac:dyDescent="0.2">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x14ac:dyDescent="0.2">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x14ac:dyDescent="0.2">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x14ac:dyDescent="0.2">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x14ac:dyDescent="0.2">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x14ac:dyDescent="0.2">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x14ac:dyDescent="0.2">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x14ac:dyDescent="0.2">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x14ac:dyDescent="0.2">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x14ac:dyDescent="0.2">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x14ac:dyDescent="0.2">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x14ac:dyDescent="0.2">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x14ac:dyDescent="0.2">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x14ac:dyDescent="0.2">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x14ac:dyDescent="0.2">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x14ac:dyDescent="0.2">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x14ac:dyDescent="0.2">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x14ac:dyDescent="0.2">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x14ac:dyDescent="0.2">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x14ac:dyDescent="0.2">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x14ac:dyDescent="0.2">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x14ac:dyDescent="0.2">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x14ac:dyDescent="0.2">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x14ac:dyDescent="0.2">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x14ac:dyDescent="0.2">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x14ac:dyDescent="0.2">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x14ac:dyDescent="0.2">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x14ac:dyDescent="0.2">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x14ac:dyDescent="0.2">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x14ac:dyDescent="0.2">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x14ac:dyDescent="0.2">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x14ac:dyDescent="0.2">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x14ac:dyDescent="0.2">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x14ac:dyDescent="0.2">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x14ac:dyDescent="0.2">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x14ac:dyDescent="0.2">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x14ac:dyDescent="0.2">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x14ac:dyDescent="0.2">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x14ac:dyDescent="0.2">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x14ac:dyDescent="0.2">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x14ac:dyDescent="0.2">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x14ac:dyDescent="0.2">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x14ac:dyDescent="0.2">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x14ac:dyDescent="0.2">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x14ac:dyDescent="0.2">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x14ac:dyDescent="0.2">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x14ac:dyDescent="0.2">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x14ac:dyDescent="0.2">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x14ac:dyDescent="0.2">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x14ac:dyDescent="0.2">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x14ac:dyDescent="0.2">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x14ac:dyDescent="0.2">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x14ac:dyDescent="0.2">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x14ac:dyDescent="0.2">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x14ac:dyDescent="0.2">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x14ac:dyDescent="0.2">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x14ac:dyDescent="0.2">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x14ac:dyDescent="0.2">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x14ac:dyDescent="0.2">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x14ac:dyDescent="0.2">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x14ac:dyDescent="0.2">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x14ac:dyDescent="0.2">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x14ac:dyDescent="0.2">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x14ac:dyDescent="0.2">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x14ac:dyDescent="0.2">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x14ac:dyDescent="0.2">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x14ac:dyDescent="0.2">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x14ac:dyDescent="0.2">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x14ac:dyDescent="0.2">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x14ac:dyDescent="0.2">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x14ac:dyDescent="0.2">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x14ac:dyDescent="0.2">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x14ac:dyDescent="0.2">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x14ac:dyDescent="0.2">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x14ac:dyDescent="0.2">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x14ac:dyDescent="0.2">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x14ac:dyDescent="0.2">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x14ac:dyDescent="0.2">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x14ac:dyDescent="0.2">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x14ac:dyDescent="0.2">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x14ac:dyDescent="0.2">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x14ac:dyDescent="0.2">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x14ac:dyDescent="0.2">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x14ac:dyDescent="0.2">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x14ac:dyDescent="0.2">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x14ac:dyDescent="0.2">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x14ac:dyDescent="0.2">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x14ac:dyDescent="0.2">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x14ac:dyDescent="0.2">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x14ac:dyDescent="0.2">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x14ac:dyDescent="0.2">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x14ac:dyDescent="0.2">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x14ac:dyDescent="0.2">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x14ac:dyDescent="0.2">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x14ac:dyDescent="0.2">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x14ac:dyDescent="0.2">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x14ac:dyDescent="0.2">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x14ac:dyDescent="0.2">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x14ac:dyDescent="0.2">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x14ac:dyDescent="0.2">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x14ac:dyDescent="0.2">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x14ac:dyDescent="0.2">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x14ac:dyDescent="0.2">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x14ac:dyDescent="0.2">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x14ac:dyDescent="0.2">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x14ac:dyDescent="0.2">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x14ac:dyDescent="0.2">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x14ac:dyDescent="0.2">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x14ac:dyDescent="0.2">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x14ac:dyDescent="0.2">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x14ac:dyDescent="0.2">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x14ac:dyDescent="0.2">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x14ac:dyDescent="0.2">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x14ac:dyDescent="0.2">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x14ac:dyDescent="0.2">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x14ac:dyDescent="0.2">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x14ac:dyDescent="0.2">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x14ac:dyDescent="0.2">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x14ac:dyDescent="0.2">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x14ac:dyDescent="0.2">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x14ac:dyDescent="0.2">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x14ac:dyDescent="0.2">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x14ac:dyDescent="0.2">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x14ac:dyDescent="0.2">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x14ac:dyDescent="0.2">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x14ac:dyDescent="0.2">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x14ac:dyDescent="0.2">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x14ac:dyDescent="0.2">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x14ac:dyDescent="0.2">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x14ac:dyDescent="0.2">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x14ac:dyDescent="0.2">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x14ac:dyDescent="0.2">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x14ac:dyDescent="0.2">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x14ac:dyDescent="0.2">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x14ac:dyDescent="0.2">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x14ac:dyDescent="0.2">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x14ac:dyDescent="0.2">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x14ac:dyDescent="0.2">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x14ac:dyDescent="0.2">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x14ac:dyDescent="0.2">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x14ac:dyDescent="0.2">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x14ac:dyDescent="0.2">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x14ac:dyDescent="0.2">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x14ac:dyDescent="0.2">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x14ac:dyDescent="0.2">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x14ac:dyDescent="0.2">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x14ac:dyDescent="0.2">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x14ac:dyDescent="0.2">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x14ac:dyDescent="0.2">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x14ac:dyDescent="0.2">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x14ac:dyDescent="0.2">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x14ac:dyDescent="0.2">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x14ac:dyDescent="0.2">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x14ac:dyDescent="0.2">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x14ac:dyDescent="0.2">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x14ac:dyDescent="0.2">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x14ac:dyDescent="0.2">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x14ac:dyDescent="0.2">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x14ac:dyDescent="0.2">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x14ac:dyDescent="0.2">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x14ac:dyDescent="0.2">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x14ac:dyDescent="0.2">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x14ac:dyDescent="0.2">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x14ac:dyDescent="0.2">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x14ac:dyDescent="0.2">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x14ac:dyDescent="0.2">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x14ac:dyDescent="0.2">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x14ac:dyDescent="0.2">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x14ac:dyDescent="0.2">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x14ac:dyDescent="0.2">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x14ac:dyDescent="0.2">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x14ac:dyDescent="0.2">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x14ac:dyDescent="0.2">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x14ac:dyDescent="0.2">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x14ac:dyDescent="0.2">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x14ac:dyDescent="0.2">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x14ac:dyDescent="0.2">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x14ac:dyDescent="0.2">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x14ac:dyDescent="0.2">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x14ac:dyDescent="0.2">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x14ac:dyDescent="0.2">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x14ac:dyDescent="0.2">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x14ac:dyDescent="0.2">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x14ac:dyDescent="0.2">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x14ac:dyDescent="0.2">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x14ac:dyDescent="0.2">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x14ac:dyDescent="0.2">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x14ac:dyDescent="0.2">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x14ac:dyDescent="0.2">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x14ac:dyDescent="0.2">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x14ac:dyDescent="0.2">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x14ac:dyDescent="0.2">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x14ac:dyDescent="0.2">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x14ac:dyDescent="0.2">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x14ac:dyDescent="0.2">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x14ac:dyDescent="0.2">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x14ac:dyDescent="0.2">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x14ac:dyDescent="0.2">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x14ac:dyDescent="0.2">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x14ac:dyDescent="0.2">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x14ac:dyDescent="0.2">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x14ac:dyDescent="0.2">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x14ac:dyDescent="0.2">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x14ac:dyDescent="0.2">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x14ac:dyDescent="0.2">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x14ac:dyDescent="0.2">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x14ac:dyDescent="0.2">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x14ac:dyDescent="0.2">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x14ac:dyDescent="0.2">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x14ac:dyDescent="0.2">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x14ac:dyDescent="0.2">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x14ac:dyDescent="0.2">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x14ac:dyDescent="0.2">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x14ac:dyDescent="0.2">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x14ac:dyDescent="0.2">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x14ac:dyDescent="0.2">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x14ac:dyDescent="0.2">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x14ac:dyDescent="0.2">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x14ac:dyDescent="0.2">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x14ac:dyDescent="0.2">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x14ac:dyDescent="0.2">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x14ac:dyDescent="0.2">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x14ac:dyDescent="0.2">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x14ac:dyDescent="0.2">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x14ac:dyDescent="0.2">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x14ac:dyDescent="0.2">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x14ac:dyDescent="0.2">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x14ac:dyDescent="0.2">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x14ac:dyDescent="0.2">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x14ac:dyDescent="0.2">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x14ac:dyDescent="0.2">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x14ac:dyDescent="0.2">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x14ac:dyDescent="0.2">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x14ac:dyDescent="0.2">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x14ac:dyDescent="0.2">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x14ac:dyDescent="0.2">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x14ac:dyDescent="0.2">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x14ac:dyDescent="0.2">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x14ac:dyDescent="0.2">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x14ac:dyDescent="0.2">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x14ac:dyDescent="0.2">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x14ac:dyDescent="0.2">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x14ac:dyDescent="0.2">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x14ac:dyDescent="0.2">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x14ac:dyDescent="0.2">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x14ac:dyDescent="0.2">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x14ac:dyDescent="0.2">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x14ac:dyDescent="0.2">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x14ac:dyDescent="0.2">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x14ac:dyDescent="0.2">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x14ac:dyDescent="0.2">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x14ac:dyDescent="0.2">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x14ac:dyDescent="0.2">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x14ac:dyDescent="0.2">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x14ac:dyDescent="0.2">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x14ac:dyDescent="0.2">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x14ac:dyDescent="0.2">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x14ac:dyDescent="0.2">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x14ac:dyDescent="0.2">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x14ac:dyDescent="0.2">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x14ac:dyDescent="0.2">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x14ac:dyDescent="0.2">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x14ac:dyDescent="0.2">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x14ac:dyDescent="0.2">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x14ac:dyDescent="0.2">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x14ac:dyDescent="0.2">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x14ac:dyDescent="0.2">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x14ac:dyDescent="0.2">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x14ac:dyDescent="0.2">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x14ac:dyDescent="0.2">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x14ac:dyDescent="0.2">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x14ac:dyDescent="0.2">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x14ac:dyDescent="0.2">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x14ac:dyDescent="0.2">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x14ac:dyDescent="0.2">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x14ac:dyDescent="0.2">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x14ac:dyDescent="0.2">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x14ac:dyDescent="0.2">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x14ac:dyDescent="0.2">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x14ac:dyDescent="0.2">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x14ac:dyDescent="0.2">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x14ac:dyDescent="0.2">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x14ac:dyDescent="0.2">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x14ac:dyDescent="0.2">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x14ac:dyDescent="0.2">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x14ac:dyDescent="0.2">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x14ac:dyDescent="0.2">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x14ac:dyDescent="0.2">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x14ac:dyDescent="0.2">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x14ac:dyDescent="0.2">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x14ac:dyDescent="0.2">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x14ac:dyDescent="0.2">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x14ac:dyDescent="0.2">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x14ac:dyDescent="0.2">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x14ac:dyDescent="0.2">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x14ac:dyDescent="0.2">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x14ac:dyDescent="0.2">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x14ac:dyDescent="0.2">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x14ac:dyDescent="0.2">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x14ac:dyDescent="0.2">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x14ac:dyDescent="0.2">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x14ac:dyDescent="0.2">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x14ac:dyDescent="0.2">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x14ac:dyDescent="0.2">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x14ac:dyDescent="0.2">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x14ac:dyDescent="0.2">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x14ac:dyDescent="0.2">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x14ac:dyDescent="0.2">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x14ac:dyDescent="0.2">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x14ac:dyDescent="0.2">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x14ac:dyDescent="0.2">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x14ac:dyDescent="0.2">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x14ac:dyDescent="0.2">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x14ac:dyDescent="0.2">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x14ac:dyDescent="0.2">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x14ac:dyDescent="0.2">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x14ac:dyDescent="0.2">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x14ac:dyDescent="0.2">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x14ac:dyDescent="0.2">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x14ac:dyDescent="0.2">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x14ac:dyDescent="0.2">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x14ac:dyDescent="0.2">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x14ac:dyDescent="0.2">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x14ac:dyDescent="0.2">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x14ac:dyDescent="0.2">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x14ac:dyDescent="0.2">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x14ac:dyDescent="0.2">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x14ac:dyDescent="0.2">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x14ac:dyDescent="0.2">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x14ac:dyDescent="0.2">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x14ac:dyDescent="0.2">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x14ac:dyDescent="0.2">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x14ac:dyDescent="0.2">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x14ac:dyDescent="0.2">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x14ac:dyDescent="0.2">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x14ac:dyDescent="0.2">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x14ac:dyDescent="0.2">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x14ac:dyDescent="0.2">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x14ac:dyDescent="0.2">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x14ac:dyDescent="0.2">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x14ac:dyDescent="0.2">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x14ac:dyDescent="0.2">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x14ac:dyDescent="0.2">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x14ac:dyDescent="0.2">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x14ac:dyDescent="0.2">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x14ac:dyDescent="0.2">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x14ac:dyDescent="0.2">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x14ac:dyDescent="0.2">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x14ac:dyDescent="0.2">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x14ac:dyDescent="0.2">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x14ac:dyDescent="0.2">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x14ac:dyDescent="0.2">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x14ac:dyDescent="0.2">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x14ac:dyDescent="0.2">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x14ac:dyDescent="0.2">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x14ac:dyDescent="0.2">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x14ac:dyDescent="0.2">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x14ac:dyDescent="0.2">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x14ac:dyDescent="0.2">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x14ac:dyDescent="0.2">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x14ac:dyDescent="0.2">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x14ac:dyDescent="0.2">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x14ac:dyDescent="0.2">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x14ac:dyDescent="0.2">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x14ac:dyDescent="0.2">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x14ac:dyDescent="0.2">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x14ac:dyDescent="0.2">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x14ac:dyDescent="0.2">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x14ac:dyDescent="0.2">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x14ac:dyDescent="0.2">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x14ac:dyDescent="0.2">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x14ac:dyDescent="0.2">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x14ac:dyDescent="0.2">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x14ac:dyDescent="0.2">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x14ac:dyDescent="0.2">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x14ac:dyDescent="0.2">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x14ac:dyDescent="0.2">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x14ac:dyDescent="0.2">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x14ac:dyDescent="0.2">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x14ac:dyDescent="0.2">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x14ac:dyDescent="0.2">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x14ac:dyDescent="0.2">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x14ac:dyDescent="0.2">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x14ac:dyDescent="0.2">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x14ac:dyDescent="0.2">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x14ac:dyDescent="0.2">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x14ac:dyDescent="0.2">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x14ac:dyDescent="0.2">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x14ac:dyDescent="0.2">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x14ac:dyDescent="0.2">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x14ac:dyDescent="0.2">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x14ac:dyDescent="0.2">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x14ac:dyDescent="0.2">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x14ac:dyDescent="0.2">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x14ac:dyDescent="0.2">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x14ac:dyDescent="0.2">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x14ac:dyDescent="0.2">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x14ac:dyDescent="0.2">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x14ac:dyDescent="0.2">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x14ac:dyDescent="0.2">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x14ac:dyDescent="0.2">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x14ac:dyDescent="0.2">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x14ac:dyDescent="0.2">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x14ac:dyDescent="0.2">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x14ac:dyDescent="0.2">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x14ac:dyDescent="0.2">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x14ac:dyDescent="0.2">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x14ac:dyDescent="0.2">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x14ac:dyDescent="0.2">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x14ac:dyDescent="0.2">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x14ac:dyDescent="0.2">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x14ac:dyDescent="0.2">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x14ac:dyDescent="0.2">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x14ac:dyDescent="0.2">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x14ac:dyDescent="0.2">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x14ac:dyDescent="0.2">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x14ac:dyDescent="0.2">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x14ac:dyDescent="0.2">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x14ac:dyDescent="0.2">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x14ac:dyDescent="0.2">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x14ac:dyDescent="0.2">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x14ac:dyDescent="0.2">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x14ac:dyDescent="0.2">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x14ac:dyDescent="0.2">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x14ac:dyDescent="0.2">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x14ac:dyDescent="0.2">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x14ac:dyDescent="0.2">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x14ac:dyDescent="0.2">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x14ac:dyDescent="0.2">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x14ac:dyDescent="0.2">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x14ac:dyDescent="0.2">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x14ac:dyDescent="0.2">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x14ac:dyDescent="0.2">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x14ac:dyDescent="0.2">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x14ac:dyDescent="0.2">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x14ac:dyDescent="0.2">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x14ac:dyDescent="0.2">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x14ac:dyDescent="0.2">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x14ac:dyDescent="0.2">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x14ac:dyDescent="0.2">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x14ac:dyDescent="0.2">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x14ac:dyDescent="0.2">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x14ac:dyDescent="0.2">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x14ac:dyDescent="0.2">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x14ac:dyDescent="0.2">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x14ac:dyDescent="0.2">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x14ac:dyDescent="0.2">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x14ac:dyDescent="0.2">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x14ac:dyDescent="0.2">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x14ac:dyDescent="0.2">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x14ac:dyDescent="0.2">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x14ac:dyDescent="0.2">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x14ac:dyDescent="0.2">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x14ac:dyDescent="0.2">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x14ac:dyDescent="0.2">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x14ac:dyDescent="0.2">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x14ac:dyDescent="0.2">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x14ac:dyDescent="0.2">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x14ac:dyDescent="0.2">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x14ac:dyDescent="0.2">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x14ac:dyDescent="0.2">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x14ac:dyDescent="0.2">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x14ac:dyDescent="0.2">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x14ac:dyDescent="0.2">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x14ac:dyDescent="0.2">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x14ac:dyDescent="0.2">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x14ac:dyDescent="0.2">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x14ac:dyDescent="0.2">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x14ac:dyDescent="0.2">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x14ac:dyDescent="0.2">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x14ac:dyDescent="0.2">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x14ac:dyDescent="0.2">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x14ac:dyDescent="0.2">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x14ac:dyDescent="0.2">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x14ac:dyDescent="0.2">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x14ac:dyDescent="0.2">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x14ac:dyDescent="0.2">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x14ac:dyDescent="0.2">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x14ac:dyDescent="0.2">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x14ac:dyDescent="0.2">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x14ac:dyDescent="0.2">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x14ac:dyDescent="0.2">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x14ac:dyDescent="0.2">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x14ac:dyDescent="0.2">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x14ac:dyDescent="0.2">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x14ac:dyDescent="0.2">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x14ac:dyDescent="0.2">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x14ac:dyDescent="0.2">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x14ac:dyDescent="0.2">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x14ac:dyDescent="0.2">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x14ac:dyDescent="0.2">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x14ac:dyDescent="0.2">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x14ac:dyDescent="0.2">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x14ac:dyDescent="0.2">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x14ac:dyDescent="0.2">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x14ac:dyDescent="0.2">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x14ac:dyDescent="0.2">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x14ac:dyDescent="0.2">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x14ac:dyDescent="0.2">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x14ac:dyDescent="0.2">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x14ac:dyDescent="0.2">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x14ac:dyDescent="0.2">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x14ac:dyDescent="0.2">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x14ac:dyDescent="0.2">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x14ac:dyDescent="0.2">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x14ac:dyDescent="0.2">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x14ac:dyDescent="0.2">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x14ac:dyDescent="0.2">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x14ac:dyDescent="0.2">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x14ac:dyDescent="0.2">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x14ac:dyDescent="0.2">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x14ac:dyDescent="0.2">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x14ac:dyDescent="0.2">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x14ac:dyDescent="0.2">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x14ac:dyDescent="0.2">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x14ac:dyDescent="0.2">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x14ac:dyDescent="0.2">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x14ac:dyDescent="0.2">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x14ac:dyDescent="0.2">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x14ac:dyDescent="0.2">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x14ac:dyDescent="0.2">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x14ac:dyDescent="0.2">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x14ac:dyDescent="0.2">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x14ac:dyDescent="0.2">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x14ac:dyDescent="0.2">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x14ac:dyDescent="0.2">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x14ac:dyDescent="0.2">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x14ac:dyDescent="0.2">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x14ac:dyDescent="0.2">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x14ac:dyDescent="0.2">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x14ac:dyDescent="0.2">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x14ac:dyDescent="0.2">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x14ac:dyDescent="0.2">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x14ac:dyDescent="0.2">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x14ac:dyDescent="0.2">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x14ac:dyDescent="0.2">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x14ac:dyDescent="0.2">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x14ac:dyDescent="0.2">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x14ac:dyDescent="0.2">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x14ac:dyDescent="0.2">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x14ac:dyDescent="0.2">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x14ac:dyDescent="0.2">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x14ac:dyDescent="0.2">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x14ac:dyDescent="0.2">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x14ac:dyDescent="0.2">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x14ac:dyDescent="0.2">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x14ac:dyDescent="0.2">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x14ac:dyDescent="0.2">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x14ac:dyDescent="0.2">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x14ac:dyDescent="0.2">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x14ac:dyDescent="0.2">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x14ac:dyDescent="0.2">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x14ac:dyDescent="0.2">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x14ac:dyDescent="0.2">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x14ac:dyDescent="0.2">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x14ac:dyDescent="0.2">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x14ac:dyDescent="0.2">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x14ac:dyDescent="0.2">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x14ac:dyDescent="0.2">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x14ac:dyDescent="0.2">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x14ac:dyDescent="0.2">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x14ac:dyDescent="0.2">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x14ac:dyDescent="0.2">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x14ac:dyDescent="0.2">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x14ac:dyDescent="0.2">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x14ac:dyDescent="0.2">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x14ac:dyDescent="0.2">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x14ac:dyDescent="0.2">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x14ac:dyDescent="0.2">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x14ac:dyDescent="0.2">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x14ac:dyDescent="0.2">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x14ac:dyDescent="0.2">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x14ac:dyDescent="0.2">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x14ac:dyDescent="0.2">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x14ac:dyDescent="0.2">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x14ac:dyDescent="0.2">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x14ac:dyDescent="0.2">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x14ac:dyDescent="0.2">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x14ac:dyDescent="0.2">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x14ac:dyDescent="0.2">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x14ac:dyDescent="0.2">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x14ac:dyDescent="0.2">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x14ac:dyDescent="0.2">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dreamscreator a</cp:lastModifiedBy>
  <cp:lastPrinted>2021-12-10T10:01:10Z</cp:lastPrinted>
  <dcterms:created xsi:type="dcterms:W3CDTF">2018-07-19T14:07:05Z</dcterms:created>
  <dcterms:modified xsi:type="dcterms:W3CDTF">2022-05-01T20:41:25Z</dcterms:modified>
</cp:coreProperties>
</file>