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1"/>
  </bookViews>
  <sheets>
    <sheet name="About" sheetId="1" r:id="rId1"/>
    <sheet name="Roster" sheetId="2" r:id="rId2"/>
    <sheet name="Games" sheetId="3"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34" i="2" l="1"/>
  <c r="S85" i="9"/>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T206" i="8"/>
  <c r="L206" i="8"/>
  <c r="J206" i="8"/>
  <c r="D206" i="8"/>
  <c r="B206" i="8"/>
  <c r="L205" i="8"/>
  <c r="J205" i="8"/>
  <c r="C205" i="8"/>
  <c r="D205" i="8" s="1"/>
  <c r="B205" i="8"/>
  <c r="T204" i="8"/>
  <c r="L204" i="8"/>
  <c r="J204" i="8"/>
  <c r="D204" i="8"/>
  <c r="B204" i="8"/>
  <c r="T203" i="8"/>
  <c r="L203" i="8"/>
  <c r="J203" i="8"/>
  <c r="D203" i="8"/>
  <c r="B203" i="8"/>
  <c r="Y202" i="8"/>
  <c r="X202" i="8"/>
  <c r="W202" i="8"/>
  <c r="V202" i="8"/>
  <c r="U202" i="8"/>
  <c r="J202" i="8" s="1"/>
  <c r="T202" i="8"/>
  <c r="L202" i="8"/>
  <c r="D202" i="8"/>
  <c r="B202" i="8"/>
  <c r="L201" i="8"/>
  <c r="J201" i="8"/>
  <c r="C201" i="8"/>
  <c r="D201" i="8" s="1"/>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C191" i="8"/>
  <c r="D191" i="8" s="1"/>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C183" i="8"/>
  <c r="D183" i="8" s="1"/>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D177" i="8"/>
  <c r="C177" i="8"/>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T171" i="8"/>
  <c r="L171" i="8"/>
  <c r="J171" i="8"/>
  <c r="D171" i="8"/>
  <c r="B171" i="8"/>
  <c r="L170" i="8"/>
  <c r="J170" i="8"/>
  <c r="C170" i="8"/>
  <c r="D170" i="8" s="1"/>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D164" i="8"/>
  <c r="C164" i="8"/>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D155" i="8"/>
  <c r="C155" i="8"/>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C147" i="8"/>
  <c r="D147" i="8" s="1"/>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T135" i="8"/>
  <c r="L135" i="8"/>
  <c r="J135" i="8"/>
  <c r="D135" i="8"/>
  <c r="B135" i="8"/>
  <c r="L134" i="8"/>
  <c r="J134" i="8"/>
  <c r="C134" i="8"/>
  <c r="D134" i="8" s="1"/>
  <c r="B134" i="8"/>
  <c r="T133" i="8"/>
  <c r="L133" i="8"/>
  <c r="J133" i="8"/>
  <c r="D133" i="8"/>
  <c r="B133" i="8"/>
  <c r="T132" i="8"/>
  <c r="L132" i="8"/>
  <c r="J132" i="8"/>
  <c r="D132" i="8"/>
  <c r="B132" i="8"/>
  <c r="T131" i="8"/>
  <c r="L131" i="8"/>
  <c r="J131" i="8"/>
  <c r="D131" i="8"/>
  <c r="B131" i="8"/>
  <c r="T130" i="8"/>
  <c r="L130" i="8"/>
  <c r="J130" i="8"/>
  <c r="D130" i="8"/>
  <c r="B130" i="8"/>
  <c r="L129" i="8"/>
  <c r="J129" i="8"/>
  <c r="C129" i="8"/>
  <c r="D129" i="8" s="1"/>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D123" i="8"/>
  <c r="C123" i="8"/>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C115" i="8"/>
  <c r="D115" i="8" s="1"/>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D107" i="8"/>
  <c r="C107" i="8"/>
  <c r="B107" i="8"/>
  <c r="T106" i="8"/>
  <c r="J106" i="8"/>
  <c r="D106" i="8"/>
  <c r="B106" i="8"/>
  <c r="T105" i="8"/>
  <c r="L105" i="8"/>
  <c r="J105" i="8"/>
  <c r="D105" i="8"/>
  <c r="B105" i="8"/>
  <c r="Y104" i="8"/>
  <c r="X104" i="8"/>
  <c r="W104" i="8"/>
  <c r="V104" i="8"/>
  <c r="U104" i="8"/>
  <c r="T104" i="8"/>
  <c r="L104" i="8"/>
  <c r="J104" i="8"/>
  <c r="D104" i="8"/>
  <c r="B104" i="8"/>
  <c r="T103" i="8"/>
  <c r="L103" i="8"/>
  <c r="J103" i="8"/>
  <c r="D103" i="8"/>
  <c r="B103" i="8"/>
  <c r="T102" i="8"/>
  <c r="L102" i="8"/>
  <c r="J102" i="8"/>
  <c r="D102" i="8"/>
  <c r="B102" i="8"/>
  <c r="L101" i="8"/>
  <c r="J101" i="8"/>
  <c r="C101" i="8"/>
  <c r="D101" i="8" s="1"/>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C88" i="8"/>
  <c r="D88" i="8" s="1"/>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T81" i="8"/>
  <c r="L81" i="8"/>
  <c r="J81" i="8"/>
  <c r="D81" i="8"/>
  <c r="B81" i="8"/>
  <c r="L80" i="8"/>
  <c r="J80" i="8"/>
  <c r="C80" i="8"/>
  <c r="D80" i="8" s="1"/>
  <c r="B80" i="8"/>
  <c r="T79" i="8"/>
  <c r="J79" i="8"/>
  <c r="D79" i="8"/>
  <c r="B79" i="8"/>
  <c r="T78" i="8"/>
  <c r="L78" i="8"/>
  <c r="J78" i="8"/>
  <c r="D78" i="8"/>
  <c r="B78" i="8"/>
  <c r="T77" i="8"/>
  <c r="L77" i="8"/>
  <c r="J77" i="8"/>
  <c r="D77" i="8"/>
  <c r="B77" i="8"/>
  <c r="T76" i="8"/>
  <c r="L76" i="8"/>
  <c r="J76" i="8"/>
  <c r="D76" i="8"/>
  <c r="B76" i="8"/>
  <c r="Y75" i="8"/>
  <c r="X75" i="8"/>
  <c r="W75" i="8"/>
  <c r="V75" i="8"/>
  <c r="U75" i="8"/>
  <c r="T75" i="8"/>
  <c r="L75" i="8"/>
  <c r="J75" i="8"/>
  <c r="D75" i="8"/>
  <c r="B75" i="8"/>
  <c r="L74" i="8"/>
  <c r="J74" i="8"/>
  <c r="D74" i="8"/>
  <c r="C74" i="8"/>
  <c r="B74" i="8"/>
  <c r="T73" i="8"/>
  <c r="J73" i="8"/>
  <c r="D73" i="8"/>
  <c r="B73" i="8"/>
  <c r="T72" i="8"/>
  <c r="L72" i="8"/>
  <c r="J72" i="8"/>
  <c r="D72" i="8"/>
  <c r="B72" i="8"/>
  <c r="T71" i="8"/>
  <c r="L71" i="8"/>
  <c r="J71" i="8"/>
  <c r="D71" i="8"/>
  <c r="B71" i="8"/>
  <c r="T70" i="8"/>
  <c r="L70" i="8"/>
  <c r="J70" i="8"/>
  <c r="D70" i="8"/>
  <c r="B70" i="8"/>
  <c r="T69" i="8"/>
  <c r="L69" i="8"/>
  <c r="J69" i="8"/>
  <c r="D69" i="8"/>
  <c r="B69" i="8"/>
  <c r="L68" i="8"/>
  <c r="J68" i="8"/>
  <c r="D68" i="8"/>
  <c r="C68" i="8"/>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C58" i="8"/>
  <c r="D58" i="8" s="1"/>
  <c r="B58" i="8"/>
  <c r="T57" i="8"/>
  <c r="J57" i="8"/>
  <c r="D57" i="8"/>
  <c r="B57" i="8"/>
  <c r="T56" i="8"/>
  <c r="L56" i="8"/>
  <c r="J56" i="8"/>
  <c r="D56" i="8"/>
  <c r="B56" i="8"/>
  <c r="T55" i="8"/>
  <c r="L55" i="8"/>
  <c r="J55" i="8"/>
  <c r="D55" i="8"/>
  <c r="B55" i="8"/>
  <c r="T54" i="8"/>
  <c r="L54" i="8"/>
  <c r="J54" i="8"/>
  <c r="D54" i="8"/>
  <c r="B54" i="8"/>
  <c r="Y53" i="8"/>
  <c r="X53" i="8"/>
  <c r="W53" i="8"/>
  <c r="V53" i="8"/>
  <c r="U53" i="8"/>
  <c r="T53" i="8"/>
  <c r="L53" i="8"/>
  <c r="J53" i="8"/>
  <c r="D53" i="8"/>
  <c r="B53" i="8"/>
  <c r="L52" i="8"/>
  <c r="J52" i="8"/>
  <c r="D52" i="8"/>
  <c r="C52" i="8"/>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C45" i="8"/>
  <c r="D45" i="8" s="1"/>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T39" i="8"/>
  <c r="L39" i="8"/>
  <c r="J39" i="8"/>
  <c r="D39" i="8"/>
  <c r="B39" i="8"/>
  <c r="L38" i="8"/>
  <c r="J38" i="8"/>
  <c r="D38" i="8"/>
  <c r="C38" i="8"/>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T27" i="8"/>
  <c r="L27" i="8"/>
  <c r="J27" i="8"/>
  <c r="D27" i="8"/>
  <c r="B27" i="8"/>
  <c r="L26" i="8"/>
  <c r="J26" i="8"/>
  <c r="C26" i="8"/>
  <c r="D26" i="8" s="1"/>
  <c r="B26" i="8"/>
  <c r="T25" i="8"/>
  <c r="J25" i="8"/>
  <c r="D25" i="8"/>
  <c r="B25" i="8"/>
  <c r="T24" i="8"/>
  <c r="L24" i="8"/>
  <c r="J24" i="8"/>
  <c r="D24" i="8"/>
  <c r="B24" i="8"/>
  <c r="T23" i="8"/>
  <c r="L23" i="8"/>
  <c r="J23" i="8"/>
  <c r="D23" i="8"/>
  <c r="B23" i="8"/>
  <c r="T22" i="8"/>
  <c r="L22" i="8"/>
  <c r="J22" i="8"/>
  <c r="D22" i="8"/>
  <c r="B22" i="8"/>
  <c r="X21" i="8"/>
  <c r="W21" i="8"/>
  <c r="V21" i="8"/>
  <c r="U21" i="8"/>
  <c r="J21" i="8" s="1"/>
  <c r="T21" i="8"/>
  <c r="L21" i="8"/>
  <c r="D21" i="8"/>
  <c r="B21" i="8"/>
  <c r="L20" i="8"/>
  <c r="J20" i="8"/>
  <c r="C20" i="8"/>
  <c r="D20" i="8" s="1"/>
  <c r="B20" i="8"/>
  <c r="T19" i="8"/>
  <c r="J19" i="8"/>
  <c r="D19" i="8"/>
  <c r="B19" i="8"/>
  <c r="T18" i="8"/>
  <c r="L18" i="8"/>
  <c r="J18" i="8"/>
  <c r="D18" i="8"/>
  <c r="B18" i="8"/>
  <c r="T17" i="8"/>
  <c r="L17" i="8"/>
  <c r="J17" i="8"/>
  <c r="D17" i="8"/>
  <c r="B17" i="8"/>
  <c r="T16" i="8"/>
  <c r="L16" i="8"/>
  <c r="J16" i="8"/>
  <c r="D16" i="8"/>
  <c r="B16" i="8"/>
  <c r="Y15" i="8"/>
  <c r="X15" i="8"/>
  <c r="W15" i="8"/>
  <c r="V15" i="8"/>
  <c r="U15" i="8"/>
  <c r="T15" i="8"/>
  <c r="L15" i="8"/>
  <c r="J15" i="8"/>
  <c r="D15" i="8"/>
  <c r="B15" i="8"/>
  <c r="T14" i="8"/>
  <c r="L14" i="8"/>
  <c r="J14" i="8"/>
  <c r="D14" i="8"/>
  <c r="B14" i="8"/>
  <c r="L13" i="8"/>
  <c r="J13" i="8"/>
  <c r="C13" i="8"/>
  <c r="D13" i="8" s="1"/>
  <c r="B13" i="8"/>
  <c r="T12" i="8"/>
  <c r="J12" i="8"/>
  <c r="D12" i="8"/>
  <c r="B12" i="8"/>
  <c r="T11" i="8"/>
  <c r="L11" i="8"/>
  <c r="J11" i="8"/>
  <c r="D11" i="8"/>
  <c r="B11" i="8"/>
  <c r="T10" i="8"/>
  <c r="L10" i="8"/>
  <c r="J10" i="8"/>
  <c r="D10" i="8"/>
  <c r="B10" i="8"/>
  <c r="T9" i="8"/>
  <c r="L9" i="8"/>
  <c r="J9" i="8"/>
  <c r="D9" i="8"/>
  <c r="B9" i="8"/>
  <c r="L8" i="8"/>
  <c r="J8" i="8"/>
  <c r="C8" i="8"/>
  <c r="D8" i="8" s="1"/>
  <c r="B8" i="8"/>
  <c r="T7" i="8"/>
  <c r="J7" i="8"/>
  <c r="D7" i="8"/>
  <c r="B7" i="8"/>
  <c r="T6" i="8"/>
  <c r="L6" i="8"/>
  <c r="J6" i="8"/>
  <c r="D6" i="8"/>
  <c r="B6" i="8"/>
  <c r="T5" i="8"/>
  <c r="L5" i="8"/>
  <c r="J5" i="8"/>
  <c r="D5" i="8"/>
  <c r="B5" i="8"/>
  <c r="T4" i="8"/>
  <c r="L4" i="8"/>
  <c r="J4" i="8"/>
  <c r="D4" i="8"/>
  <c r="B4" i="8"/>
  <c r="T3" i="8"/>
  <c r="L3" i="8"/>
  <c r="J3" i="8"/>
  <c r="D3" i="8"/>
  <c r="B3" i="8"/>
  <c r="L2" i="8"/>
  <c r="J2" i="8"/>
  <c r="C2" i="8"/>
  <c r="D2" i="8" s="1"/>
  <c r="B2" i="8"/>
  <c r="D116" i="7"/>
  <c r="N114" i="7"/>
  <c r="J114" i="7"/>
  <c r="H114" i="7"/>
  <c r="F114" i="7"/>
  <c r="D114" i="7"/>
  <c r="AW113" i="7"/>
  <c r="AH113" i="7"/>
  <c r="S113" i="7"/>
  <c r="N113" i="7"/>
  <c r="F113" i="7"/>
  <c r="N111" i="7"/>
  <c r="L111" i="7"/>
  <c r="J111" i="7"/>
  <c r="H111" i="7"/>
  <c r="F111" i="7" s="1"/>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AY87" i="7" s="1"/>
  <c r="BC87" i="7"/>
  <c r="BA87" i="7"/>
  <c r="AW87" i="7"/>
  <c r="AR87" i="7"/>
  <c r="AP87" i="7"/>
  <c r="AN87" i="7"/>
  <c r="AL87" i="7"/>
  <c r="AJ87" i="7" s="1"/>
  <c r="AH87" i="7"/>
  <c r="AC87" i="7"/>
  <c r="AA87" i="7"/>
  <c r="Y87" i="7"/>
  <c r="W87" i="7"/>
  <c r="S87" i="7"/>
  <c r="N87" i="7"/>
  <c r="L87" i="7"/>
  <c r="J87" i="7"/>
  <c r="H87" i="7"/>
  <c r="F87" i="7"/>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AY63" i="7" s="1"/>
  <c r="BC63" i="7"/>
  <c r="BA63" i="7"/>
  <c r="AW63" i="7"/>
  <c r="AR63" i="7"/>
  <c r="AP63" i="7"/>
  <c r="AN63" i="7"/>
  <c r="AL63" i="7"/>
  <c r="AH63" i="7"/>
  <c r="AC63" i="7"/>
  <c r="AA63" i="7"/>
  <c r="Y63" i="7"/>
  <c r="W63" i="7"/>
  <c r="S63" i="7"/>
  <c r="N63" i="7"/>
  <c r="L63" i="7"/>
  <c r="J63" i="7"/>
  <c r="H63" i="7"/>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BC39" i="7"/>
  <c r="BA39" i="7"/>
  <c r="AY39" i="7"/>
  <c r="AW39" i="7"/>
  <c r="AR39" i="7"/>
  <c r="AP39" i="7"/>
  <c r="AN39" i="7"/>
  <c r="AL39" i="7"/>
  <c r="AH39" i="7"/>
  <c r="AC39" i="7"/>
  <c r="AA39" i="7"/>
  <c r="Y39" i="7"/>
  <c r="W39" i="7"/>
  <c r="U39" i="7"/>
  <c r="S39" i="7"/>
  <c r="N39" i="7"/>
  <c r="L39" i="7"/>
  <c r="J39" i="7"/>
  <c r="H39" i="7"/>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W15" i="7"/>
  <c r="AR15" i="7"/>
  <c r="AP15" i="7"/>
  <c r="AN15" i="7"/>
  <c r="AL15" i="7"/>
  <c r="AJ15" i="7"/>
  <c r="AH15" i="7"/>
  <c r="AC15" i="7"/>
  <c r="AA15" i="7"/>
  <c r="Y15" i="7"/>
  <c r="W15" i="7"/>
  <c r="U15" i="7" s="1"/>
  <c r="S15" i="7"/>
  <c r="AY14" i="7"/>
  <c r="AW14" i="7"/>
  <c r="AJ14" i="7"/>
  <c r="AH14" i="7"/>
  <c r="U14" i="7"/>
  <c r="S14" i="7"/>
  <c r="L12" i="7"/>
  <c r="H12" i="7"/>
  <c r="D12" i="7"/>
  <c r="H11" i="7"/>
  <c r="L10" i="7"/>
  <c r="H10" i="7"/>
  <c r="D10" i="7"/>
  <c r="L8" i="7"/>
  <c r="H8" i="7"/>
  <c r="D8" i="7"/>
  <c r="L6" i="7"/>
  <c r="B6" i="7"/>
  <c r="AV4" i="7"/>
  <c r="AG4" i="7"/>
  <c r="R4" i="7"/>
  <c r="C4" i="7"/>
  <c r="AV3" i="7"/>
  <c r="AG3" i="7"/>
  <c r="R3" i="7"/>
  <c r="AU2" i="7"/>
  <c r="AF2" i="7"/>
  <c r="Q2" i="7"/>
  <c r="D116" i="6"/>
  <c r="N114" i="6"/>
  <c r="J114" i="6"/>
  <c r="H114" i="6"/>
  <c r="F114" i="6"/>
  <c r="D114" i="6"/>
  <c r="AW113" i="6"/>
  <c r="AH113" i="6"/>
  <c r="S113" i="6"/>
  <c r="N113" i="6"/>
  <c r="F113" i="6"/>
  <c r="N111" i="6"/>
  <c r="L111" i="6"/>
  <c r="J111" i="6"/>
  <c r="H111" i="6"/>
  <c r="F111" i="6" s="1"/>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AY87" i="6" s="1"/>
  <c r="BC87" i="6"/>
  <c r="BA87" i="6"/>
  <c r="AW87" i="6"/>
  <c r="AR87" i="6"/>
  <c r="AP87" i="6"/>
  <c r="AN87" i="6"/>
  <c r="AL87" i="6"/>
  <c r="AJ87" i="6" s="1"/>
  <c r="AH87" i="6"/>
  <c r="AC87" i="6"/>
  <c r="AA87" i="6"/>
  <c r="Y87" i="6"/>
  <c r="W87" i="6"/>
  <c r="U87" i="6" s="1"/>
  <c r="S87" i="6"/>
  <c r="N87" i="6"/>
  <c r="L87" i="6"/>
  <c r="J87" i="6"/>
  <c r="H87" i="6"/>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AY63" i="6" s="1"/>
  <c r="BC63" i="6"/>
  <c r="BA63" i="6"/>
  <c r="AW63" i="6"/>
  <c r="AR63" i="6"/>
  <c r="AP63" i="6"/>
  <c r="AN63" i="6"/>
  <c r="AL63" i="6"/>
  <c r="AJ63" i="6" s="1"/>
  <c r="AH63" i="6"/>
  <c r="AC63" i="6"/>
  <c r="AA63" i="6"/>
  <c r="Y63" i="6"/>
  <c r="W63" i="6"/>
  <c r="S63" i="6"/>
  <c r="N63" i="6"/>
  <c r="L63" i="6"/>
  <c r="J63" i="6"/>
  <c r="H63" i="6"/>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BA39" i="6"/>
  <c r="AY39" i="6" s="1"/>
  <c r="AW39" i="6"/>
  <c r="AR39" i="6"/>
  <c r="AP39" i="6"/>
  <c r="AJ39" i="6" s="1"/>
  <c r="AN39" i="6"/>
  <c r="AL39" i="6"/>
  <c r="AH39" i="6"/>
  <c r="AC39" i="6"/>
  <c r="AA39" i="6"/>
  <c r="Y39" i="6"/>
  <c r="W39" i="6"/>
  <c r="U39" i="6" s="1"/>
  <c r="S39" i="6"/>
  <c r="N39" i="6"/>
  <c r="L39" i="6"/>
  <c r="J39" i="6"/>
  <c r="H39" i="6"/>
  <c r="F39" i="6"/>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BA15" i="6"/>
  <c r="AY15" i="6" s="1"/>
  <c r="AW15" i="6"/>
  <c r="AR15" i="6"/>
  <c r="AP15" i="6"/>
  <c r="AN15" i="6"/>
  <c r="AL15" i="6"/>
  <c r="AH15" i="6"/>
  <c r="AC15" i="6"/>
  <c r="AA15" i="6"/>
  <c r="Y15" i="6"/>
  <c r="W15" i="6"/>
  <c r="U15" i="6"/>
  <c r="S15" i="6"/>
  <c r="AY14" i="6"/>
  <c r="AW14" i="6"/>
  <c r="AJ14" i="6"/>
  <c r="AH14" i="6"/>
  <c r="U14" i="6"/>
  <c r="S14" i="6"/>
  <c r="L12" i="6"/>
  <c r="H12" i="6"/>
  <c r="D12" i="6"/>
  <c r="H11" i="6"/>
  <c r="L10" i="6"/>
  <c r="H10" i="6"/>
  <c r="D10" i="6"/>
  <c r="L8" i="6"/>
  <c r="H8" i="6"/>
  <c r="D8" i="6"/>
  <c r="L6" i="6"/>
  <c r="B6" i="6"/>
  <c r="AV4" i="6"/>
  <c r="AG4" i="6"/>
  <c r="R4" i="6"/>
  <c r="C4" i="6"/>
  <c r="AV3" i="6"/>
  <c r="AG3" i="6"/>
  <c r="R3" i="6"/>
  <c r="AU2" i="6"/>
  <c r="AF2" i="6"/>
  <c r="Q2" i="6"/>
  <c r="V57" i="5"/>
  <c r="S56" i="5"/>
  <c r="X55" i="5"/>
  <c r="X54" i="5"/>
  <c r="W54" i="5"/>
  <c r="V54" i="5"/>
  <c r="U54" i="5"/>
  <c r="T54" i="5"/>
  <c r="X53" i="5"/>
  <c r="X52" i="5"/>
  <c r="W52" i="5"/>
  <c r="X51" i="5"/>
  <c r="X50" i="5"/>
  <c r="W50" i="5"/>
  <c r="V50" i="5"/>
  <c r="U50" i="5"/>
  <c r="X49" i="5"/>
  <c r="W49" i="5"/>
  <c r="V49" i="5"/>
  <c r="U49" i="5"/>
  <c r="T49" i="5"/>
  <c r="O49" i="5"/>
  <c r="L49" i="5"/>
  <c r="I49" i="5"/>
  <c r="F49" i="5"/>
  <c r="X48" i="5"/>
  <c r="W48" i="5"/>
  <c r="O48" i="5"/>
  <c r="L48" i="5"/>
  <c r="F48" i="5"/>
  <c r="X47" i="5"/>
  <c r="W47" i="5"/>
  <c r="L47" i="5"/>
  <c r="V34" i="5" s="1"/>
  <c r="X46" i="5"/>
  <c r="W46" i="5"/>
  <c r="V46" i="5"/>
  <c r="U46" i="5"/>
  <c r="L46" i="5"/>
  <c r="V33" i="5" s="1"/>
  <c r="X45" i="5"/>
  <c r="W45" i="5"/>
  <c r="L45" i="5"/>
  <c r="X44" i="5"/>
  <c r="W44" i="5"/>
  <c r="V44" i="5"/>
  <c r="X43" i="5"/>
  <c r="W43" i="5"/>
  <c r="V43" i="5"/>
  <c r="X42" i="5"/>
  <c r="W42" i="5"/>
  <c r="V42" i="5"/>
  <c r="X41" i="5"/>
  <c r="W41" i="5"/>
  <c r="V41" i="5"/>
  <c r="Z38" i="5"/>
  <c r="Y38" i="5"/>
  <c r="R38" i="5"/>
  <c r="O38" i="5"/>
  <c r="L38" i="5"/>
  <c r="I38" i="5"/>
  <c r="F38" i="5"/>
  <c r="C38" i="5"/>
  <c r="A38" i="5"/>
  <c r="C37" i="5"/>
  <c r="S37" i="5" s="1"/>
  <c r="AH38" i="5" s="1"/>
  <c r="A37" i="5"/>
  <c r="W36" i="5"/>
  <c r="V36" i="5"/>
  <c r="R36" i="5"/>
  <c r="O36" i="5"/>
  <c r="L36" i="5"/>
  <c r="I36" i="5"/>
  <c r="F36" i="5"/>
  <c r="S36" i="5" s="1"/>
  <c r="AG38" i="5" s="1"/>
  <c r="C36" i="5"/>
  <c r="A36" i="5"/>
  <c r="AH35" i="5"/>
  <c r="AG35" i="5"/>
  <c r="AF35" i="5"/>
  <c r="W35" i="5"/>
  <c r="V35" i="5"/>
  <c r="R35" i="5"/>
  <c r="O35" i="5"/>
  <c r="L35" i="5"/>
  <c r="I35" i="5"/>
  <c r="F35" i="5"/>
  <c r="C35" i="5"/>
  <c r="S35" i="5" s="1"/>
  <c r="AF38" i="5" s="1"/>
  <c r="A35" i="5"/>
  <c r="AK34" i="5"/>
  <c r="AH34" i="5"/>
  <c r="AG34" i="5"/>
  <c r="W34" i="5"/>
  <c r="R34" i="5"/>
  <c r="O34" i="5"/>
  <c r="L34" i="5"/>
  <c r="I34" i="5"/>
  <c r="S34" i="5" s="1"/>
  <c r="AE38" i="5" s="1"/>
  <c r="F34" i="5"/>
  <c r="C34" i="5"/>
  <c r="A34" i="5"/>
  <c r="AL33" i="5"/>
  <c r="AH33" i="5"/>
  <c r="AG33" i="5"/>
  <c r="AF33" i="5"/>
  <c r="W33" i="5"/>
  <c r="R33" i="5"/>
  <c r="P33" i="5"/>
  <c r="O33" i="5"/>
  <c r="M33" i="5"/>
  <c r="L33" i="5"/>
  <c r="J33" i="5"/>
  <c r="I33" i="5"/>
  <c r="G33" i="5"/>
  <c r="F33" i="5"/>
  <c r="D33" i="5"/>
  <c r="C33" i="5"/>
  <c r="B33" i="5"/>
  <c r="A33" i="5"/>
  <c r="W32" i="5"/>
  <c r="V32" i="5"/>
  <c r="S32" i="5"/>
  <c r="AC38" i="5" s="1"/>
  <c r="Q32" i="5"/>
  <c r="AB38" i="5" s="1"/>
  <c r="O32" i="5"/>
  <c r="AA38" i="5" s="1"/>
  <c r="M32" i="5"/>
  <c r="K32" i="5"/>
  <c r="AT31" i="5"/>
  <c r="AS31" i="5"/>
  <c r="AR31" i="5"/>
  <c r="AP31" i="5"/>
  <c r="AN31" i="5"/>
  <c r="AM31" i="5"/>
  <c r="AH31" i="5"/>
  <c r="AG31" i="5"/>
  <c r="AF31" i="5"/>
  <c r="AE31" i="5"/>
  <c r="W31" i="5"/>
  <c r="S31" i="5"/>
  <c r="R31" i="5"/>
  <c r="Q31" i="5"/>
  <c r="P31" i="5"/>
  <c r="O31" i="5"/>
  <c r="N31" i="5"/>
  <c r="M31" i="5"/>
  <c r="L31" i="5"/>
  <c r="K31" i="5"/>
  <c r="J31" i="5"/>
  <c r="I31" i="5"/>
  <c r="AT30" i="5"/>
  <c r="AS30" i="5"/>
  <c r="AR30" i="5"/>
  <c r="AP30" i="5"/>
  <c r="AN30" i="5"/>
  <c r="AM30" i="5"/>
  <c r="W30" i="5"/>
  <c r="A30" i="5"/>
  <c r="AI29" i="5"/>
  <c r="AH29" i="5"/>
  <c r="AG29" i="5"/>
  <c r="AF29" i="5"/>
  <c r="AE29" i="5"/>
  <c r="AB29" i="5"/>
  <c r="AA29" i="5"/>
  <c r="Z29" i="5"/>
  <c r="G29" i="5"/>
  <c r="G41" i="9" s="1"/>
  <c r="F29" i="5"/>
  <c r="F41" i="9" s="1"/>
  <c r="E29" i="5"/>
  <c r="E41" i="9" s="1"/>
  <c r="D29" i="5"/>
  <c r="D41" i="9" s="1"/>
  <c r="C29" i="5"/>
  <c r="C41" i="9" s="1"/>
  <c r="S28" i="5"/>
  <c r="H28" i="5"/>
  <c r="G28" i="5"/>
  <c r="F28" i="5"/>
  <c r="E28" i="5"/>
  <c r="D28" i="5"/>
  <c r="C28" i="5"/>
  <c r="B28" i="5"/>
  <c r="A28" i="5"/>
  <c r="A27" i="5"/>
  <c r="AB25" i="5"/>
  <c r="R25" i="5"/>
  <c r="O25" i="5"/>
  <c r="L25" i="5"/>
  <c r="I25" i="5"/>
  <c r="F25" i="5"/>
  <c r="C25" i="5"/>
  <c r="A25" i="5"/>
  <c r="C24" i="5"/>
  <c r="S24" i="5" s="1"/>
  <c r="AH25" i="5" s="1"/>
  <c r="A24" i="5"/>
  <c r="W23" i="5"/>
  <c r="V23" i="5"/>
  <c r="R23" i="5"/>
  <c r="O23" i="5"/>
  <c r="L23" i="5"/>
  <c r="I23" i="5"/>
  <c r="F23" i="5"/>
  <c r="C23" i="5"/>
  <c r="S23" i="5" s="1"/>
  <c r="AG25" i="5" s="1"/>
  <c r="A23" i="5"/>
  <c r="AH22" i="5"/>
  <c r="AG22" i="5"/>
  <c r="AF22" i="5"/>
  <c r="W22" i="5"/>
  <c r="V22" i="5"/>
  <c r="R22" i="5"/>
  <c r="O22" i="5"/>
  <c r="L22" i="5"/>
  <c r="I22" i="5"/>
  <c r="S22" i="5" s="1"/>
  <c r="AF25" i="5" s="1"/>
  <c r="F22" i="5"/>
  <c r="C22" i="5"/>
  <c r="A22" i="5"/>
  <c r="AK21" i="5"/>
  <c r="AH21" i="5"/>
  <c r="AG21" i="5"/>
  <c r="W21" i="5"/>
  <c r="V21" i="5"/>
  <c r="R21" i="5"/>
  <c r="O21" i="5"/>
  <c r="L21" i="5"/>
  <c r="I21" i="5"/>
  <c r="F21" i="5"/>
  <c r="S21" i="5" s="1"/>
  <c r="AE25" i="5" s="1"/>
  <c r="C21" i="5"/>
  <c r="A21" i="5"/>
  <c r="AL20" i="5"/>
  <c r="AH20" i="5"/>
  <c r="AG20" i="5"/>
  <c r="AF20" i="5"/>
  <c r="W20" i="5"/>
  <c r="V20" i="5"/>
  <c r="R20" i="5"/>
  <c r="P20" i="5"/>
  <c r="O20" i="5"/>
  <c r="M20" i="5"/>
  <c r="L20" i="5"/>
  <c r="J20" i="5"/>
  <c r="I20" i="5"/>
  <c r="G20" i="5"/>
  <c r="F20" i="5"/>
  <c r="D20" i="5"/>
  <c r="C20" i="5"/>
  <c r="B20" i="5"/>
  <c r="A20" i="5"/>
  <c r="W19" i="5"/>
  <c r="V19" i="5"/>
  <c r="S19" i="5"/>
  <c r="AC25" i="5" s="1"/>
  <c r="Q19" i="5"/>
  <c r="O19" i="5"/>
  <c r="AA25" i="5" s="1"/>
  <c r="M19" i="5"/>
  <c r="Z25" i="5" s="1"/>
  <c r="K19" i="5"/>
  <c r="Y25" i="5" s="1"/>
  <c r="AT18" i="5"/>
  <c r="AS18" i="5"/>
  <c r="AR18" i="5"/>
  <c r="AP18" i="5"/>
  <c r="AN18" i="5"/>
  <c r="AM18" i="5"/>
  <c r="AH18" i="5"/>
  <c r="AG18" i="5"/>
  <c r="AF18" i="5"/>
  <c r="Z16" i="5" s="1"/>
  <c r="AE18" i="5"/>
  <c r="W18" i="5"/>
  <c r="V18" i="5"/>
  <c r="S18" i="5"/>
  <c r="R18" i="5"/>
  <c r="Q18" i="5"/>
  <c r="P18" i="5"/>
  <c r="O18" i="5"/>
  <c r="N18" i="5"/>
  <c r="M18" i="5"/>
  <c r="L18" i="5"/>
  <c r="K18" i="5"/>
  <c r="J18" i="5"/>
  <c r="I18" i="5"/>
  <c r="AT17" i="5"/>
  <c r="AS17" i="5"/>
  <c r="AR17" i="5"/>
  <c r="AP17" i="5"/>
  <c r="AN17" i="5"/>
  <c r="AM17" i="5"/>
  <c r="W17" i="5"/>
  <c r="V17" i="5"/>
  <c r="A17" i="5"/>
  <c r="AI16" i="5"/>
  <c r="AH16" i="5"/>
  <c r="AG16" i="5"/>
  <c r="AF16" i="5"/>
  <c r="AE16" i="5"/>
  <c r="AB16" i="5"/>
  <c r="AA16" i="5"/>
  <c r="Y16" i="5"/>
  <c r="G16" i="5"/>
  <c r="G40" i="9" s="1"/>
  <c r="F16" i="5"/>
  <c r="F40" i="9" s="1"/>
  <c r="S15" i="5"/>
  <c r="H15" i="5"/>
  <c r="G15" i="5"/>
  <c r="F15" i="5"/>
  <c r="E15" i="5"/>
  <c r="D15" i="5"/>
  <c r="C15" i="5"/>
  <c r="B15" i="5"/>
  <c r="A15" i="5"/>
  <c r="A14" i="5"/>
  <c r="BD13" i="5"/>
  <c r="BB13" i="5"/>
  <c r="AZ13" i="5"/>
  <c r="AX13" i="5"/>
  <c r="AV13" i="5"/>
  <c r="BD12" i="5"/>
  <c r="BB12" i="5"/>
  <c r="AZ12" i="5"/>
  <c r="AX12" i="5"/>
  <c r="AV12" i="5"/>
  <c r="AA12" i="5"/>
  <c r="R12" i="5"/>
  <c r="O12" i="5"/>
  <c r="L12" i="5"/>
  <c r="I12" i="5"/>
  <c r="S12" i="5" s="1"/>
  <c r="AI12" i="5" s="1"/>
  <c r="F12" i="5"/>
  <c r="C12" i="5"/>
  <c r="A12" i="5"/>
  <c r="BD11" i="5"/>
  <c r="BB11" i="5"/>
  <c r="AZ11" i="5"/>
  <c r="AX11" i="5"/>
  <c r="AV11" i="5"/>
  <c r="S11" i="5"/>
  <c r="AH12" i="5" s="1"/>
  <c r="C11" i="5"/>
  <c r="A11" i="5"/>
  <c r="BD10" i="5"/>
  <c r="BB10" i="5"/>
  <c r="AZ10" i="5"/>
  <c r="AX10" i="5"/>
  <c r="AV10" i="5"/>
  <c r="W10" i="5"/>
  <c r="R10" i="5"/>
  <c r="O10" i="5"/>
  <c r="L10" i="5"/>
  <c r="I10" i="5"/>
  <c r="F10" i="5"/>
  <c r="C10" i="5"/>
  <c r="A10" i="5"/>
  <c r="BD9" i="5"/>
  <c r="BB9" i="5"/>
  <c r="AZ9" i="5"/>
  <c r="AX9" i="5"/>
  <c r="AV9" i="5"/>
  <c r="AH9" i="5"/>
  <c r="AG9" i="5"/>
  <c r="AF9" i="5"/>
  <c r="W9" i="5"/>
  <c r="R9" i="5"/>
  <c r="O9" i="5"/>
  <c r="L9" i="5"/>
  <c r="I9" i="5"/>
  <c r="F9" i="5"/>
  <c r="C9" i="5"/>
  <c r="S9" i="5" s="1"/>
  <c r="AF12" i="5" s="1"/>
  <c r="A9" i="5"/>
  <c r="BD8" i="5"/>
  <c r="BB8" i="5"/>
  <c r="AZ8" i="5"/>
  <c r="AX8" i="5"/>
  <c r="AV8" i="5"/>
  <c r="AK8" i="5"/>
  <c r="AH8" i="5"/>
  <c r="AG8" i="5"/>
  <c r="W8" i="5"/>
  <c r="R8" i="5"/>
  <c r="O8" i="5"/>
  <c r="L8" i="5"/>
  <c r="I8" i="5"/>
  <c r="F8" i="5"/>
  <c r="C8" i="5"/>
  <c r="S8" i="5" s="1"/>
  <c r="AE12" i="5" s="1"/>
  <c r="A8" i="5"/>
  <c r="BD7" i="5"/>
  <c r="BB7" i="5"/>
  <c r="AZ7" i="5"/>
  <c r="AX7" i="5"/>
  <c r="AV7" i="5"/>
  <c r="AL7" i="5"/>
  <c r="AH7" i="5"/>
  <c r="AG7" i="5"/>
  <c r="AF7" i="5"/>
  <c r="W7" i="5"/>
  <c r="R7" i="5"/>
  <c r="P7" i="5"/>
  <c r="O7" i="5"/>
  <c r="M7" i="5"/>
  <c r="L7" i="5"/>
  <c r="J7" i="5"/>
  <c r="I7" i="5"/>
  <c r="G7" i="5"/>
  <c r="F7" i="5"/>
  <c r="D7" i="5"/>
  <c r="C7" i="5"/>
  <c r="B7" i="5"/>
  <c r="A7" i="5"/>
  <c r="BD6" i="5"/>
  <c r="BB6" i="5"/>
  <c r="AZ6" i="5"/>
  <c r="AX6" i="5"/>
  <c r="AV6" i="5"/>
  <c r="W6" i="5"/>
  <c r="S6" i="5"/>
  <c r="AC12" i="5" s="1"/>
  <c r="Q6" i="5"/>
  <c r="AB12" i="5" s="1"/>
  <c r="O6" i="5"/>
  <c r="M6" i="5"/>
  <c r="Z12" i="5" s="1"/>
  <c r="K6" i="5"/>
  <c r="Y12" i="5" s="1"/>
  <c r="BD5" i="5"/>
  <c r="BB5" i="5"/>
  <c r="AZ5" i="5"/>
  <c r="AX5" i="5"/>
  <c r="AV5" i="5"/>
  <c r="AT5" i="5"/>
  <c r="AS5" i="5"/>
  <c r="AR5" i="5"/>
  <c r="AP5" i="5"/>
  <c r="AN5" i="5"/>
  <c r="AM5" i="5"/>
  <c r="AH5" i="5"/>
  <c r="AG5" i="5"/>
  <c r="AF5" i="5"/>
  <c r="AE5" i="5"/>
  <c r="W5" i="5"/>
  <c r="S5" i="5"/>
  <c r="R5" i="5"/>
  <c r="Q5" i="5"/>
  <c r="P5" i="5"/>
  <c r="O5" i="5"/>
  <c r="N5" i="5"/>
  <c r="M5" i="5"/>
  <c r="L5" i="5"/>
  <c r="K5" i="5"/>
  <c r="J5" i="5"/>
  <c r="I5" i="5"/>
  <c r="BD4" i="5"/>
  <c r="BB4" i="5"/>
  <c r="AZ4" i="5"/>
  <c r="AX4" i="5"/>
  <c r="AV4" i="5"/>
  <c r="AT4" i="5"/>
  <c r="AS4" i="5"/>
  <c r="AR4" i="5"/>
  <c r="AP4" i="5"/>
  <c r="AN4" i="5"/>
  <c r="AM4" i="5"/>
  <c r="W4" i="5"/>
  <c r="A4" i="5"/>
  <c r="BD3" i="5"/>
  <c r="BB3" i="5"/>
  <c r="AZ3" i="5"/>
  <c r="AX3" i="5"/>
  <c r="AV3" i="5"/>
  <c r="AI3" i="5"/>
  <c r="AH3" i="5"/>
  <c r="AG3" i="5"/>
  <c r="AF3" i="5"/>
  <c r="AE3" i="5"/>
  <c r="AB3" i="5"/>
  <c r="AA3" i="5"/>
  <c r="Z3" i="5"/>
  <c r="G3" i="5"/>
  <c r="G39" i="9" s="1"/>
  <c r="F3" i="5"/>
  <c r="F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K12" i="3"/>
  <c r="I12" i="3"/>
  <c r="B12" i="3"/>
  <c r="AI11" i="3"/>
  <c r="K11" i="3"/>
  <c r="I11" i="3"/>
  <c r="B11" i="3"/>
  <c r="AI10" i="3"/>
  <c r="K10" i="3"/>
  <c r="I10" i="3"/>
  <c r="B10" i="3"/>
  <c r="AI9" i="3"/>
  <c r="K9" i="3"/>
  <c r="I9" i="3"/>
  <c r="B9" i="3"/>
  <c r="AI8" i="3"/>
  <c r="K8" i="3"/>
  <c r="I8" i="3"/>
  <c r="B8" i="3"/>
  <c r="AI7" i="3"/>
  <c r="K7" i="3"/>
  <c r="I7" i="3"/>
  <c r="B7" i="3"/>
  <c r="AI6" i="3"/>
  <c r="C2" i="3" s="1"/>
  <c r="C3" i="3" s="1"/>
  <c r="K6" i="3"/>
  <c r="I6" i="3"/>
  <c r="B6" i="3"/>
  <c r="AA5" i="3"/>
  <c r="Z5" i="3"/>
  <c r="Y5" i="3"/>
  <c r="X5" i="3"/>
  <c r="U5" i="3"/>
  <c r="R5" i="3"/>
  <c r="O5" i="3"/>
  <c r="L5" i="3"/>
  <c r="I5" i="3"/>
  <c r="E5" i="3"/>
  <c r="D5" i="3"/>
  <c r="AA3" i="3"/>
  <c r="W3" i="3"/>
  <c r="AA2" i="3"/>
  <c r="Z2" i="3"/>
  <c r="Z3" i="3" s="1"/>
  <c r="Y2" i="3"/>
  <c r="Y3" i="3" s="1"/>
  <c r="X2" i="3"/>
  <c r="X3" i="3" s="1"/>
  <c r="W2" i="3"/>
  <c r="U2" i="3"/>
  <c r="U3" i="3" s="1"/>
  <c r="T2" i="3"/>
  <c r="T3" i="3" s="1"/>
  <c r="R2" i="3"/>
  <c r="R3" i="3" s="1"/>
  <c r="Q2" i="3"/>
  <c r="Q3" i="3" s="1"/>
  <c r="O2" i="3"/>
  <c r="O3" i="3" s="1"/>
  <c r="N2" i="3"/>
  <c r="N3" i="3" s="1"/>
  <c r="L2" i="3"/>
  <c r="L3" i="3" s="1"/>
  <c r="H2" i="3"/>
  <c r="H3" i="3" s="1"/>
  <c r="F2" i="3"/>
  <c r="F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CB64" i="2"/>
  <c r="BY64" i="2"/>
  <c r="BW64" i="2"/>
  <c r="BU64" i="2"/>
  <c r="BS64" i="2"/>
  <c r="AO64" i="2"/>
  <c r="AN64" i="2"/>
  <c r="AM64" i="2"/>
  <c r="AL64" i="2"/>
  <c r="AK64" i="2"/>
  <c r="CB63" i="2"/>
  <c r="BY63" i="2"/>
  <c r="BW63" i="2"/>
  <c r="BU63" i="2"/>
  <c r="BS63" i="2"/>
  <c r="AO63" i="2"/>
  <c r="AN63" i="2"/>
  <c r="AM63" i="2"/>
  <c r="AL63" i="2"/>
  <c r="AK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E55" i="2"/>
  <c r="CD55" i="2"/>
  <c r="CC55" i="2"/>
  <c r="CB55" i="2"/>
  <c r="CA55" i="2"/>
  <c r="BZ55" i="2"/>
  <c r="BX55" i="2"/>
  <c r="CZ55" i="2" s="1"/>
  <c r="BT55" i="2"/>
  <c r="CV55" i="2" s="1"/>
  <c r="BP55" i="2"/>
  <c r="CS55" i="2" s="1"/>
  <c r="BO55" i="2"/>
  <c r="BW55" i="2" s="1"/>
  <c r="BN55" i="2"/>
  <c r="BV55" i="2" s="1"/>
  <c r="BM55" i="2"/>
  <c r="CP55" i="2" s="1"/>
  <c r="BL55" i="2"/>
  <c r="CO55" i="2" s="1"/>
  <c r="BK55" i="2"/>
  <c r="CQ54" i="2"/>
  <c r="CE54" i="2"/>
  <c r="CD54" i="2"/>
  <c r="CC54" i="2"/>
  <c r="CB54" i="2"/>
  <c r="CA54" i="2"/>
  <c r="BZ54" i="2"/>
  <c r="BP54" i="2"/>
  <c r="CS54" i="2" s="1"/>
  <c r="BO54" i="2"/>
  <c r="CR54" i="2" s="1"/>
  <c r="BN54" i="2"/>
  <c r="BV54" i="2" s="1"/>
  <c r="BM54" i="2"/>
  <c r="BU54" i="2" s="1"/>
  <c r="BL54" i="2"/>
  <c r="CO54" i="2" s="1"/>
  <c r="BK54" i="2"/>
  <c r="AE75" i="2" s="1"/>
  <c r="CE53" i="2"/>
  <c r="CD53" i="2"/>
  <c r="CC53" i="2"/>
  <c r="CB53" i="2"/>
  <c r="CA53" i="2"/>
  <c r="BZ53" i="2"/>
  <c r="BP53" i="2"/>
  <c r="BX53" i="2" s="1"/>
  <c r="BO53" i="2"/>
  <c r="CR53" i="2" s="1"/>
  <c r="BN53" i="2"/>
  <c r="CQ53" i="2" s="1"/>
  <c r="BM53" i="2"/>
  <c r="BU53" i="2" s="1"/>
  <c r="BL53" i="2"/>
  <c r="BT53" i="2" s="1"/>
  <c r="BK53" i="2"/>
  <c r="BS53" i="2" s="1"/>
  <c r="CU53" i="2" s="1"/>
  <c r="AX53" i="2"/>
  <c r="CE52" i="2"/>
  <c r="CD52" i="2"/>
  <c r="CC52" i="2"/>
  <c r="CB52" i="2"/>
  <c r="CA52" i="2"/>
  <c r="BZ52" i="2"/>
  <c r="BP52" i="2"/>
  <c r="BX52" i="2" s="1"/>
  <c r="BO52" i="2"/>
  <c r="BW52" i="2" s="1"/>
  <c r="BN52" i="2"/>
  <c r="CQ52" i="2" s="1"/>
  <c r="BM52" i="2"/>
  <c r="CP52" i="2" s="1"/>
  <c r="BL52" i="2"/>
  <c r="BK52" i="2"/>
  <c r="B52" i="2"/>
  <c r="AX55" i="2" s="1"/>
  <c r="CE51" i="2"/>
  <c r="CD51" i="2"/>
  <c r="CC51" i="2"/>
  <c r="CB51" i="2"/>
  <c r="CA51" i="2"/>
  <c r="BZ51" i="2"/>
  <c r="BS51" i="2"/>
  <c r="CU51" i="2" s="1"/>
  <c r="BP51" i="2"/>
  <c r="CS51" i="2" s="1"/>
  <c r="BO51" i="2"/>
  <c r="CR51" i="2" s="1"/>
  <c r="BN51" i="2"/>
  <c r="BV51" i="2" s="1"/>
  <c r="BM51" i="2"/>
  <c r="BU51" i="2" s="1"/>
  <c r="BL51" i="2"/>
  <c r="AE72" i="2" s="1"/>
  <c r="BK51" i="2"/>
  <c r="B51" i="2"/>
  <c r="AX54" i="2" s="1"/>
  <c r="CS50" i="2"/>
  <c r="CE50" i="2"/>
  <c r="CD50" i="2"/>
  <c r="CC50" i="2"/>
  <c r="CB50" i="2"/>
  <c r="CA50" i="2"/>
  <c r="BZ50" i="2"/>
  <c r="BP50" i="2"/>
  <c r="BX50" i="2" s="1"/>
  <c r="BO50" i="2"/>
  <c r="BW50" i="2" s="1"/>
  <c r="BN50" i="2"/>
  <c r="CQ50" i="2" s="1"/>
  <c r="BM50" i="2"/>
  <c r="CP50" i="2" s="1"/>
  <c r="BL50" i="2"/>
  <c r="CO50" i="2" s="1"/>
  <c r="BK50" i="2"/>
  <c r="AX50" i="2"/>
  <c r="B50" i="2"/>
  <c r="CE49" i="2"/>
  <c r="CD49" i="2"/>
  <c r="CC49" i="2"/>
  <c r="CB49" i="2"/>
  <c r="CA49" i="2"/>
  <c r="BZ49" i="2"/>
  <c r="BP49" i="2"/>
  <c r="CS49" i="2" s="1"/>
  <c r="BO49" i="2"/>
  <c r="CR49" i="2" s="1"/>
  <c r="BN49" i="2"/>
  <c r="BV49" i="2" s="1"/>
  <c r="BM49" i="2"/>
  <c r="BU49" i="2" s="1"/>
  <c r="BL49" i="2"/>
  <c r="BT49" i="2" s="1"/>
  <c r="CH49" i="2" s="1"/>
  <c r="BK49" i="2"/>
  <c r="BS49" i="2" s="1"/>
  <c r="B49" i="2"/>
  <c r="AX52" i="2" s="1"/>
  <c r="CE48" i="2"/>
  <c r="CD48" i="2"/>
  <c r="CC48" i="2"/>
  <c r="CB48" i="2"/>
  <c r="CA48" i="2"/>
  <c r="BZ48" i="2"/>
  <c r="BP48" i="2"/>
  <c r="BX48" i="2" s="1"/>
  <c r="BO48" i="2"/>
  <c r="BW48" i="2" s="1"/>
  <c r="BN48" i="2"/>
  <c r="CQ48" i="2" s="1"/>
  <c r="BM48" i="2"/>
  <c r="CP48" i="2" s="1"/>
  <c r="BL48" i="2"/>
  <c r="CO48" i="2" s="1"/>
  <c r="BK48" i="2"/>
  <c r="AX48" i="2"/>
  <c r="B48" i="2"/>
  <c r="AX51" i="2" s="1"/>
  <c r="CQ47" i="2"/>
  <c r="CE47" i="2"/>
  <c r="CD47" i="2"/>
  <c r="CC47" i="2"/>
  <c r="CB47" i="2"/>
  <c r="CA47" i="2"/>
  <c r="BZ47" i="2"/>
  <c r="BP47" i="2"/>
  <c r="CS47" i="2" s="1"/>
  <c r="BO47" i="2"/>
  <c r="CR47" i="2" s="1"/>
  <c r="BN47" i="2"/>
  <c r="BV47" i="2" s="1"/>
  <c r="BM47" i="2"/>
  <c r="BU47" i="2" s="1"/>
  <c r="BL47" i="2"/>
  <c r="BK47" i="2"/>
  <c r="BS47" i="2" s="1"/>
  <c r="AX47" i="2"/>
  <c r="B47" i="2"/>
  <c r="CE46" i="2"/>
  <c r="CD46" i="2"/>
  <c r="CC46" i="2"/>
  <c r="CB46" i="2"/>
  <c r="CA46" i="2"/>
  <c r="BZ46" i="2"/>
  <c r="BP46" i="2"/>
  <c r="CS46" i="2" s="1"/>
  <c r="BO46" i="2"/>
  <c r="BW46" i="2" s="1"/>
  <c r="BN46" i="2"/>
  <c r="CQ46" i="2" s="1"/>
  <c r="BM46" i="2"/>
  <c r="CP46" i="2" s="1"/>
  <c r="BL46" i="2"/>
  <c r="BK46" i="2"/>
  <c r="B46" i="2"/>
  <c r="AX49" i="2" s="1"/>
  <c r="CQ45" i="2"/>
  <c r="CE45" i="2"/>
  <c r="CD45" i="2"/>
  <c r="CC45" i="2"/>
  <c r="CB45" i="2"/>
  <c r="CA45" i="2"/>
  <c r="BZ45" i="2"/>
  <c r="BS45" i="2"/>
  <c r="CU45" i="2" s="1"/>
  <c r="BP45" i="2"/>
  <c r="CS45" i="2" s="1"/>
  <c r="BO45" i="2"/>
  <c r="CR45" i="2" s="1"/>
  <c r="BN45" i="2"/>
  <c r="BV45" i="2" s="1"/>
  <c r="CX45" i="2" s="1"/>
  <c r="BM45" i="2"/>
  <c r="BU45" i="2" s="1"/>
  <c r="BL45" i="2"/>
  <c r="CO45" i="2" s="1"/>
  <c r="BK45" i="2"/>
  <c r="B45" i="2"/>
  <c r="CE44" i="2"/>
  <c r="CD44" i="2"/>
  <c r="CC44" i="2"/>
  <c r="CB44" i="2"/>
  <c r="CA44" i="2"/>
  <c r="BZ44" i="2"/>
  <c r="BP44" i="2"/>
  <c r="CS44" i="2" s="1"/>
  <c r="BO44" i="2"/>
  <c r="BW44" i="2" s="1"/>
  <c r="BN44" i="2"/>
  <c r="CQ44" i="2" s="1"/>
  <c r="BM44" i="2"/>
  <c r="CP44" i="2" s="1"/>
  <c r="BL44" i="2"/>
  <c r="CO44" i="2" s="1"/>
  <c r="BK44" i="2"/>
  <c r="B44" i="2"/>
  <c r="CO43" i="2"/>
  <c r="CE43" i="2"/>
  <c r="CD43" i="2"/>
  <c r="CC43" i="2"/>
  <c r="CB43" i="2"/>
  <c r="CA43" i="2"/>
  <c r="BZ43" i="2"/>
  <c r="BT43" i="2"/>
  <c r="CH43" i="2" s="1"/>
  <c r="BP43" i="2"/>
  <c r="CS43" i="2" s="1"/>
  <c r="BO43" i="2"/>
  <c r="CR43" i="2" s="1"/>
  <c r="BN43" i="2"/>
  <c r="CQ43" i="2" s="1"/>
  <c r="BM43" i="2"/>
  <c r="BU43" i="2" s="1"/>
  <c r="BL43" i="2"/>
  <c r="BK43" i="2"/>
  <c r="BS43" i="2" s="1"/>
  <c r="CU43" i="2" s="1"/>
  <c r="AX43" i="2"/>
  <c r="B43" i="2"/>
  <c r="AX46" i="2" s="1"/>
  <c r="CE42" i="2"/>
  <c r="CD42" i="2"/>
  <c r="CC42" i="2"/>
  <c r="CB42" i="2"/>
  <c r="CA42" i="2"/>
  <c r="BZ42" i="2"/>
  <c r="BU42" i="2"/>
  <c r="CW42" i="2" s="1"/>
  <c r="BP42" i="2"/>
  <c r="CS42" i="2" s="1"/>
  <c r="BO42" i="2"/>
  <c r="BW42" i="2" s="1"/>
  <c r="BN42" i="2"/>
  <c r="CQ42" i="2" s="1"/>
  <c r="BM42" i="2"/>
  <c r="CP42" i="2" s="1"/>
  <c r="BL42" i="2"/>
  <c r="CO42" i="2" s="1"/>
  <c r="BK42" i="2"/>
  <c r="B42" i="2"/>
  <c r="AX45" i="2" s="1"/>
  <c r="CE41" i="2"/>
  <c r="CD41" i="2"/>
  <c r="CC41" i="2"/>
  <c r="CB41" i="2"/>
  <c r="CA41" i="2"/>
  <c r="BZ41" i="2"/>
  <c r="BP41" i="2"/>
  <c r="BX41" i="2" s="1"/>
  <c r="CZ41" i="2" s="1"/>
  <c r="BO41" i="2"/>
  <c r="CR41" i="2" s="1"/>
  <c r="BN41" i="2"/>
  <c r="CQ41" i="2" s="1"/>
  <c r="BM41" i="2"/>
  <c r="BU41" i="2" s="1"/>
  <c r="BL41" i="2"/>
  <c r="CO41" i="2" s="1"/>
  <c r="BK41" i="2"/>
  <c r="BS41" i="2" s="1"/>
  <c r="CU41" i="2" s="1"/>
  <c r="B41" i="2"/>
  <c r="AX44" i="2" s="1"/>
  <c r="CE40" i="2"/>
  <c r="CD40" i="2"/>
  <c r="CC40" i="2"/>
  <c r="CB40" i="2"/>
  <c r="CA40" i="2"/>
  <c r="BZ40" i="2"/>
  <c r="BP40" i="2"/>
  <c r="BX40" i="2" s="1"/>
  <c r="BO40" i="2"/>
  <c r="BW40" i="2" s="1"/>
  <c r="BN40" i="2"/>
  <c r="CQ40" i="2" s="1"/>
  <c r="BM40" i="2"/>
  <c r="CP40" i="2" s="1"/>
  <c r="BL40" i="2"/>
  <c r="BK40" i="2"/>
  <c r="B40" i="2"/>
  <c r="B39" i="2"/>
  <c r="AX42" i="2" s="1"/>
  <c r="B38" i="2"/>
  <c r="AX41" i="2" s="1"/>
  <c r="B37" i="2"/>
  <c r="AX40" i="2" s="1"/>
  <c r="AO36" i="2"/>
  <c r="AN36" i="2"/>
  <c r="AM36" i="2"/>
  <c r="AL36" i="2"/>
  <c r="AK36" i="2"/>
  <c r="AJ36" i="2"/>
  <c r="AJ35" i="2"/>
  <c r="AI35" i="2"/>
  <c r="AG35" i="2"/>
  <c r="AE35" i="2"/>
  <c r="AC35" i="2"/>
  <c r="AA35" i="2"/>
  <c r="Y35" i="2"/>
  <c r="W35" i="2"/>
  <c r="U35" i="2"/>
  <c r="S35" i="2"/>
  <c r="Q35" i="2"/>
  <c r="O35" i="2"/>
  <c r="M35" i="2"/>
  <c r="K35" i="2"/>
  <c r="G35" i="2"/>
  <c r="E35" i="2"/>
  <c r="C35" i="2"/>
  <c r="B35" i="2"/>
  <c r="A34" i="2"/>
  <c r="B3" i="1" s="1"/>
  <c r="A33" i="2"/>
  <c r="R32" i="2"/>
  <c r="C32" i="2"/>
  <c r="BS31" i="2"/>
  <c r="BM31" i="2"/>
  <c r="AM31" i="2"/>
  <c r="AD31" i="2"/>
  <c r="AA31" i="2"/>
  <c r="R31" i="2"/>
  <c r="N31" i="2"/>
  <c r="C31" i="2"/>
  <c r="BS30" i="2"/>
  <c r="BM30" i="2"/>
  <c r="AN30" i="2"/>
  <c r="AM30" i="2"/>
  <c r="AD30" i="2"/>
  <c r="AA30" i="2"/>
  <c r="R30" i="2"/>
  <c r="N30" i="2"/>
  <c r="C30" i="2"/>
  <c r="BS29" i="2"/>
  <c r="BM29" i="2"/>
  <c r="AM29" i="2"/>
  <c r="AK29" i="2"/>
  <c r="AN29" i="2" s="1"/>
  <c r="AA29" i="2"/>
  <c r="R29" i="2"/>
  <c r="N29" i="2"/>
  <c r="C29" i="2"/>
  <c r="BS28" i="2"/>
  <c r="BM28" i="2"/>
  <c r="AM28" i="2"/>
  <c r="AK28" i="2"/>
  <c r="AN28" i="2" s="1"/>
  <c r="AB28" i="2"/>
  <c r="AA28" i="2"/>
  <c r="R28" i="2"/>
  <c r="N28" i="2"/>
  <c r="C28" i="2"/>
  <c r="BS27" i="2"/>
  <c r="BM27" i="2"/>
  <c r="AM27" i="2"/>
  <c r="AD27" i="2"/>
  <c r="AB27" i="2"/>
  <c r="AA27" i="2"/>
  <c r="R27" i="2"/>
  <c r="N27" i="2"/>
  <c r="C27" i="2"/>
  <c r="BS26" i="2"/>
  <c r="BM26" i="2"/>
  <c r="AM26" i="2"/>
  <c r="AK26" i="2"/>
  <c r="AN26" i="2" s="1"/>
  <c r="AB26" i="2"/>
  <c r="AA26" i="2"/>
  <c r="R26" i="2"/>
  <c r="J26" i="2"/>
  <c r="C26" i="2"/>
  <c r="BS25" i="2"/>
  <c r="BM25" i="2"/>
  <c r="AM25" i="2"/>
  <c r="AK25" i="2"/>
  <c r="AN25" i="2" s="1"/>
  <c r="AB25" i="2"/>
  <c r="AA25" i="2"/>
  <c r="R25" i="2"/>
  <c r="C25" i="2"/>
  <c r="BS24" i="2"/>
  <c r="BM24" i="2"/>
  <c r="AN24" i="2"/>
  <c r="AM24" i="2"/>
  <c r="AD24" i="2"/>
  <c r="AB24" i="2"/>
  <c r="AA24" i="2"/>
  <c r="R24" i="2"/>
  <c r="C24" i="2"/>
  <c r="BS23" i="2"/>
  <c r="BM23" i="2"/>
  <c r="AM23" i="2"/>
  <c r="AD23" i="2"/>
  <c r="AB23" i="2"/>
  <c r="AA23" i="2"/>
  <c r="R23" i="2"/>
  <c r="C23" i="2"/>
  <c r="BS22" i="2"/>
  <c r="BM22" i="2"/>
  <c r="AM22" i="2"/>
  <c r="AD22" i="2"/>
  <c r="AA22" i="2"/>
  <c r="C22" i="2"/>
  <c r="BS21" i="2"/>
  <c r="BM21" i="2"/>
  <c r="AI21" i="2"/>
  <c r="AD21" i="2"/>
  <c r="AB21" i="2"/>
  <c r="AA21" i="2"/>
  <c r="R21" i="2"/>
  <c r="C21" i="2"/>
  <c r="BS20" i="2"/>
  <c r="BM20" i="2"/>
  <c r="G20" i="2"/>
  <c r="B20" i="2"/>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G15" i="2"/>
  <c r="BS14" i="2"/>
  <c r="BM14" i="2"/>
  <c r="BE14" i="2"/>
  <c r="BD14" i="2"/>
  <c r="BC14" i="2"/>
  <c r="BB14" i="2"/>
  <c r="BA14" i="2"/>
  <c r="AZ14" i="2"/>
  <c r="AY14" i="2"/>
  <c r="AX14" i="2"/>
  <c r="AJ14" i="2"/>
  <c r="G14" i="2"/>
  <c r="BS13" i="2"/>
  <c r="BM13" i="2"/>
  <c r="BE13" i="2"/>
  <c r="BD13" i="2"/>
  <c r="BC13" i="2"/>
  <c r="BB13" i="2"/>
  <c r="BA13" i="2"/>
  <c r="AZ13" i="2"/>
  <c r="AY13" i="2"/>
  <c r="AX13" i="2"/>
  <c r="AJ13" i="2"/>
  <c r="G13" i="2"/>
  <c r="BS12" i="2"/>
  <c r="BM12" i="2"/>
  <c r="BE12" i="2"/>
  <c r="BD12" i="2"/>
  <c r="BC12" i="2"/>
  <c r="BB12" i="2"/>
  <c r="BA12" i="2"/>
  <c r="AZ12" i="2"/>
  <c r="AY12" i="2"/>
  <c r="AX12" i="2"/>
  <c r="AJ12" i="2"/>
  <c r="G12" i="2"/>
  <c r="BS11" i="2"/>
  <c r="BM11" i="2"/>
  <c r="BE11" i="2"/>
  <c r="BD11" i="2"/>
  <c r="BC11" i="2"/>
  <c r="BB11" i="2"/>
  <c r="BA11" i="2"/>
  <c r="AZ11" i="2"/>
  <c r="AY11" i="2"/>
  <c r="AX11" i="2"/>
  <c r="AJ11" i="2"/>
  <c r="G11" i="2"/>
  <c r="BS10" i="2"/>
  <c r="BM10" i="2"/>
  <c r="BE10" i="2"/>
  <c r="BD10" i="2"/>
  <c r="BC10" i="2"/>
  <c r="BB10" i="2"/>
  <c r="BA10" i="2"/>
  <c r="AZ10" i="2"/>
  <c r="AY10" i="2"/>
  <c r="AX10" i="2"/>
  <c r="AJ10" i="2"/>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BO1" i="2" s="1" a="1"/>
  <c r="BO1" i="2" s="1"/>
  <c r="CA2" i="2"/>
  <c r="BZ2" i="2"/>
  <c r="BY2" i="2"/>
  <c r="BE2" i="2"/>
  <c r="BD2" i="2"/>
  <c r="BC2" i="2"/>
  <c r="BB2" i="2"/>
  <c r="BA2" i="2"/>
  <c r="AZ2" i="2"/>
  <c r="AY2" i="2"/>
  <c r="AX2" i="2"/>
  <c r="AJ2" i="2"/>
  <c r="G2" i="2"/>
  <c r="AN1" i="2"/>
  <c r="AL1" i="2"/>
  <c r="AJ1" i="2"/>
  <c r="AI1" i="2"/>
  <c r="AH1" i="2"/>
  <c r="AG1" i="2"/>
  <c r="AF1" i="2"/>
  <c r="AD1" i="2"/>
  <c r="AB1" i="2"/>
  <c r="AA1" i="2"/>
  <c r="Z1" i="2"/>
  <c r="O1" i="2"/>
  <c r="N1" i="2"/>
  <c r="M1" i="2"/>
  <c r="L1" i="2"/>
  <c r="K1" i="2"/>
  <c r="J1" i="2"/>
  <c r="G1" i="2"/>
  <c r="C1" i="2"/>
  <c r="B1" i="2"/>
  <c r="B17" i="1"/>
  <c r="B16" i="1"/>
  <c r="B15" i="1"/>
  <c r="B14" i="1"/>
  <c r="B13" i="1"/>
  <c r="B12" i="1"/>
  <c r="B11" i="1"/>
  <c r="B10" i="1"/>
  <c r="B7" i="1"/>
  <c r="B5" i="1"/>
  <c r="B2" i="1"/>
  <c r="B1" i="1"/>
  <c r="CU47" i="2" l="1"/>
  <c r="U87" i="7"/>
  <c r="CU49" i="2"/>
  <c r="U63" i="7"/>
  <c r="I2" i="3"/>
  <c r="I3" i="3" s="1"/>
  <c r="AJ63" i="7"/>
  <c r="K2" i="3"/>
  <c r="K3" i="3" s="1"/>
  <c r="U63" i="6"/>
  <c r="F63" i="6"/>
  <c r="A2" i="3"/>
  <c r="A3" i="3" s="1"/>
  <c r="B2" i="3"/>
  <c r="B3" i="3" s="1"/>
  <c r="I19" i="5"/>
  <c r="AD25" i="5" s="1"/>
  <c r="CS41" i="2"/>
  <c r="BW43" i="2"/>
  <c r="CY43" i="2" s="1"/>
  <c r="BV46" i="2"/>
  <c r="CX46" i="2" s="1"/>
  <c r="BW54" i="2"/>
  <c r="CY54" i="2" s="1"/>
  <c r="BT42" i="2"/>
  <c r="CH42" i="2" s="1"/>
  <c r="BW47" i="2"/>
  <c r="CY47" i="2" s="1"/>
  <c r="BU48" i="2"/>
  <c r="CW48" i="2" s="1"/>
  <c r="BU52" i="2"/>
  <c r="CW52" i="2" s="1"/>
  <c r="BX54" i="2"/>
  <c r="BU55" i="2"/>
  <c r="CI55" i="2" s="1"/>
  <c r="BU40" i="2"/>
  <c r="CW40" i="2" s="1"/>
  <c r="BT41" i="2"/>
  <c r="CH41" i="2" s="1"/>
  <c r="AG66" i="2"/>
  <c r="BW45" i="2"/>
  <c r="CY45" i="2" s="1"/>
  <c r="AC67" i="2"/>
  <c r="BW49" i="2"/>
  <c r="CY49" i="2" s="1"/>
  <c r="BT51" i="2"/>
  <c r="CV51" i="2" s="1"/>
  <c r="BV52" i="2"/>
  <c r="CS52" i="2"/>
  <c r="BS54" i="2"/>
  <c r="CU54" i="2" s="1"/>
  <c r="BU44" i="2"/>
  <c r="CW44" i="2" s="1"/>
  <c r="BV50" i="2"/>
  <c r="CJ50" i="2" s="1"/>
  <c r="BX51" i="2"/>
  <c r="BW53" i="2"/>
  <c r="CK53" i="2" s="1"/>
  <c r="BW41" i="2"/>
  <c r="CY41" i="2" s="1"/>
  <c r="AF66" i="2"/>
  <c r="BU46" i="2"/>
  <c r="CW46" i="2" s="1"/>
  <c r="AF68" i="2"/>
  <c r="T68" i="2" s="1"/>
  <c r="N68" i="2" s="1"/>
  <c r="M9" i="2" s="1"/>
  <c r="BX49" i="2"/>
  <c r="BU50" i="2"/>
  <c r="CW50" i="2" s="1"/>
  <c r="AF72" i="2"/>
  <c r="BW51" i="2"/>
  <c r="CY51" i="2" s="1"/>
  <c r="CQ51" i="2"/>
  <c r="BV53" i="2"/>
  <c r="CX53" i="2" s="1"/>
  <c r="BT54" i="2"/>
  <c r="CV54" i="2" s="1"/>
  <c r="CY53" i="2"/>
  <c r="CW55" i="2"/>
  <c r="BO2" i="2" a="1"/>
  <c r="BO2" i="2" s="1"/>
  <c r="CG53" i="2"/>
  <c r="Z76" i="2"/>
  <c r="X75" i="2"/>
  <c r="S75" i="2"/>
  <c r="M75" i="2" s="1"/>
  <c r="L16" i="2" s="1"/>
  <c r="AA74" i="2"/>
  <c r="W74" i="2"/>
  <c r="Y73" i="2"/>
  <c r="Y76" i="2"/>
  <c r="AA75" i="2"/>
  <c r="W75" i="2"/>
  <c r="BA74" i="2"/>
  <c r="Z74" i="2"/>
  <c r="Z75" i="2"/>
  <c r="AA73" i="2"/>
  <c r="Y72" i="2"/>
  <c r="T72" i="2"/>
  <c r="N72" i="2" s="1"/>
  <c r="M13" i="2" s="1"/>
  <c r="X71" i="2"/>
  <c r="AA70" i="2"/>
  <c r="W70" i="2"/>
  <c r="AA69" i="2"/>
  <c r="W69" i="2"/>
  <c r="Y68" i="2"/>
  <c r="Z67" i="2"/>
  <c r="Q67" i="2"/>
  <c r="K67" i="2" s="1"/>
  <c r="J8" i="2" s="1"/>
  <c r="Z66" i="2"/>
  <c r="U66" i="2"/>
  <c r="O66" i="2" s="1"/>
  <c r="N7" i="2" s="1"/>
  <c r="Y65" i="2"/>
  <c r="AA64" i="2"/>
  <c r="W64" i="2"/>
  <c r="Y63" i="2"/>
  <c r="AA76" i="2"/>
  <c r="Y75" i="2"/>
  <c r="Y74" i="2"/>
  <c r="Z73" i="2"/>
  <c r="X72" i="2"/>
  <c r="S72" i="2"/>
  <c r="M72" i="2" s="1"/>
  <c r="L13" i="2" s="1"/>
  <c r="AA71" i="2"/>
  <c r="W71" i="2"/>
  <c r="Z70" i="2"/>
  <c r="Z69" i="2"/>
  <c r="X68" i="2"/>
  <c r="Y67" i="2"/>
  <c r="Y66" i="2"/>
  <c r="T66" i="2"/>
  <c r="N66" i="2" s="1"/>
  <c r="M7" i="2" s="1"/>
  <c r="X65" i="2"/>
  <c r="W76" i="2"/>
  <c r="AA72" i="2"/>
  <c r="X69" i="2"/>
  <c r="AA67" i="2"/>
  <c r="X64" i="2"/>
  <c r="X63" i="2"/>
  <c r="Y62" i="2"/>
  <c r="X61" i="2"/>
  <c r="CT58" i="2"/>
  <c r="CT57" i="2" s="1"/>
  <c r="CP58" i="2"/>
  <c r="CP57" i="2" s="1"/>
  <c r="CL58" i="2"/>
  <c r="CL57" i="2" s="1"/>
  <c r="CH58" i="2"/>
  <c r="CH57" i="2" s="1"/>
  <c r="BB55" i="2"/>
  <c r="BA54" i="2"/>
  <c r="AZ53" i="2"/>
  <c r="BC52" i="2"/>
  <c r="AY52" i="2"/>
  <c r="BA51" i="2"/>
  <c r="BC50" i="2"/>
  <c r="AY50" i="2"/>
  <c r="BA49" i="2"/>
  <c r="BC48" i="2"/>
  <c r="AY48" i="2"/>
  <c r="BA47" i="2"/>
  <c r="BC46" i="2"/>
  <c r="AY46" i="2"/>
  <c r="BA45" i="2"/>
  <c r="BC44" i="2"/>
  <c r="AY44" i="2"/>
  <c r="BA43" i="2"/>
  <c r="BC42" i="2"/>
  <c r="AY42" i="2"/>
  <c r="BA41" i="2"/>
  <c r="BC40" i="2"/>
  <c r="AY40" i="2"/>
  <c r="AK22" i="2"/>
  <c r="AN22" i="2" s="1"/>
  <c r="Y22" i="2"/>
  <c r="X73" i="2"/>
  <c r="Z72" i="2"/>
  <c r="Z71" i="2"/>
  <c r="AA68" i="2"/>
  <c r="X67" i="2"/>
  <c r="AA66" i="2"/>
  <c r="AA65" i="2"/>
  <c r="W63" i="2"/>
  <c r="X62" i="2"/>
  <c r="AA61" i="2"/>
  <c r="W61" i="2"/>
  <c r="W73" i="2"/>
  <c r="W72" i="2"/>
  <c r="Y71" i="2"/>
  <c r="Y70" i="2"/>
  <c r="Z68" i="2"/>
  <c r="W67" i="2"/>
  <c r="X66" i="2"/>
  <c r="Z65" i="2"/>
  <c r="Z64" i="2"/>
  <c r="AA63" i="2"/>
  <c r="AA62" i="2"/>
  <c r="W62" i="2"/>
  <c r="Z61" i="2"/>
  <c r="CV58" i="2"/>
  <c r="CV57" i="2" s="1"/>
  <c r="CR58" i="2"/>
  <c r="CR57" i="2" s="1"/>
  <c r="CN58" i="2"/>
  <c r="CN57" i="2" s="1"/>
  <c r="CJ58" i="2"/>
  <c r="CJ57" i="2" s="1"/>
  <c r="AZ55" i="2"/>
  <c r="BC54" i="2"/>
  <c r="AY54" i="2"/>
  <c r="BB53" i="2"/>
  <c r="BA52" i="2"/>
  <c r="BC51" i="2"/>
  <c r="AY51" i="2"/>
  <c r="BA50" i="2"/>
  <c r="BC49" i="2"/>
  <c r="AY49" i="2"/>
  <c r="BA48" i="2"/>
  <c r="BC47" i="2"/>
  <c r="AY47" i="2"/>
  <c r="BA46" i="2"/>
  <c r="BC45" i="2"/>
  <c r="AY45" i="2"/>
  <c r="BA44" i="2"/>
  <c r="BC43" i="2"/>
  <c r="AY43" i="2"/>
  <c r="BA42" i="2"/>
  <c r="BC41" i="2"/>
  <c r="AY41" i="2"/>
  <c r="BA40" i="2"/>
  <c r="W32" i="2"/>
  <c r="Y30" i="2"/>
  <c r="AB30" i="2" s="1"/>
  <c r="AK23" i="2"/>
  <c r="AN23" i="2" s="1"/>
  <c r="X76" i="2"/>
  <c r="X74" i="2"/>
  <c r="X70" i="2"/>
  <c r="Y69" i="2"/>
  <c r="W68" i="2"/>
  <c r="W66" i="2"/>
  <c r="W65" i="2"/>
  <c r="Y64" i="2"/>
  <c r="Z63" i="2"/>
  <c r="Z62" i="2"/>
  <c r="Y61" i="2"/>
  <c r="CU58" i="2"/>
  <c r="CU57" i="2" s="1"/>
  <c r="CQ58" i="2"/>
  <c r="CQ57" i="2" s="1"/>
  <c r="CM58" i="2"/>
  <c r="CM57" i="2" s="1"/>
  <c r="CI58" i="2"/>
  <c r="CI57" i="2" s="1"/>
  <c r="BC55" i="2"/>
  <c r="AY55" i="2"/>
  <c r="BB54" i="2"/>
  <c r="BA53" i="2"/>
  <c r="AZ52" i="2"/>
  <c r="BB51" i="2"/>
  <c r="AZ50" i="2"/>
  <c r="BB49" i="2"/>
  <c r="CO58" i="2"/>
  <c r="CO57" i="2" s="1"/>
  <c r="AY53" i="2"/>
  <c r="BB52" i="2"/>
  <c r="AZ49" i="2"/>
  <c r="BB44" i="2"/>
  <c r="BB43" i="2"/>
  <c r="AZ42" i="2"/>
  <c r="AZ41" i="2"/>
  <c r="AR16" i="2"/>
  <c r="AT16" i="2" s="1"/>
  <c r="BV2" i="2"/>
  <c r="I2" i="2"/>
  <c r="AR17" i="2"/>
  <c r="AT17" i="2" s="1"/>
  <c r="AR15" i="2"/>
  <c r="AT15" i="2" s="1"/>
  <c r="AR11" i="2"/>
  <c r="AR7" i="2"/>
  <c r="AT7" i="2" s="1"/>
  <c r="AR4" i="2"/>
  <c r="AT4" i="2" s="1"/>
  <c r="BG2" i="2"/>
  <c r="BB50" i="2"/>
  <c r="AZ48" i="2"/>
  <c r="AZ47" i="2"/>
  <c r="BB42" i="2"/>
  <c r="I16" i="2"/>
  <c r="AS16" i="2" s="1"/>
  <c r="BG10" i="2"/>
  <c r="BW2" i="2"/>
  <c r="Y31" i="2" s="1"/>
  <c r="AB31" i="2" s="1"/>
  <c r="CK58" i="2"/>
  <c r="CK57" i="2" s="1"/>
  <c r="AZ54" i="2"/>
  <c r="AZ51" i="2"/>
  <c r="BB46" i="2"/>
  <c r="BB45" i="2"/>
  <c r="AZ44" i="2"/>
  <c r="AZ43" i="2"/>
  <c r="I17" i="2"/>
  <c r="AS17" i="2" s="1"/>
  <c r="BG16" i="2"/>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BI2" i="2"/>
  <c r="BJ2" i="2" s="1"/>
  <c r="AR2" i="2"/>
  <c r="R22" i="2"/>
  <c r="AR14" i="2"/>
  <c r="AT14" i="2" s="1"/>
  <c r="BI13" i="2"/>
  <c r="BJ13" i="2" s="1"/>
  <c r="BI12" i="2"/>
  <c r="BJ12" i="2" s="1"/>
  <c r="AR10" i="2"/>
  <c r="AR9" i="2"/>
  <c r="BI7" i="2"/>
  <c r="BJ7" i="2" s="1"/>
  <c r="BI6" i="2"/>
  <c r="BJ6" i="2" s="1"/>
  <c r="BI4" i="2"/>
  <c r="BJ4" i="2" s="1"/>
  <c r="BI3" i="2"/>
  <c r="BJ3" i="2" s="1"/>
  <c r="CS58" i="2"/>
  <c r="CS57" i="2" s="1"/>
  <c r="BC53" i="2"/>
  <c r="BG14" i="2"/>
  <c r="BG12" i="2"/>
  <c r="BG11" i="2"/>
  <c r="BG7" i="2"/>
  <c r="BG6" i="2"/>
  <c r="BG4" i="2"/>
  <c r="BG3" i="2"/>
  <c r="CG58" i="2"/>
  <c r="CG57" i="2" s="1"/>
  <c r="BA55" i="2"/>
  <c r="BB48" i="2"/>
  <c r="BB47" i="2"/>
  <c r="AZ46" i="2"/>
  <c r="AZ45" i="2"/>
  <c r="BB40" i="2"/>
  <c r="BI14" i="2"/>
  <c r="BJ14" i="2" s="1"/>
  <c r="AR13" i="2"/>
  <c r="AT13" i="2" s="1"/>
  <c r="AR12" i="2"/>
  <c r="AT12" i="2" s="1"/>
  <c r="BI11" i="2"/>
  <c r="BJ11" i="2" s="1"/>
  <c r="BI10" i="2"/>
  <c r="BJ10" i="2" s="1"/>
  <c r="BI9" i="2"/>
  <c r="BJ9" i="2" s="1"/>
  <c r="BI8" i="2"/>
  <c r="BJ8" i="2" s="1"/>
  <c r="AR8" i="2"/>
  <c r="AR6" i="2"/>
  <c r="AT6" i="2" s="1"/>
  <c r="BI5" i="2"/>
  <c r="BJ5" i="2" s="1"/>
  <c r="AR5" i="2"/>
  <c r="AT5" i="2" s="1"/>
  <c r="AR3" i="2"/>
  <c r="AT3" i="2" s="1"/>
  <c r="BB41" i="2"/>
  <c r="AZ40" i="2"/>
  <c r="BG17" i="2"/>
  <c r="BG15" i="2"/>
  <c r="BG13" i="2"/>
  <c r="BG9" i="2"/>
  <c r="BG8" i="2"/>
  <c r="BG5" i="2"/>
  <c r="CZ40" i="2"/>
  <c r="CL40" i="2"/>
  <c r="CX47" i="2"/>
  <c r="CJ47" i="2"/>
  <c r="AS2" i="2"/>
  <c r="CZ48" i="2"/>
  <c r="CL48" i="2"/>
  <c r="CS40" i="2"/>
  <c r="CV42" i="2"/>
  <c r="CV43" i="2"/>
  <c r="CS48" i="2"/>
  <c r="CX49" i="2"/>
  <c r="CJ49" i="2"/>
  <c r="CV49" i="2"/>
  <c r="AF105" i="7"/>
  <c r="Q105" i="7"/>
  <c r="B81" i="7"/>
  <c r="Q81" i="7"/>
  <c r="Q57" i="7"/>
  <c r="Q33" i="7"/>
  <c r="AF9" i="7"/>
  <c r="B57" i="7"/>
  <c r="B33" i="7"/>
  <c r="Q9" i="7"/>
  <c r="AF105" i="6"/>
  <c r="Q81" i="6"/>
  <c r="Q57" i="6"/>
  <c r="B105" i="7"/>
  <c r="AU57" i="7"/>
  <c r="AU33" i="7"/>
  <c r="AU81" i="6"/>
  <c r="AU33" i="6"/>
  <c r="AF57" i="7"/>
  <c r="AF33" i="7"/>
  <c r="AU105" i="6"/>
  <c r="AF81" i="6"/>
  <c r="AU57" i="6"/>
  <c r="AF33" i="6"/>
  <c r="AU9" i="6"/>
  <c r="AU81" i="7"/>
  <c r="AU9" i="7"/>
  <c r="Q105" i="6"/>
  <c r="B81" i="6"/>
  <c r="AU105" i="7"/>
  <c r="AF81" i="7"/>
  <c r="AF57" i="6"/>
  <c r="Q33" i="6"/>
  <c r="AF9" i="6"/>
  <c r="B57" i="6"/>
  <c r="B33" i="6"/>
  <c r="Q9" i="6"/>
  <c r="B105" i="6"/>
  <c r="BE18" i="7"/>
  <c r="BE18" i="6"/>
  <c r="AP42" i="6"/>
  <c r="AP42" i="7"/>
  <c r="AA90" i="7"/>
  <c r="AA90" i="6"/>
  <c r="L114" i="7"/>
  <c r="L114" i="6"/>
  <c r="AV99" i="7"/>
  <c r="AV99" i="6"/>
  <c r="D9" i="7"/>
  <c r="D9" i="6"/>
  <c r="CL41" i="2"/>
  <c r="CV41" i="2"/>
  <c r="AG64" i="2"/>
  <c r="U64" i="2" s="1"/>
  <c r="O64" i="2" s="1"/>
  <c r="N5" i="2" s="1"/>
  <c r="BV43" i="2"/>
  <c r="CY44" i="2"/>
  <c r="CK44" i="2"/>
  <c r="BV44" i="2"/>
  <c r="BX46" i="2"/>
  <c r="CJ46" i="2"/>
  <c r="CW47" i="2"/>
  <c r="CI47" i="2"/>
  <c r="BX47" i="2"/>
  <c r="BT48" i="2"/>
  <c r="AC70" i="2"/>
  <c r="Q70" i="2" s="1"/>
  <c r="K70" i="2" s="1"/>
  <c r="J11" i="2" s="1"/>
  <c r="CY50" i="2"/>
  <c r="CK50" i="2"/>
  <c r="AE73" i="2"/>
  <c r="S73" i="2" s="1"/>
  <c r="M73" i="2" s="1"/>
  <c r="L14" i="2" s="1"/>
  <c r="BT52" i="2"/>
  <c r="CZ52" i="2"/>
  <c r="CL52" i="2"/>
  <c r="CX55" i="2"/>
  <c r="CJ55" i="2"/>
  <c r="AN89" i="7"/>
  <c r="J89" i="7"/>
  <c r="AN65" i="7"/>
  <c r="J113" i="7"/>
  <c r="BC65" i="7"/>
  <c r="J65" i="7"/>
  <c r="AN41" i="7"/>
  <c r="J41" i="7"/>
  <c r="BC17" i="7"/>
  <c r="Y17" i="7"/>
  <c r="AN17" i="7"/>
  <c r="J113" i="6"/>
  <c r="Y89" i="6"/>
  <c r="AN65" i="6"/>
  <c r="Y89" i="7"/>
  <c r="Y65" i="7"/>
  <c r="BC41" i="7"/>
  <c r="Y41" i="7"/>
  <c r="J89" i="6"/>
  <c r="Y65" i="6"/>
  <c r="BC41" i="6"/>
  <c r="Y41" i="6"/>
  <c r="AN17" i="6"/>
  <c r="BC89" i="6"/>
  <c r="J65" i="6"/>
  <c r="BC89" i="7"/>
  <c r="BC65" i="6"/>
  <c r="AN41" i="6"/>
  <c r="J41" i="6"/>
  <c r="BC17" i="6"/>
  <c r="Y17" i="6"/>
  <c r="AN89" i="6"/>
  <c r="H9" i="7"/>
  <c r="H9" i="6"/>
  <c r="AF61" i="2"/>
  <c r="T61" i="2" s="1"/>
  <c r="N61" i="2" s="1"/>
  <c r="M2" i="2" s="1"/>
  <c r="AD61" i="2"/>
  <c r="R61" i="2" s="1"/>
  <c r="L61" i="2" s="1"/>
  <c r="K2" i="2" s="1"/>
  <c r="CY52" i="2"/>
  <c r="CK52" i="2"/>
  <c r="AA42" i="7"/>
  <c r="AA42" i="6"/>
  <c r="AP66" i="7"/>
  <c r="AP66" i="6"/>
  <c r="AP90" i="7"/>
  <c r="AP90" i="6"/>
  <c r="BT40" i="2"/>
  <c r="AF107" i="7"/>
  <c r="Q107" i="7"/>
  <c r="B83" i="7"/>
  <c r="AU83" i="7"/>
  <c r="Q59" i="7"/>
  <c r="Q35" i="7"/>
  <c r="AF11" i="7"/>
  <c r="AF83" i="7"/>
  <c r="B59" i="7"/>
  <c r="B35" i="7"/>
  <c r="Q11" i="7"/>
  <c r="AF107" i="6"/>
  <c r="Q83" i="6"/>
  <c r="Q59" i="6"/>
  <c r="Q83" i="7"/>
  <c r="AU59" i="7"/>
  <c r="AU35" i="7"/>
  <c r="Q107" i="6"/>
  <c r="B83" i="6"/>
  <c r="AF59" i="6"/>
  <c r="AU35" i="6"/>
  <c r="AU107" i="7"/>
  <c r="AF59" i="7"/>
  <c r="AF35" i="7"/>
  <c r="B107" i="6"/>
  <c r="B59" i="6"/>
  <c r="AF35" i="6"/>
  <c r="AU11" i="6"/>
  <c r="B107" i="7"/>
  <c r="AU11" i="7"/>
  <c r="AU83" i="6"/>
  <c r="AU107" i="6"/>
  <c r="Q35" i="6"/>
  <c r="AF11" i="6"/>
  <c r="AF83" i="6"/>
  <c r="B35" i="6"/>
  <c r="Q11" i="6"/>
  <c r="AU59" i="6"/>
  <c r="BA89" i="7"/>
  <c r="W89" i="7"/>
  <c r="H113" i="7"/>
  <c r="AL89" i="7"/>
  <c r="H89" i="7"/>
  <c r="W65" i="7"/>
  <c r="BA41" i="7"/>
  <c r="W41" i="7"/>
  <c r="AL17" i="7"/>
  <c r="BA89" i="6"/>
  <c r="W89" i="6"/>
  <c r="BA65" i="6"/>
  <c r="W65" i="6"/>
  <c r="AL89" i="6"/>
  <c r="AL41" i="6"/>
  <c r="H41" i="6"/>
  <c r="BA17" i="6"/>
  <c r="W17" i="6"/>
  <c r="BA17" i="7"/>
  <c r="W17" i="7"/>
  <c r="H113" i="6"/>
  <c r="AL65" i="6"/>
  <c r="AL65" i="7"/>
  <c r="H65" i="7"/>
  <c r="AL41" i="7"/>
  <c r="H41" i="7"/>
  <c r="H89" i="6"/>
  <c r="BA65" i="7"/>
  <c r="H65" i="6"/>
  <c r="BA41" i="6"/>
  <c r="W41" i="6"/>
  <c r="AL17" i="6"/>
  <c r="BC62" i="7"/>
  <c r="Y62" i="7"/>
  <c r="BC38" i="7"/>
  <c r="Y38" i="7"/>
  <c r="J110" i="7"/>
  <c r="Y86" i="7"/>
  <c r="J86" i="7"/>
  <c r="BC14" i="7"/>
  <c r="Y14" i="7"/>
  <c r="BC86" i="6"/>
  <c r="Y86" i="6"/>
  <c r="BC62" i="6"/>
  <c r="Y62" i="6"/>
  <c r="J62" i="6"/>
  <c r="AN38" i="6"/>
  <c r="J38" i="6"/>
  <c r="BC86" i="7"/>
  <c r="AN86" i="7"/>
  <c r="J110" i="6"/>
  <c r="AN86" i="6"/>
  <c r="AN14" i="6"/>
  <c r="AN62" i="7"/>
  <c r="J62" i="7"/>
  <c r="AN38" i="7"/>
  <c r="J38" i="7"/>
  <c r="AN14" i="7"/>
  <c r="AN62" i="6"/>
  <c r="J86" i="6"/>
  <c r="BC14" i="6"/>
  <c r="Y14" i="6"/>
  <c r="BC38" i="6"/>
  <c r="Y38" i="6"/>
  <c r="AA18" i="7"/>
  <c r="AA18" i="6"/>
  <c r="L9" i="6"/>
  <c r="L9" i="7"/>
  <c r="L22" i="7"/>
  <c r="L22" i="6"/>
  <c r="D5" i="7"/>
  <c r="D5" i="6"/>
  <c r="CO40" i="2"/>
  <c r="AD62" i="2"/>
  <c r="R62" i="2" s="1"/>
  <c r="L62" i="2" s="1"/>
  <c r="K3" i="2" s="1"/>
  <c r="BV41" i="2"/>
  <c r="CY42" i="2"/>
  <c r="CK42" i="2"/>
  <c r="BV42" i="2"/>
  <c r="AC64" i="2"/>
  <c r="Q64" i="2" s="1"/>
  <c r="K64" i="2" s="1"/>
  <c r="J5" i="2" s="1"/>
  <c r="AE64" i="2"/>
  <c r="S64" i="2" s="1"/>
  <c r="M64" i="2" s="1"/>
  <c r="L5" i="2" s="1"/>
  <c r="AF65" i="2"/>
  <c r="T65" i="2" s="1"/>
  <c r="N65" i="2" s="1"/>
  <c r="M6" i="2" s="1"/>
  <c r="BX44" i="2"/>
  <c r="CW45" i="2"/>
  <c r="CI45" i="2"/>
  <c r="BX45" i="2"/>
  <c r="CJ45" i="2"/>
  <c r="BT46" i="2"/>
  <c r="BT47" i="2"/>
  <c r="AG70" i="2"/>
  <c r="U70" i="2" s="1"/>
  <c r="O70" i="2" s="1"/>
  <c r="N11" i="2" s="1"/>
  <c r="AE71" i="2"/>
  <c r="S71" i="2" s="1"/>
  <c r="M71" i="2" s="1"/>
  <c r="L12" i="2" s="1"/>
  <c r="BT50" i="2"/>
  <c r="CZ50" i="2"/>
  <c r="CL50" i="2"/>
  <c r="CX50" i="2"/>
  <c r="CW51" i="2"/>
  <c r="CI51" i="2"/>
  <c r="CV53" i="2"/>
  <c r="CH53" i="2"/>
  <c r="CZ53" i="2"/>
  <c r="CL53" i="2"/>
  <c r="CP53" i="2"/>
  <c r="CW54" i="2"/>
  <c r="CI54" i="2"/>
  <c r="AE76" i="2"/>
  <c r="S76" i="2" s="1"/>
  <c r="M76" i="2" s="1"/>
  <c r="L17" i="2" s="1"/>
  <c r="AD76" i="2"/>
  <c r="R76" i="2" s="1"/>
  <c r="L76" i="2" s="1"/>
  <c r="K17" i="2" s="1"/>
  <c r="AC76" i="2"/>
  <c r="Q76" i="2" s="1"/>
  <c r="K76" i="2" s="1"/>
  <c r="J17" i="2" s="1"/>
  <c r="AG76" i="2"/>
  <c r="U76" i="2" s="1"/>
  <c r="O76" i="2" s="1"/>
  <c r="N17" i="2" s="1"/>
  <c r="AF76" i="2"/>
  <c r="T76" i="2" s="1"/>
  <c r="N76" i="2" s="1"/>
  <c r="M17" i="2" s="1"/>
  <c r="BS55" i="2"/>
  <c r="CY55" i="2"/>
  <c r="CK55" i="2"/>
  <c r="CN55" i="2"/>
  <c r="B103" i="7"/>
  <c r="AF103" i="7"/>
  <c r="B79" i="7"/>
  <c r="AU103" i="7"/>
  <c r="AU79" i="7"/>
  <c r="Q55" i="7"/>
  <c r="Q31" i="7"/>
  <c r="AF7" i="7"/>
  <c r="AF79" i="7"/>
  <c r="B55" i="7"/>
  <c r="B31" i="7"/>
  <c r="Q7" i="7"/>
  <c r="B103" i="6"/>
  <c r="Q79" i="6"/>
  <c r="AU55" i="7"/>
  <c r="AU31" i="7"/>
  <c r="AF103" i="6"/>
  <c r="B79" i="6"/>
  <c r="AU55" i="6"/>
  <c r="AU31" i="6"/>
  <c r="Q103" i="7"/>
  <c r="AF55" i="7"/>
  <c r="AF31" i="7"/>
  <c r="AF55" i="6"/>
  <c r="AF31" i="6"/>
  <c r="AU7" i="6"/>
  <c r="Q79" i="7"/>
  <c r="AU7" i="7"/>
  <c r="AU103" i="6"/>
  <c r="Q103" i="6"/>
  <c r="AU79" i="6"/>
  <c r="AF79" i="6"/>
  <c r="Q55" i="6"/>
  <c r="Q31" i="6"/>
  <c r="Q7" i="6"/>
  <c r="B55" i="6"/>
  <c r="B31" i="6"/>
  <c r="AF7" i="6"/>
  <c r="AH89" i="7"/>
  <c r="D89" i="7"/>
  <c r="D113" i="7"/>
  <c r="AW65" i="7"/>
  <c r="D65" i="7"/>
  <c r="AH41" i="7"/>
  <c r="D41" i="7"/>
  <c r="AW17" i="7"/>
  <c r="S17" i="7"/>
  <c r="AW89" i="7"/>
  <c r="S89" i="7"/>
  <c r="AH65" i="7"/>
  <c r="AH89" i="6"/>
  <c r="D89" i="6"/>
  <c r="AH65" i="6"/>
  <c r="D65" i="6"/>
  <c r="AW89" i="6"/>
  <c r="AW41" i="6"/>
  <c r="S41" i="6"/>
  <c r="AH17" i="6"/>
  <c r="AW65" i="6"/>
  <c r="AH17" i="7"/>
  <c r="S89" i="6"/>
  <c r="S65" i="7"/>
  <c r="AW41" i="7"/>
  <c r="S41" i="7"/>
  <c r="AH41" i="6"/>
  <c r="D41" i="6"/>
  <c r="D113" i="6"/>
  <c r="S65" i="6"/>
  <c r="AW17" i="6"/>
  <c r="S17" i="6"/>
  <c r="D11" i="7"/>
  <c r="D11" i="6"/>
  <c r="CW41" i="2"/>
  <c r="CI41" i="2"/>
  <c r="CY46" i="2"/>
  <c r="CK46" i="2"/>
  <c r="H110" i="7"/>
  <c r="BA86" i="7"/>
  <c r="W86" i="7"/>
  <c r="AL86" i="7"/>
  <c r="AL14" i="7"/>
  <c r="BA62" i="7"/>
  <c r="W62" i="7"/>
  <c r="BA38" i="7"/>
  <c r="W38" i="7"/>
  <c r="H110" i="6"/>
  <c r="H86" i="6"/>
  <c r="W62" i="6"/>
  <c r="BA14" i="6"/>
  <c r="W14" i="6"/>
  <c r="BA86" i="6"/>
  <c r="H62" i="6"/>
  <c r="AL38" i="6"/>
  <c r="H38" i="6"/>
  <c r="BA14" i="7"/>
  <c r="W14" i="7"/>
  <c r="AL86" i="6"/>
  <c r="BA62" i="6"/>
  <c r="H86" i="7"/>
  <c r="AL62" i="7"/>
  <c r="H62" i="7"/>
  <c r="AL38" i="7"/>
  <c r="H38" i="7"/>
  <c r="AL62" i="6"/>
  <c r="AL14" i="6"/>
  <c r="W86" i="6"/>
  <c r="BA38" i="6"/>
  <c r="W38" i="6"/>
  <c r="AP18" i="7"/>
  <c r="AP18" i="6"/>
  <c r="L42" i="7"/>
  <c r="L42" i="6"/>
  <c r="BE42" i="7"/>
  <c r="BE42" i="6"/>
  <c r="L66" i="6"/>
  <c r="L66" i="7"/>
  <c r="AA66" i="7"/>
  <c r="AA66" i="6"/>
  <c r="BE66" i="6"/>
  <c r="BE66" i="7"/>
  <c r="L90" i="7"/>
  <c r="L90" i="6"/>
  <c r="H5" i="7"/>
  <c r="H5" i="6"/>
  <c r="B101" i="7"/>
  <c r="AU101" i="7"/>
  <c r="B77" i="7"/>
  <c r="Q77" i="7"/>
  <c r="Q53" i="7"/>
  <c r="Q29" i="7"/>
  <c r="B53" i="7"/>
  <c r="B29" i="7"/>
  <c r="AF5" i="7"/>
  <c r="B101" i="6"/>
  <c r="Q77" i="6"/>
  <c r="AU77" i="7"/>
  <c r="AU53" i="7"/>
  <c r="AU29" i="7"/>
  <c r="Q101" i="6"/>
  <c r="AU77" i="6"/>
  <c r="AU53" i="6"/>
  <c r="AU29" i="6"/>
  <c r="Q5" i="6"/>
  <c r="AF77" i="7"/>
  <c r="AF53" i="7"/>
  <c r="AF29" i="7"/>
  <c r="AF77" i="6"/>
  <c r="AF53" i="6"/>
  <c r="AF29" i="6"/>
  <c r="AF101" i="7"/>
  <c r="AU5" i="7"/>
  <c r="AU101" i="6"/>
  <c r="B77" i="6"/>
  <c r="Q101" i="7"/>
  <c r="AF101" i="6"/>
  <c r="Q53" i="6"/>
  <c r="Q29" i="6"/>
  <c r="B53" i="6"/>
  <c r="B29" i="6"/>
  <c r="Q5" i="7"/>
  <c r="AU5" i="6"/>
  <c r="AF5" i="6"/>
  <c r="AU113" i="7"/>
  <c r="Q113" i="7"/>
  <c r="AF89" i="7"/>
  <c r="B89" i="7"/>
  <c r="AF65" i="7"/>
  <c r="AF113" i="7"/>
  <c r="AU65" i="7"/>
  <c r="B65" i="7"/>
  <c r="AF41" i="7"/>
  <c r="B41" i="7"/>
  <c r="AU17" i="7"/>
  <c r="Q17" i="7"/>
  <c r="AU113" i="6"/>
  <c r="Q113" i="6"/>
  <c r="Q65" i="7"/>
  <c r="AU41" i="7"/>
  <c r="Q41" i="7"/>
  <c r="B113" i="6"/>
  <c r="B89" i="6"/>
  <c r="Q65" i="6"/>
  <c r="B113" i="7"/>
  <c r="AU89" i="7"/>
  <c r="AF113" i="6"/>
  <c r="AU89" i="6"/>
  <c r="B65" i="6"/>
  <c r="AU41" i="6"/>
  <c r="Q41" i="6"/>
  <c r="AF17" i="6"/>
  <c r="AF89" i="6"/>
  <c r="AU65" i="6"/>
  <c r="Q89" i="7"/>
  <c r="AF17" i="7"/>
  <c r="AF65" i="6"/>
  <c r="AU17" i="6"/>
  <c r="Q17" i="6"/>
  <c r="Q89" i="6"/>
  <c r="AF41" i="6"/>
  <c r="B41" i="6"/>
  <c r="N110" i="7"/>
  <c r="N86" i="7"/>
  <c r="AR62" i="7"/>
  <c r="N62" i="7"/>
  <c r="AR38" i="7"/>
  <c r="N38" i="7"/>
  <c r="BG86" i="7"/>
  <c r="AR14" i="7"/>
  <c r="AR86" i="6"/>
  <c r="N86" i="6"/>
  <c r="AR62" i="6"/>
  <c r="N62" i="6"/>
  <c r="AR86" i="7"/>
  <c r="AC86" i="7"/>
  <c r="BG62" i="6"/>
  <c r="BG38" i="6"/>
  <c r="AC38" i="6"/>
  <c r="BG14" i="7"/>
  <c r="AC14" i="7"/>
  <c r="AC86" i="6"/>
  <c r="BG14" i="6"/>
  <c r="AC14" i="6"/>
  <c r="BG62" i="7"/>
  <c r="AC62" i="7"/>
  <c r="BG38" i="7"/>
  <c r="AC38" i="7"/>
  <c r="AC62" i="6"/>
  <c r="AR14" i="6"/>
  <c r="N110" i="6"/>
  <c r="BG86" i="6"/>
  <c r="AR38" i="6"/>
  <c r="N38" i="6"/>
  <c r="AP86" i="7"/>
  <c r="L86" i="7"/>
  <c r="L110" i="7"/>
  <c r="AA86" i="7"/>
  <c r="BE14" i="7"/>
  <c r="AA14" i="7"/>
  <c r="AP62" i="7"/>
  <c r="L62" i="7"/>
  <c r="AP38" i="7"/>
  <c r="L38" i="7"/>
  <c r="BE86" i="7"/>
  <c r="L110" i="6"/>
  <c r="BE86" i="6"/>
  <c r="AP86" i="6"/>
  <c r="AP14" i="6"/>
  <c r="AP14" i="7"/>
  <c r="BE62" i="6"/>
  <c r="AP62" i="6"/>
  <c r="BE38" i="6"/>
  <c r="AA38" i="6"/>
  <c r="AA86" i="6"/>
  <c r="L86" i="6"/>
  <c r="BE62" i="7"/>
  <c r="AA62" i="7"/>
  <c r="BE38" i="7"/>
  <c r="AA38" i="7"/>
  <c r="AA62" i="6"/>
  <c r="BE14" i="6"/>
  <c r="AA14" i="6"/>
  <c r="L62" i="6"/>
  <c r="AP38" i="6"/>
  <c r="L38" i="6"/>
  <c r="AU118" i="7"/>
  <c r="Q94" i="7"/>
  <c r="AF118" i="7"/>
  <c r="B94" i="7"/>
  <c r="B70" i="7"/>
  <c r="B118" i="7"/>
  <c r="AU70" i="7"/>
  <c r="Q46" i="7"/>
  <c r="AU22" i="7"/>
  <c r="Q118" i="7"/>
  <c r="AF70" i="7"/>
  <c r="B46" i="7"/>
  <c r="AF22" i="7"/>
  <c r="AU118" i="6"/>
  <c r="Q94" i="6"/>
  <c r="Q70" i="6"/>
  <c r="Q70" i="7"/>
  <c r="AU46" i="7"/>
  <c r="Q118" i="6"/>
  <c r="B70" i="6"/>
  <c r="AU46" i="6"/>
  <c r="Q22" i="6"/>
  <c r="AF46" i="7"/>
  <c r="B118" i="6"/>
  <c r="AU94" i="6"/>
  <c r="AF46" i="6"/>
  <c r="AU94" i="7"/>
  <c r="AF94" i="6"/>
  <c r="AU70" i="6"/>
  <c r="AF94" i="7"/>
  <c r="Q22" i="7"/>
  <c r="Q46" i="6"/>
  <c r="AF118" i="6"/>
  <c r="B94" i="6"/>
  <c r="B46" i="6"/>
  <c r="AU22" i="6"/>
  <c r="AF70" i="6"/>
  <c r="AF22" i="6"/>
  <c r="BE90" i="6"/>
  <c r="BE90" i="7"/>
  <c r="AG99" i="7"/>
  <c r="R99" i="7"/>
  <c r="R99" i="6"/>
  <c r="C3" i="7"/>
  <c r="C3" i="6"/>
  <c r="L11" i="6"/>
  <c r="L11" i="7"/>
  <c r="D17" i="7"/>
  <c r="D17" i="6"/>
  <c r="L17" i="6"/>
  <c r="L17" i="7"/>
  <c r="AK27" i="2"/>
  <c r="AN27" i="2" s="1"/>
  <c r="AG61" i="2"/>
  <c r="U61" i="2" s="1"/>
  <c r="O61" i="2" s="1"/>
  <c r="N2" i="2" s="1"/>
  <c r="CY40" i="2"/>
  <c r="CK40" i="2"/>
  <c r="BV40" i="2"/>
  <c r="AG62" i="2"/>
  <c r="U62" i="2" s="1"/>
  <c r="O62" i="2" s="1"/>
  <c r="N3" i="2" s="1"/>
  <c r="AC62" i="2"/>
  <c r="Q62" i="2" s="1"/>
  <c r="K62" i="2" s="1"/>
  <c r="J3" i="2" s="1"/>
  <c r="AE62" i="2"/>
  <c r="S62" i="2" s="1"/>
  <c r="M62" i="2" s="1"/>
  <c r="L3" i="2" s="1"/>
  <c r="AC63" i="2"/>
  <c r="Q63" i="2" s="1"/>
  <c r="K63" i="2" s="1"/>
  <c r="J4" i="2" s="1"/>
  <c r="AF63" i="2"/>
  <c r="T63" i="2" s="1"/>
  <c r="N63" i="2" s="1"/>
  <c r="M4" i="2" s="1"/>
  <c r="BX42" i="2"/>
  <c r="CW43" i="2"/>
  <c r="CI43" i="2"/>
  <c r="BX43" i="2"/>
  <c r="BT44" i="2"/>
  <c r="BT45" i="2"/>
  <c r="CO46" i="2"/>
  <c r="CO47" i="2"/>
  <c r="CY48" i="2"/>
  <c r="CK48" i="2"/>
  <c r="BV48" i="2"/>
  <c r="CW49" i="2"/>
  <c r="CI49" i="2"/>
  <c r="CQ49" i="2"/>
  <c r="CX51" i="2"/>
  <c r="CJ51" i="2"/>
  <c r="CO52" i="2"/>
  <c r="CW53" i="2"/>
  <c r="CI53" i="2"/>
  <c r="CX54" i="2"/>
  <c r="CJ54" i="2"/>
  <c r="CR55" i="2"/>
  <c r="CO49" i="2"/>
  <c r="CO51" i="2"/>
  <c r="AF74" i="2"/>
  <c r="T74" i="2" s="1"/>
  <c r="N74" i="2" s="1"/>
  <c r="M15" i="2" s="1"/>
  <c r="AE74" i="2"/>
  <c r="S74" i="2" s="1"/>
  <c r="M74" i="2" s="1"/>
  <c r="L15" i="2" s="1"/>
  <c r="AC74" i="2"/>
  <c r="Q74" i="2" s="1"/>
  <c r="K74" i="2" s="1"/>
  <c r="J15" i="2" s="1"/>
  <c r="CN53" i="2"/>
  <c r="L5" i="7"/>
  <c r="L5" i="6"/>
  <c r="H7" i="7"/>
  <c r="H7" i="6"/>
  <c r="H6" i="7"/>
  <c r="H6" i="6"/>
  <c r="CI40" i="2"/>
  <c r="CN40" i="2"/>
  <c r="CR40" i="2"/>
  <c r="CG41" i="2"/>
  <c r="CK41" i="2"/>
  <c r="CP41" i="2"/>
  <c r="AD63" i="2"/>
  <c r="R63" i="2" s="1"/>
  <c r="L63" i="2" s="1"/>
  <c r="K4" i="2" s="1"/>
  <c r="CI42" i="2"/>
  <c r="CN42" i="2"/>
  <c r="CR42" i="2"/>
  <c r="CG43" i="2"/>
  <c r="CK43" i="2"/>
  <c r="CP43" i="2"/>
  <c r="AD65" i="2"/>
  <c r="R65" i="2" s="1"/>
  <c r="L65" i="2" s="1"/>
  <c r="K6" i="2" s="1"/>
  <c r="AG65" i="2"/>
  <c r="U65" i="2" s="1"/>
  <c r="O65" i="2" s="1"/>
  <c r="N6" i="2" s="1"/>
  <c r="AC65" i="2"/>
  <c r="Q65" i="2" s="1"/>
  <c r="K65" i="2" s="1"/>
  <c r="J6" i="2" s="1"/>
  <c r="CI44" i="2"/>
  <c r="CN44" i="2"/>
  <c r="CR44" i="2"/>
  <c r="CG45" i="2"/>
  <c r="CK45" i="2"/>
  <c r="CP45" i="2"/>
  <c r="AE67" i="2"/>
  <c r="S67" i="2" s="1"/>
  <c r="M67" i="2" s="1"/>
  <c r="L8" i="2" s="1"/>
  <c r="AD67" i="2"/>
  <c r="R67" i="2" s="1"/>
  <c r="L67" i="2" s="1"/>
  <c r="K8" i="2" s="1"/>
  <c r="CI46" i="2"/>
  <c r="CN46" i="2"/>
  <c r="CR46" i="2"/>
  <c r="CG47" i="2"/>
  <c r="CK47" i="2"/>
  <c r="CP47" i="2"/>
  <c r="AF69" i="2"/>
  <c r="T69" i="2" s="1"/>
  <c r="N69" i="2" s="1"/>
  <c r="M10" i="2" s="1"/>
  <c r="AE69" i="2"/>
  <c r="S69" i="2" s="1"/>
  <c r="M69" i="2" s="1"/>
  <c r="L10" i="2" s="1"/>
  <c r="CI48" i="2"/>
  <c r="CN48" i="2"/>
  <c r="CR48" i="2"/>
  <c r="CG49" i="2"/>
  <c r="CP49" i="2"/>
  <c r="AG71" i="2"/>
  <c r="U71" i="2" s="1"/>
  <c r="O71" i="2" s="1"/>
  <c r="N12" i="2" s="1"/>
  <c r="AC71" i="2"/>
  <c r="Q71" i="2" s="1"/>
  <c r="K71" i="2" s="1"/>
  <c r="J12" i="2" s="1"/>
  <c r="AF71" i="2"/>
  <c r="T71" i="2" s="1"/>
  <c r="N71" i="2" s="1"/>
  <c r="M12" i="2" s="1"/>
  <c r="CI50" i="2"/>
  <c r="CN50" i="2"/>
  <c r="CR50" i="2"/>
  <c r="CG51" i="2"/>
  <c r="CK51" i="2"/>
  <c r="CP51" i="2"/>
  <c r="AD73" i="2"/>
  <c r="R73" i="2" s="1"/>
  <c r="L73" i="2" s="1"/>
  <c r="K14" i="2" s="1"/>
  <c r="AG73" i="2"/>
  <c r="U73" i="2" s="1"/>
  <c r="O73" i="2" s="1"/>
  <c r="N14" i="2" s="1"/>
  <c r="AF73" i="2"/>
  <c r="T73" i="2" s="1"/>
  <c r="N73" i="2" s="1"/>
  <c r="M14" i="2" s="1"/>
  <c r="CI52" i="2"/>
  <c r="CN52" i="2"/>
  <c r="CR52" i="2"/>
  <c r="CJ53" i="2"/>
  <c r="CO53" i="2"/>
  <c r="CS53" i="2"/>
  <c r="CG54" i="2"/>
  <c r="CK54" i="2"/>
  <c r="CP54" i="2"/>
  <c r="CH55" i="2"/>
  <c r="CL55" i="2"/>
  <c r="CQ55" i="2"/>
  <c r="AE61" i="2"/>
  <c r="S61" i="2" s="1"/>
  <c r="M61" i="2" s="1"/>
  <c r="L2" i="2" s="1"/>
  <c r="AF62" i="2"/>
  <c r="T62" i="2" s="1"/>
  <c r="N62" i="2" s="1"/>
  <c r="M3" i="2" s="1"/>
  <c r="AG63" i="2"/>
  <c r="U63" i="2" s="1"/>
  <c r="O63" i="2" s="1"/>
  <c r="N4" i="2" s="1"/>
  <c r="AF67" i="2"/>
  <c r="T67" i="2" s="1"/>
  <c r="N67" i="2" s="1"/>
  <c r="M8" i="2" s="1"/>
  <c r="AC69" i="2"/>
  <c r="Q69" i="2" s="1"/>
  <c r="K69" i="2" s="1"/>
  <c r="J10" i="2" s="1"/>
  <c r="AD74" i="2"/>
  <c r="R74" i="2" s="1"/>
  <c r="L74" i="2" s="1"/>
  <c r="K15" i="2" s="1"/>
  <c r="AD75" i="2"/>
  <c r="R75" i="2" s="1"/>
  <c r="L75" i="2" s="1"/>
  <c r="K16" i="2" s="1"/>
  <c r="AG67" i="2"/>
  <c r="U67" i="2" s="1"/>
  <c r="O67" i="2" s="1"/>
  <c r="N8" i="2" s="1"/>
  <c r="AD69" i="2"/>
  <c r="R69" i="2" s="1"/>
  <c r="L69" i="2" s="1"/>
  <c r="K10" i="2" s="1"/>
  <c r="AG74" i="2"/>
  <c r="U74" i="2" s="1"/>
  <c r="O74" i="2" s="1"/>
  <c r="N15" i="2" s="1"/>
  <c r="L7" i="6"/>
  <c r="L7" i="7"/>
  <c r="BS40" i="2"/>
  <c r="CN41" i="2"/>
  <c r="BS42" i="2"/>
  <c r="AF64" i="2"/>
  <c r="T64" i="2" s="1"/>
  <c r="N64" i="2" s="1"/>
  <c r="M5" i="2" s="1"/>
  <c r="CN43" i="2"/>
  <c r="BS44" i="2"/>
  <c r="AE66" i="2"/>
  <c r="S66" i="2" s="1"/>
  <c r="M66" i="2" s="1"/>
  <c r="L7" i="2" s="1"/>
  <c r="AD66" i="2"/>
  <c r="R66" i="2" s="1"/>
  <c r="L66" i="2" s="1"/>
  <c r="K7" i="2" s="1"/>
  <c r="CN45" i="2"/>
  <c r="BS46" i="2"/>
  <c r="AD68" i="2"/>
  <c r="R68" i="2" s="1"/>
  <c r="L68" i="2" s="1"/>
  <c r="K9" i="2" s="1"/>
  <c r="AG68" i="2"/>
  <c r="U68" i="2" s="1"/>
  <c r="O68" i="2" s="1"/>
  <c r="N9" i="2" s="1"/>
  <c r="AC68" i="2"/>
  <c r="Q68" i="2" s="1"/>
  <c r="K68" i="2" s="1"/>
  <c r="J9" i="2" s="1"/>
  <c r="CN47" i="2"/>
  <c r="BS48" i="2"/>
  <c r="AF70" i="2"/>
  <c r="T70" i="2" s="1"/>
  <c r="N70" i="2" s="1"/>
  <c r="M11" i="2" s="1"/>
  <c r="AE70" i="2"/>
  <c r="S70" i="2" s="1"/>
  <c r="M70" i="2" s="1"/>
  <c r="L11" i="2" s="1"/>
  <c r="CN49" i="2"/>
  <c r="BS50" i="2"/>
  <c r="AG72" i="2"/>
  <c r="U72" i="2" s="1"/>
  <c r="O72" i="2" s="1"/>
  <c r="N13" i="2" s="1"/>
  <c r="AD72" i="2"/>
  <c r="R72" i="2" s="1"/>
  <c r="L72" i="2" s="1"/>
  <c r="K13" i="2" s="1"/>
  <c r="AC72" i="2"/>
  <c r="Q72" i="2" s="1"/>
  <c r="K72" i="2" s="1"/>
  <c r="J13" i="2" s="1"/>
  <c r="CN51" i="2"/>
  <c r="BS52" i="2"/>
  <c r="AG75" i="2"/>
  <c r="U75" i="2" s="1"/>
  <c r="O75" i="2" s="1"/>
  <c r="N16" i="2" s="1"/>
  <c r="AC75" i="2"/>
  <c r="Q75" i="2" s="1"/>
  <c r="K75" i="2" s="1"/>
  <c r="J16" i="2" s="1"/>
  <c r="AF75" i="2"/>
  <c r="T75" i="2" s="1"/>
  <c r="N75" i="2" s="1"/>
  <c r="M16" i="2" s="1"/>
  <c r="CN54" i="2"/>
  <c r="AC61" i="2"/>
  <c r="Q61" i="2" s="1"/>
  <c r="K61" i="2" s="1"/>
  <c r="J2" i="2" s="1"/>
  <c r="AE63" i="2"/>
  <c r="S63" i="2" s="1"/>
  <c r="M63" i="2" s="1"/>
  <c r="L4" i="2" s="1"/>
  <c r="AD64" i="2"/>
  <c r="R64" i="2" s="1"/>
  <c r="L64" i="2" s="1"/>
  <c r="K5" i="2" s="1"/>
  <c r="AE65" i="2"/>
  <c r="S65" i="2" s="1"/>
  <c r="M65" i="2" s="1"/>
  <c r="L6" i="2" s="1"/>
  <c r="AC66" i="2"/>
  <c r="Q66" i="2" s="1"/>
  <c r="K66" i="2" s="1"/>
  <c r="J7" i="2" s="1"/>
  <c r="AE68" i="2"/>
  <c r="S68" i="2" s="1"/>
  <c r="M68" i="2" s="1"/>
  <c r="L9" i="2" s="1"/>
  <c r="AG69" i="2"/>
  <c r="U69" i="2" s="1"/>
  <c r="O69" i="2" s="1"/>
  <c r="N10" i="2" s="1"/>
  <c r="AD70" i="2"/>
  <c r="R70" i="2" s="1"/>
  <c r="L70" i="2" s="1"/>
  <c r="K11" i="2" s="1"/>
  <c r="AD71" i="2"/>
  <c r="R71" i="2" s="1"/>
  <c r="L71" i="2" s="1"/>
  <c r="K12" i="2" s="1"/>
  <c r="AC73" i="2"/>
  <c r="Q73" i="2" s="1"/>
  <c r="K73" i="2" s="1"/>
  <c r="J14" i="2" s="1"/>
  <c r="AG23" i="5"/>
  <c r="AE22" i="5"/>
  <c r="E16" i="5"/>
  <c r="E40" i="9" s="1"/>
  <c r="AF23" i="5"/>
  <c r="D16" i="5"/>
  <c r="D40" i="9" s="1"/>
  <c r="AE23" i="5"/>
  <c r="AF21" i="5"/>
  <c r="AE20" i="5"/>
  <c r="AE19" i="5"/>
  <c r="C16" i="5"/>
  <c r="C40" i="9" s="1"/>
  <c r="AH23" i="5"/>
  <c r="AE21" i="5"/>
  <c r="AH10" i="5"/>
  <c r="E3" i="5"/>
  <c r="E39" i="9" s="1"/>
  <c r="AG10" i="5"/>
  <c r="AF8" i="5"/>
  <c r="D3" i="5"/>
  <c r="D39" i="9" s="1"/>
  <c r="AF10" i="5"/>
  <c r="AE9" i="5"/>
  <c r="AE8" i="5"/>
  <c r="AE7" i="5"/>
  <c r="C3" i="5"/>
  <c r="C39" i="9" s="1"/>
  <c r="AE10" i="5"/>
  <c r="AE6" i="5"/>
  <c r="Y3" i="5" s="1"/>
  <c r="H3" i="5" s="1"/>
  <c r="H39" i="9" s="1"/>
  <c r="H16" i="5"/>
  <c r="H40" i="9" s="1"/>
  <c r="S25" i="5"/>
  <c r="AI25" i="5" s="1"/>
  <c r="S10" i="5"/>
  <c r="AG12" i="5" s="1"/>
  <c r="AH36" i="5"/>
  <c r="AE34" i="5"/>
  <c r="AG36" i="5"/>
  <c r="AE35" i="5"/>
  <c r="Y29" i="5" s="1"/>
  <c r="H29" i="5" s="1"/>
  <c r="H41" i="9" s="1"/>
  <c r="AE33" i="5"/>
  <c r="AE32" i="5"/>
  <c r="AE36" i="5"/>
  <c r="AF36" i="5"/>
  <c r="S38" i="5"/>
  <c r="AI38" i="5" s="1"/>
  <c r="AF34" i="5"/>
  <c r="AJ15" i="6"/>
  <c r="F87" i="6"/>
  <c r="AJ39" i="7"/>
  <c r="AY15" i="7"/>
  <c r="F39" i="7"/>
  <c r="F63" i="7"/>
  <c r="W25" i="5" l="1"/>
  <c r="S16" i="5" s="1"/>
  <c r="J40" i="9" s="1"/>
  <c r="CH54" i="2"/>
  <c r="AI50" i="2"/>
  <c r="AL15" i="2" s="1"/>
  <c r="CK49" i="2"/>
  <c r="CL51" i="2"/>
  <c r="CZ51" i="2"/>
  <c r="AI48" i="2" s="1"/>
  <c r="AL13" i="2" s="1"/>
  <c r="CH51" i="2"/>
  <c r="BI51" i="2" s="1"/>
  <c r="AG48" i="2" s="1"/>
  <c r="CX52" i="2"/>
  <c r="CJ52" i="2"/>
  <c r="CL49" i="2"/>
  <c r="BI49" i="2" s="1"/>
  <c r="AG46" i="2" s="1"/>
  <c r="CZ49" i="2"/>
  <c r="AI46" i="2" s="1"/>
  <c r="AL11" i="2" s="1"/>
  <c r="CL54" i="2"/>
  <c r="CZ54" i="2"/>
  <c r="AI51" i="2" s="1"/>
  <c r="AL16" i="2" s="1"/>
  <c r="BI53" i="2"/>
  <c r="AG50" i="2" s="1"/>
  <c r="AU10" i="7"/>
  <c r="AU10" i="6"/>
  <c r="AF56" i="6"/>
  <c r="AF56" i="7"/>
  <c r="Q34" i="7"/>
  <c r="Q34" i="6"/>
  <c r="B90" i="7"/>
  <c r="B90" i="6"/>
  <c r="AF60" i="6"/>
  <c r="AF60" i="7"/>
  <c r="B66" i="7"/>
  <c r="B66" i="6"/>
  <c r="AF32" i="6"/>
  <c r="AF32" i="7"/>
  <c r="B36" i="7"/>
  <c r="B36" i="6"/>
  <c r="AU42" i="7"/>
  <c r="AU42" i="6"/>
  <c r="AU36" i="6"/>
  <c r="AU36" i="7"/>
  <c r="Q84" i="6"/>
  <c r="Q84" i="7"/>
  <c r="Q32" i="7"/>
  <c r="Q32" i="6"/>
  <c r="AF6" i="6"/>
  <c r="AF6" i="7"/>
  <c r="B102" i="7"/>
  <c r="B102" i="6"/>
  <c r="AQ15" i="2"/>
  <c r="AN15" i="2"/>
  <c r="AU58" i="7"/>
  <c r="AU58" i="6"/>
  <c r="AF8" i="6"/>
  <c r="AF8" i="7"/>
  <c r="B42" i="7"/>
  <c r="B42" i="6"/>
  <c r="AU56" i="6"/>
  <c r="AU56" i="7"/>
  <c r="Q66" i="7"/>
  <c r="Q66" i="6"/>
  <c r="B32" i="7"/>
  <c r="B32" i="6"/>
  <c r="AU84" i="7"/>
  <c r="AU84" i="6"/>
  <c r="AF34" i="6"/>
  <c r="AF34" i="7"/>
  <c r="AU80" i="7"/>
  <c r="AU80" i="6"/>
  <c r="Q90" i="7"/>
  <c r="Q90" i="6"/>
  <c r="AU60" i="6"/>
  <c r="AU60" i="7"/>
  <c r="AF78" i="7"/>
  <c r="AF78" i="6"/>
  <c r="AU12" i="7"/>
  <c r="AU12" i="6"/>
  <c r="AF18" i="7"/>
  <c r="AF18" i="6"/>
  <c r="Q18" i="7"/>
  <c r="Q18" i="6"/>
  <c r="B104" i="7"/>
  <c r="B104" i="6"/>
  <c r="BF15" i="2"/>
  <c r="AU15" i="2"/>
  <c r="AW15" i="2" s="1"/>
  <c r="AF66" i="6"/>
  <c r="AF66" i="7"/>
  <c r="Q36" i="7"/>
  <c r="Q36" i="6"/>
  <c r="AF54" i="6"/>
  <c r="AF54" i="7"/>
  <c r="Q78" i="7"/>
  <c r="Q78" i="6"/>
  <c r="AU78" i="6"/>
  <c r="AU78" i="7"/>
  <c r="B78" i="7"/>
  <c r="B78" i="6"/>
  <c r="AF90" i="7"/>
  <c r="AF90" i="6"/>
  <c r="AF80" i="7"/>
  <c r="AF80" i="6"/>
  <c r="AF12" i="6"/>
  <c r="AF12" i="7"/>
  <c r="Q80" i="6"/>
  <c r="Q80" i="7"/>
  <c r="AU54" i="6"/>
  <c r="AU54" i="7"/>
  <c r="Q58" i="7"/>
  <c r="Q58" i="6"/>
  <c r="AU32" i="6"/>
  <c r="AU32" i="7"/>
  <c r="Q30" i="7"/>
  <c r="Q30" i="6"/>
  <c r="AF82" i="7"/>
  <c r="AF82" i="6"/>
  <c r="AU6" i="7"/>
  <c r="AU6" i="6"/>
  <c r="B108" i="7"/>
  <c r="B108" i="6"/>
  <c r="B106" i="7"/>
  <c r="B106" i="6"/>
  <c r="B34" i="7"/>
  <c r="B34" i="6"/>
  <c r="Q12" i="6"/>
  <c r="Q12" i="7"/>
  <c r="Q82" i="7"/>
  <c r="Q82" i="6"/>
  <c r="B58" i="7"/>
  <c r="B58" i="6"/>
  <c r="AF30" i="6"/>
  <c r="AF30" i="7"/>
  <c r="Q6" i="6"/>
  <c r="Q6" i="7"/>
  <c r="AU90" i="7"/>
  <c r="AU90" i="6"/>
  <c r="B80" i="7"/>
  <c r="B80" i="6"/>
  <c r="AF58" i="7"/>
  <c r="AF58" i="6"/>
  <c r="B54" i="7"/>
  <c r="B54" i="6"/>
  <c r="Q56" i="7"/>
  <c r="Q56" i="6"/>
  <c r="Q54" i="7"/>
  <c r="Q54" i="6"/>
  <c r="Q10" i="6"/>
  <c r="Q10" i="7"/>
  <c r="AU66" i="7"/>
  <c r="AU66" i="6"/>
  <c r="Q60" i="7"/>
  <c r="Q60" i="6"/>
  <c r="AU34" i="6"/>
  <c r="AU34" i="7"/>
  <c r="Q42" i="6"/>
  <c r="Q42" i="7"/>
  <c r="AU8" i="7"/>
  <c r="AU8" i="6"/>
  <c r="AF84" i="6"/>
  <c r="AF84" i="7"/>
  <c r="AF10" i="6"/>
  <c r="AF10" i="7"/>
  <c r="B114" i="6"/>
  <c r="B114" i="7"/>
  <c r="B30" i="7"/>
  <c r="B30" i="6"/>
  <c r="AY60" i="2"/>
  <c r="CU40" i="2"/>
  <c r="CG40" i="2"/>
  <c r="AX60" i="2"/>
  <c r="BA60" i="2"/>
  <c r="CX40" i="2"/>
  <c r="CJ40" i="2"/>
  <c r="CH48" i="2"/>
  <c r="CV48" i="2"/>
  <c r="CR139" i="2"/>
  <c r="CR137" i="2"/>
  <c r="CR135" i="2"/>
  <c r="CR133" i="2"/>
  <c r="CR131" i="2"/>
  <c r="CR129" i="2"/>
  <c r="CR127" i="2"/>
  <c r="CR124" i="2"/>
  <c r="CR123" i="2"/>
  <c r="CR122" i="2"/>
  <c r="CR121" i="2"/>
  <c r="CR120" i="2"/>
  <c r="CR119" i="2"/>
  <c r="CR118" i="2"/>
  <c r="CR138" i="2"/>
  <c r="CR117" i="2"/>
  <c r="CR116" i="2"/>
  <c r="CR115" i="2"/>
  <c r="CR114" i="2"/>
  <c r="CR113" i="2"/>
  <c r="CR111" i="2"/>
  <c r="CR109" i="2"/>
  <c r="CR136" i="2"/>
  <c r="CR132" i="2"/>
  <c r="CR128" i="2"/>
  <c r="CR100" i="2"/>
  <c r="CR96" i="2"/>
  <c r="CR92" i="2"/>
  <c r="CR134" i="2"/>
  <c r="CR125" i="2"/>
  <c r="CR130" i="2"/>
  <c r="CR112" i="2"/>
  <c r="CR110" i="2"/>
  <c r="CR108" i="2"/>
  <c r="CR106" i="2"/>
  <c r="CR104" i="2"/>
  <c r="CR102" i="2"/>
  <c r="CR99" i="2"/>
  <c r="CR95" i="2"/>
  <c r="CR91" i="2"/>
  <c r="CR89" i="2"/>
  <c r="CR85" i="2"/>
  <c r="CR81" i="2"/>
  <c r="CR79" i="2"/>
  <c r="CR74" i="2"/>
  <c r="CR126" i="2"/>
  <c r="CR98" i="2"/>
  <c r="CR94" i="2"/>
  <c r="CR90" i="2"/>
  <c r="CR88" i="2"/>
  <c r="CR84" i="2"/>
  <c r="CR77" i="2"/>
  <c r="CR105" i="2"/>
  <c r="CR101" i="2"/>
  <c r="CR97" i="2"/>
  <c r="CR93" i="2"/>
  <c r="CR87" i="2"/>
  <c r="CR83" i="2"/>
  <c r="CR70" i="2"/>
  <c r="CR86" i="2"/>
  <c r="CR82" i="2"/>
  <c r="CR73" i="2"/>
  <c r="CR71" i="2"/>
  <c r="CR67" i="2"/>
  <c r="CR64" i="2"/>
  <c r="CR78" i="2"/>
  <c r="CR68" i="2"/>
  <c r="CR63" i="2"/>
  <c r="CR62" i="2"/>
  <c r="CR60" i="2"/>
  <c r="CR107" i="2"/>
  <c r="CR66" i="2"/>
  <c r="CR61" i="2"/>
  <c r="CR80" i="2"/>
  <c r="CR65" i="2"/>
  <c r="CR103" i="2"/>
  <c r="CR76" i="2"/>
  <c r="CR75" i="2"/>
  <c r="CR72" i="2"/>
  <c r="CR69" i="2"/>
  <c r="AU18" i="6"/>
  <c r="AU18" i="7"/>
  <c r="B56" i="7"/>
  <c r="B56" i="6"/>
  <c r="CU52" i="2"/>
  <c r="CG52" i="2"/>
  <c r="CV44" i="2"/>
  <c r="CH44" i="2"/>
  <c r="CL45" i="2"/>
  <c r="CZ45" i="2"/>
  <c r="CL44" i="2"/>
  <c r="CZ44" i="2"/>
  <c r="CJ42" i="2"/>
  <c r="CX42" i="2"/>
  <c r="CL47" i="2"/>
  <c r="CZ47" i="2"/>
  <c r="CG124" i="2"/>
  <c r="CG140" i="2"/>
  <c r="CG138" i="2"/>
  <c r="CG136" i="2"/>
  <c r="CG134" i="2"/>
  <c r="CG132" i="2"/>
  <c r="CG130" i="2"/>
  <c r="CG128" i="2"/>
  <c r="CG126" i="2"/>
  <c r="CG125" i="2"/>
  <c r="CG135" i="2"/>
  <c r="CG131" i="2"/>
  <c r="CG127" i="2"/>
  <c r="CG139" i="2"/>
  <c r="CG112" i="2"/>
  <c r="CG110" i="2"/>
  <c r="CG108" i="2"/>
  <c r="CG106" i="2"/>
  <c r="CG104" i="2"/>
  <c r="CG102" i="2"/>
  <c r="CG99" i="2"/>
  <c r="CG95" i="2"/>
  <c r="CG91" i="2"/>
  <c r="CG137" i="2"/>
  <c r="CG133" i="2"/>
  <c r="CG129" i="2"/>
  <c r="CG122" i="2"/>
  <c r="CG120" i="2"/>
  <c r="CG118" i="2"/>
  <c r="CG117" i="2"/>
  <c r="CG116" i="2"/>
  <c r="CG115" i="2"/>
  <c r="CG114" i="2"/>
  <c r="CG113" i="2"/>
  <c r="CG111" i="2"/>
  <c r="CG109" i="2"/>
  <c r="CG100" i="2"/>
  <c r="CG96" i="2"/>
  <c r="CG123" i="2"/>
  <c r="CG88" i="2"/>
  <c r="CG84" i="2"/>
  <c r="CG77" i="2"/>
  <c r="CG72" i="2"/>
  <c r="CG121" i="2"/>
  <c r="CG119" i="2"/>
  <c r="CG98" i="2"/>
  <c r="CG94" i="2"/>
  <c r="CG87" i="2"/>
  <c r="CG83" i="2"/>
  <c r="CG80" i="2"/>
  <c r="CG78" i="2"/>
  <c r="CG75" i="2"/>
  <c r="CG107" i="2"/>
  <c r="CG103" i="2"/>
  <c r="CG93" i="2"/>
  <c r="CG71" i="2"/>
  <c r="CG67" i="2"/>
  <c r="CG64" i="2"/>
  <c r="CG73" i="2"/>
  <c r="CG66" i="2"/>
  <c r="CG65" i="2"/>
  <c r="CG105" i="2"/>
  <c r="CG70" i="2"/>
  <c r="CG69" i="2"/>
  <c r="CG63" i="2"/>
  <c r="CG61" i="2"/>
  <c r="CG68" i="2"/>
  <c r="CG101" i="2"/>
  <c r="CG97" i="2"/>
  <c r="CG92" i="2"/>
  <c r="CG90" i="2"/>
  <c r="CG86" i="2"/>
  <c r="CG82" i="2"/>
  <c r="CG79" i="2"/>
  <c r="CG76" i="2"/>
  <c r="CG74" i="2"/>
  <c r="CG62" i="2"/>
  <c r="CG89" i="2"/>
  <c r="CG85" i="2"/>
  <c r="CG81" i="2"/>
  <c r="CG60" i="2"/>
  <c r="BA72" i="2"/>
  <c r="AT8" i="2" s="1"/>
  <c r="AT2" i="2"/>
  <c r="DA143" i="2"/>
  <c r="DA138" i="2"/>
  <c r="DA136" i="2"/>
  <c r="DA134" i="2"/>
  <c r="DA132" i="2"/>
  <c r="DA130" i="2"/>
  <c r="DA128" i="2"/>
  <c r="DA126" i="2"/>
  <c r="DA142" i="2"/>
  <c r="CQ139" i="2"/>
  <c r="CQ137" i="2"/>
  <c r="CQ135" i="2"/>
  <c r="CQ133" i="2"/>
  <c r="CQ131" i="2"/>
  <c r="CQ129" i="2"/>
  <c r="CQ127" i="2"/>
  <c r="DA141" i="2"/>
  <c r="DA139" i="2"/>
  <c r="DA137" i="2"/>
  <c r="CQ134" i="2"/>
  <c r="CQ130" i="2"/>
  <c r="CQ126" i="2"/>
  <c r="CQ125" i="2"/>
  <c r="DA133" i="2"/>
  <c r="DA129" i="2"/>
  <c r="CQ117" i="2"/>
  <c r="CQ116" i="2"/>
  <c r="CQ115" i="2"/>
  <c r="CQ114" i="2"/>
  <c r="CQ113" i="2"/>
  <c r="CQ111" i="2"/>
  <c r="CQ109" i="2"/>
  <c r="CQ107" i="2"/>
  <c r="CQ105" i="2"/>
  <c r="CQ103" i="2"/>
  <c r="CQ101" i="2"/>
  <c r="CQ97" i="2"/>
  <c r="CQ93" i="2"/>
  <c r="DA140" i="2"/>
  <c r="CQ136" i="2"/>
  <c r="CQ132" i="2"/>
  <c r="CQ128" i="2"/>
  <c r="CQ124" i="2"/>
  <c r="CQ120" i="2"/>
  <c r="CQ118" i="2"/>
  <c r="CQ100" i="2"/>
  <c r="CQ96" i="2"/>
  <c r="CQ138" i="2"/>
  <c r="DA135" i="2"/>
  <c r="CQ86" i="2"/>
  <c r="CQ82" i="2"/>
  <c r="CQ76" i="2"/>
  <c r="CQ73" i="2"/>
  <c r="DA131" i="2"/>
  <c r="CQ122" i="2"/>
  <c r="CQ121" i="2"/>
  <c r="CQ119" i="2"/>
  <c r="CQ112" i="2"/>
  <c r="CQ110" i="2"/>
  <c r="CQ108" i="2"/>
  <c r="CQ106" i="2"/>
  <c r="CQ104" i="2"/>
  <c r="CQ102" i="2"/>
  <c r="CQ99" i="2"/>
  <c r="CQ95" i="2"/>
  <c r="CQ91" i="2"/>
  <c r="CQ89" i="2"/>
  <c r="CQ85" i="2"/>
  <c r="CQ81" i="2"/>
  <c r="CQ79" i="2"/>
  <c r="CQ74" i="2"/>
  <c r="CQ80" i="2"/>
  <c r="CQ77" i="2"/>
  <c r="CQ69" i="2"/>
  <c r="CQ68" i="2"/>
  <c r="CQ63" i="2"/>
  <c r="DA127" i="2"/>
  <c r="CQ98" i="2"/>
  <c r="CQ87" i="2"/>
  <c r="CQ83" i="2"/>
  <c r="CQ70" i="2"/>
  <c r="CQ94" i="2"/>
  <c r="CQ92" i="2"/>
  <c r="CQ90" i="2"/>
  <c r="CQ75" i="2"/>
  <c r="CQ72" i="2"/>
  <c r="CQ123" i="2"/>
  <c r="CQ78" i="2"/>
  <c r="CQ62" i="2"/>
  <c r="CQ60" i="2"/>
  <c r="CQ88" i="2"/>
  <c r="CQ84" i="2"/>
  <c r="CQ71" i="2"/>
  <c r="CQ66" i="2"/>
  <c r="CQ61" i="2"/>
  <c r="CQ67" i="2"/>
  <c r="CQ65" i="2"/>
  <c r="CQ64" i="2"/>
  <c r="CV124" i="2"/>
  <c r="CV123" i="2"/>
  <c r="CV122" i="2"/>
  <c r="CV121" i="2"/>
  <c r="CV120" i="2"/>
  <c r="CV119" i="2"/>
  <c r="CV118" i="2"/>
  <c r="CV117" i="2"/>
  <c r="CV116" i="2"/>
  <c r="CV115" i="2"/>
  <c r="CV114" i="2"/>
  <c r="CV113" i="2"/>
  <c r="CV111" i="2"/>
  <c r="CV109" i="2"/>
  <c r="CV107" i="2"/>
  <c r="CV125" i="2"/>
  <c r="CV100" i="2"/>
  <c r="CV96" i="2"/>
  <c r="CV92" i="2"/>
  <c r="CV105" i="2"/>
  <c r="CV103" i="2"/>
  <c r="CV101" i="2"/>
  <c r="CV97" i="2"/>
  <c r="CV89" i="2"/>
  <c r="CV85" i="2"/>
  <c r="CV81" i="2"/>
  <c r="CV79" i="2"/>
  <c r="CV74" i="2"/>
  <c r="CV106" i="2"/>
  <c r="CV104" i="2"/>
  <c r="CV102" i="2"/>
  <c r="CV99" i="2"/>
  <c r="CV95" i="2"/>
  <c r="CV91" i="2"/>
  <c r="CV88" i="2"/>
  <c r="CV84" i="2"/>
  <c r="CV77" i="2"/>
  <c r="CV98" i="2"/>
  <c r="CV94" i="2"/>
  <c r="CV90" i="2"/>
  <c r="CV78" i="2"/>
  <c r="CV76" i="2"/>
  <c r="CV75" i="2"/>
  <c r="CV70" i="2"/>
  <c r="CV80" i="2"/>
  <c r="CV71" i="2"/>
  <c r="CV67" i="2"/>
  <c r="CV64" i="2"/>
  <c r="CV65" i="2"/>
  <c r="CV60" i="2"/>
  <c r="CV112" i="2"/>
  <c r="CV110" i="2"/>
  <c r="CV108" i="2"/>
  <c r="CV69" i="2"/>
  <c r="CV63" i="2"/>
  <c r="CV62" i="2"/>
  <c r="CV61" i="2"/>
  <c r="CV87" i="2"/>
  <c r="CV83" i="2"/>
  <c r="CV72" i="2"/>
  <c r="CV68" i="2"/>
  <c r="CV93" i="2"/>
  <c r="CV86" i="2"/>
  <c r="CV82" i="2"/>
  <c r="CV73" i="2"/>
  <c r="CV66" i="2"/>
  <c r="AK31" i="2"/>
  <c r="AN31" i="2" s="1"/>
  <c r="AB22" i="2"/>
  <c r="CT138" i="2"/>
  <c r="CT136" i="2"/>
  <c r="CT134" i="2"/>
  <c r="CT132" i="2"/>
  <c r="CT130" i="2"/>
  <c r="CT128" i="2"/>
  <c r="CT126" i="2"/>
  <c r="CT125" i="2"/>
  <c r="CT139" i="2"/>
  <c r="CT137" i="2"/>
  <c r="CT112" i="2"/>
  <c r="CT110" i="2"/>
  <c r="CT108" i="2"/>
  <c r="CT135" i="2"/>
  <c r="CT131" i="2"/>
  <c r="CT127" i="2"/>
  <c r="CT124" i="2"/>
  <c r="CT123" i="2"/>
  <c r="CT122" i="2"/>
  <c r="CT121" i="2"/>
  <c r="CT120" i="2"/>
  <c r="CT119" i="2"/>
  <c r="CT118" i="2"/>
  <c r="CT98" i="2"/>
  <c r="CT94" i="2"/>
  <c r="CT90" i="2"/>
  <c r="CT106" i="2"/>
  <c r="CT104" i="2"/>
  <c r="CT102" i="2"/>
  <c r="CT99" i="2"/>
  <c r="CT95" i="2"/>
  <c r="CT117" i="2"/>
  <c r="CT116" i="2"/>
  <c r="CT115" i="2"/>
  <c r="CT114" i="2"/>
  <c r="CT113" i="2"/>
  <c r="CT111" i="2"/>
  <c r="CT109" i="2"/>
  <c r="CT107" i="2"/>
  <c r="CT105" i="2"/>
  <c r="CT103" i="2"/>
  <c r="CT101" i="2"/>
  <c r="CT97" i="2"/>
  <c r="CT93" i="2"/>
  <c r="CT87" i="2"/>
  <c r="CT83" i="2"/>
  <c r="CT80" i="2"/>
  <c r="CT78" i="2"/>
  <c r="CT75" i="2"/>
  <c r="CT133" i="2"/>
  <c r="CT100" i="2"/>
  <c r="CT96" i="2"/>
  <c r="CT92" i="2"/>
  <c r="CT86" i="2"/>
  <c r="CT82" i="2"/>
  <c r="CT76" i="2"/>
  <c r="CT129" i="2"/>
  <c r="CT89" i="2"/>
  <c r="CT85" i="2"/>
  <c r="CT81" i="2"/>
  <c r="CT74" i="2"/>
  <c r="CT66" i="2"/>
  <c r="CT65" i="2"/>
  <c r="CT72" i="2"/>
  <c r="CT69" i="2"/>
  <c r="CT68" i="2"/>
  <c r="CT91" i="2"/>
  <c r="CT73" i="2"/>
  <c r="CT88" i="2"/>
  <c r="CT84" i="2"/>
  <c r="CT71" i="2"/>
  <c r="CT70" i="2"/>
  <c r="CT77" i="2"/>
  <c r="CT67" i="2"/>
  <c r="CT64" i="2"/>
  <c r="CT63" i="2"/>
  <c r="CT60" i="2"/>
  <c r="CT79" i="2"/>
  <c r="CT62" i="2"/>
  <c r="CT61" i="2"/>
  <c r="B82" i="7"/>
  <c r="B82" i="6"/>
  <c r="B84" i="7"/>
  <c r="B84" i="6"/>
  <c r="CJ41" i="2"/>
  <c r="CX41" i="2"/>
  <c r="AI38" i="2" s="1"/>
  <c r="AL3" i="2" s="1"/>
  <c r="D7" i="7"/>
  <c r="D7" i="6"/>
  <c r="CS143" i="2"/>
  <c r="CS142" i="2"/>
  <c r="CM139" i="2"/>
  <c r="CM137" i="2"/>
  <c r="CM135" i="2"/>
  <c r="CM133" i="2"/>
  <c r="CM131" i="2"/>
  <c r="CM129" i="2"/>
  <c r="CM127" i="2"/>
  <c r="CS141" i="2"/>
  <c r="CM138" i="2"/>
  <c r="CM136" i="2"/>
  <c r="CM132" i="2"/>
  <c r="CM128" i="2"/>
  <c r="CM124" i="2"/>
  <c r="CM117" i="2"/>
  <c r="CM116" i="2"/>
  <c r="CM115" i="2"/>
  <c r="CM114" i="2"/>
  <c r="CM113" i="2"/>
  <c r="CM111" i="2"/>
  <c r="CM109" i="2"/>
  <c r="CM107" i="2"/>
  <c r="CM105" i="2"/>
  <c r="CM103" i="2"/>
  <c r="CM101" i="2"/>
  <c r="CM97" i="2"/>
  <c r="CM93" i="2"/>
  <c r="CM134" i="2"/>
  <c r="CM130" i="2"/>
  <c r="CM126" i="2"/>
  <c r="CM125" i="2"/>
  <c r="CM123" i="2"/>
  <c r="CM122" i="2"/>
  <c r="CM112" i="2"/>
  <c r="CM110" i="2"/>
  <c r="CM108" i="2"/>
  <c r="CM120" i="2"/>
  <c r="CM118" i="2"/>
  <c r="CM106" i="2"/>
  <c r="CM104" i="2"/>
  <c r="CM102" i="2"/>
  <c r="CM99" i="2"/>
  <c r="CM95" i="2"/>
  <c r="CM91" i="2"/>
  <c r="CM86" i="2"/>
  <c r="CM82" i="2"/>
  <c r="CM76" i="2"/>
  <c r="CM73" i="2"/>
  <c r="CM98" i="2"/>
  <c r="CM94" i="2"/>
  <c r="CM90" i="2"/>
  <c r="CM89" i="2"/>
  <c r="CM85" i="2"/>
  <c r="CM81" i="2"/>
  <c r="CM79" i="2"/>
  <c r="CM74" i="2"/>
  <c r="CM121" i="2"/>
  <c r="CM92" i="2"/>
  <c r="CM69" i="2"/>
  <c r="CM68" i="2"/>
  <c r="CM63" i="2"/>
  <c r="CM100" i="2"/>
  <c r="CM96" i="2"/>
  <c r="CM88" i="2"/>
  <c r="CM84" i="2"/>
  <c r="CM78" i="2"/>
  <c r="CM75" i="2"/>
  <c r="CM70" i="2"/>
  <c r="CM119" i="2"/>
  <c r="CM71" i="2"/>
  <c r="CM66" i="2"/>
  <c r="CM62" i="2"/>
  <c r="CM87" i="2"/>
  <c r="CM83" i="2"/>
  <c r="CM72" i="2"/>
  <c r="CM67" i="2"/>
  <c r="CM65" i="2"/>
  <c r="CM64" i="2"/>
  <c r="CM60" i="2"/>
  <c r="CS140" i="2"/>
  <c r="CM61" i="2"/>
  <c r="CM80" i="2"/>
  <c r="CM77" i="2"/>
  <c r="CU50" i="2"/>
  <c r="CG50" i="2"/>
  <c r="CU48" i="2"/>
  <c r="CG48" i="2"/>
  <c r="CU42" i="2"/>
  <c r="AI39" i="2" s="1"/>
  <c r="AL4" i="2" s="1"/>
  <c r="CG42" i="2"/>
  <c r="BI54" i="2"/>
  <c r="AG51" i="2" s="1"/>
  <c r="CZ43" i="2"/>
  <c r="CL43" i="2"/>
  <c r="CZ42" i="2"/>
  <c r="CL42" i="2"/>
  <c r="CV47" i="2"/>
  <c r="AI44" i="2" s="1"/>
  <c r="AL9" i="2" s="1"/>
  <c r="CH47" i="2"/>
  <c r="BI47" i="2" s="1"/>
  <c r="AG44" i="2" s="1"/>
  <c r="CZ46" i="2"/>
  <c r="CL46" i="2"/>
  <c r="CJ43" i="2"/>
  <c r="BI43" i="2" s="1"/>
  <c r="AG40" i="2" s="1"/>
  <c r="CX43" i="2"/>
  <c r="CS124" i="2"/>
  <c r="CS138" i="2"/>
  <c r="CS136" i="2"/>
  <c r="CS134" i="2"/>
  <c r="CS132" i="2"/>
  <c r="CS130" i="2"/>
  <c r="CS128" i="2"/>
  <c r="CS126" i="2"/>
  <c r="CS125" i="2"/>
  <c r="CS133" i="2"/>
  <c r="CS129" i="2"/>
  <c r="CS112" i="2"/>
  <c r="CS110" i="2"/>
  <c r="CS108" i="2"/>
  <c r="CS106" i="2"/>
  <c r="CS104" i="2"/>
  <c r="CS102" i="2"/>
  <c r="CS99" i="2"/>
  <c r="CS95" i="2"/>
  <c r="CS91" i="2"/>
  <c r="CS139" i="2"/>
  <c r="CS135" i="2"/>
  <c r="CS131" i="2"/>
  <c r="CS127" i="2"/>
  <c r="CS123" i="2"/>
  <c r="CS122" i="2"/>
  <c r="CS121" i="2"/>
  <c r="CS119" i="2"/>
  <c r="CS98" i="2"/>
  <c r="CS94" i="2"/>
  <c r="CS90" i="2"/>
  <c r="CS88" i="2"/>
  <c r="CS84" i="2"/>
  <c r="CS77" i="2"/>
  <c r="CS72" i="2"/>
  <c r="CS137" i="2"/>
  <c r="CS117" i="2"/>
  <c r="CS116" i="2"/>
  <c r="CS115" i="2"/>
  <c r="CS114" i="2"/>
  <c r="CS113" i="2"/>
  <c r="CS111" i="2"/>
  <c r="CS109" i="2"/>
  <c r="CS107" i="2"/>
  <c r="CS105" i="2"/>
  <c r="CS103" i="2"/>
  <c r="CS101" i="2"/>
  <c r="CS97" i="2"/>
  <c r="CS93" i="2"/>
  <c r="CS87" i="2"/>
  <c r="CS83" i="2"/>
  <c r="CS80" i="2"/>
  <c r="CS78" i="2"/>
  <c r="CS75" i="2"/>
  <c r="CS118" i="2"/>
  <c r="CS100" i="2"/>
  <c r="CS96" i="2"/>
  <c r="CS86" i="2"/>
  <c r="CS82" i="2"/>
  <c r="CS79" i="2"/>
  <c r="CS73" i="2"/>
  <c r="CS71" i="2"/>
  <c r="CS67" i="2"/>
  <c r="CS64" i="2"/>
  <c r="CS62" i="2"/>
  <c r="CS120" i="2"/>
  <c r="CS89" i="2"/>
  <c r="CS85" i="2"/>
  <c r="CS81" i="2"/>
  <c r="CS76" i="2"/>
  <c r="CS74" i="2"/>
  <c r="CS66" i="2"/>
  <c r="CS65" i="2"/>
  <c r="CS61" i="2"/>
  <c r="CS70" i="2"/>
  <c r="CS69" i="2"/>
  <c r="CS92" i="2"/>
  <c r="CS68" i="2"/>
  <c r="CS63" i="2"/>
  <c r="CS60" i="2"/>
  <c r="CO141" i="2"/>
  <c r="CK124" i="2"/>
  <c r="CO140" i="2"/>
  <c r="CK138" i="2"/>
  <c r="CK136" i="2"/>
  <c r="CK134" i="2"/>
  <c r="CK132" i="2"/>
  <c r="CK130" i="2"/>
  <c r="CK128" i="2"/>
  <c r="CK126" i="2"/>
  <c r="CK125" i="2"/>
  <c r="CO143" i="2"/>
  <c r="CK139" i="2"/>
  <c r="CK133" i="2"/>
  <c r="CK129" i="2"/>
  <c r="CK123" i="2"/>
  <c r="CK122" i="2"/>
  <c r="CK121" i="2"/>
  <c r="CK120" i="2"/>
  <c r="CK119" i="2"/>
  <c r="CK118" i="2"/>
  <c r="CK137" i="2"/>
  <c r="CK112" i="2"/>
  <c r="CK110" i="2"/>
  <c r="CK108" i="2"/>
  <c r="CK106" i="2"/>
  <c r="CK104" i="2"/>
  <c r="CK102" i="2"/>
  <c r="CK99" i="2"/>
  <c r="CK95" i="2"/>
  <c r="CK91" i="2"/>
  <c r="CK135" i="2"/>
  <c r="CK131" i="2"/>
  <c r="CK127" i="2"/>
  <c r="CK107" i="2"/>
  <c r="CK105" i="2"/>
  <c r="CK103" i="2"/>
  <c r="CK101" i="2"/>
  <c r="CK97" i="2"/>
  <c r="CK100" i="2"/>
  <c r="CK96" i="2"/>
  <c r="CK92" i="2"/>
  <c r="CK88" i="2"/>
  <c r="CK84" i="2"/>
  <c r="CK77" i="2"/>
  <c r="CK72" i="2"/>
  <c r="CO142" i="2"/>
  <c r="CK117" i="2"/>
  <c r="CK116" i="2"/>
  <c r="CK115" i="2"/>
  <c r="CK114" i="2"/>
  <c r="CK113" i="2"/>
  <c r="CK111" i="2"/>
  <c r="CK109" i="2"/>
  <c r="CK87" i="2"/>
  <c r="CK83" i="2"/>
  <c r="CK80" i="2"/>
  <c r="CK78" i="2"/>
  <c r="CK75" i="2"/>
  <c r="CK94" i="2"/>
  <c r="CK90" i="2"/>
  <c r="CK86" i="2"/>
  <c r="CK82" i="2"/>
  <c r="CK79" i="2"/>
  <c r="CK71" i="2"/>
  <c r="CK67" i="2"/>
  <c r="CK64" i="2"/>
  <c r="CK89" i="2"/>
  <c r="CK85" i="2"/>
  <c r="CK81" i="2"/>
  <c r="CK76" i="2"/>
  <c r="CK74" i="2"/>
  <c r="CK66" i="2"/>
  <c r="CK65" i="2"/>
  <c r="CK98" i="2"/>
  <c r="CK61" i="2"/>
  <c r="CK93" i="2"/>
  <c r="CK63" i="2"/>
  <c r="CK70" i="2"/>
  <c r="CK69" i="2"/>
  <c r="CK62" i="2"/>
  <c r="CK73" i="2"/>
  <c r="CK68" i="2"/>
  <c r="CK60" i="2"/>
  <c r="CW141" i="2"/>
  <c r="CW139" i="2"/>
  <c r="CW137" i="2"/>
  <c r="CW135" i="2"/>
  <c r="CW133" i="2"/>
  <c r="CW131" i="2"/>
  <c r="CW129" i="2"/>
  <c r="CW127" i="2"/>
  <c r="CO124" i="2"/>
  <c r="CW140" i="2"/>
  <c r="CO138" i="2"/>
  <c r="CO136" i="2"/>
  <c r="CO134" i="2"/>
  <c r="CO132" i="2"/>
  <c r="CO130" i="2"/>
  <c r="CO128" i="2"/>
  <c r="CO126" i="2"/>
  <c r="CO125" i="2"/>
  <c r="CW143" i="2"/>
  <c r="CW138" i="2"/>
  <c r="CO137" i="2"/>
  <c r="CO135" i="2"/>
  <c r="CO131" i="2"/>
  <c r="CO127" i="2"/>
  <c r="CW134" i="2"/>
  <c r="CW130" i="2"/>
  <c r="CW126" i="2"/>
  <c r="CO123" i="2"/>
  <c r="CO122" i="2"/>
  <c r="CO121" i="2"/>
  <c r="CO120" i="2"/>
  <c r="CO119" i="2"/>
  <c r="CO118" i="2"/>
  <c r="CO112" i="2"/>
  <c r="CO110" i="2"/>
  <c r="CO108" i="2"/>
  <c r="CO106" i="2"/>
  <c r="CO104" i="2"/>
  <c r="CO102" i="2"/>
  <c r="CO99" i="2"/>
  <c r="CO95" i="2"/>
  <c r="CO91" i="2"/>
  <c r="CW142" i="2"/>
  <c r="CO133" i="2"/>
  <c r="CO129" i="2"/>
  <c r="CO139" i="2"/>
  <c r="CW132" i="2"/>
  <c r="CO117" i="2"/>
  <c r="CO116" i="2"/>
  <c r="CO115" i="2"/>
  <c r="CO114" i="2"/>
  <c r="CO113" i="2"/>
  <c r="CO111" i="2"/>
  <c r="CO109" i="2"/>
  <c r="CO98" i="2"/>
  <c r="CW128" i="2"/>
  <c r="CO107" i="2"/>
  <c r="CO105" i="2"/>
  <c r="CO103" i="2"/>
  <c r="CO101" i="2"/>
  <c r="CO97" i="2"/>
  <c r="CO93" i="2"/>
  <c r="CO88" i="2"/>
  <c r="CO84" i="2"/>
  <c r="CO77" i="2"/>
  <c r="CO72" i="2"/>
  <c r="CO100" i="2"/>
  <c r="CO96" i="2"/>
  <c r="CO92" i="2"/>
  <c r="CO87" i="2"/>
  <c r="CO83" i="2"/>
  <c r="CO80" i="2"/>
  <c r="CO78" i="2"/>
  <c r="CO75" i="2"/>
  <c r="CW136" i="2"/>
  <c r="CO71" i="2"/>
  <c r="CO67" i="2"/>
  <c r="CO64" i="2"/>
  <c r="CO62" i="2"/>
  <c r="CO66" i="2"/>
  <c r="CO65" i="2"/>
  <c r="CO86" i="2"/>
  <c r="CO82" i="2"/>
  <c r="CO79" i="2"/>
  <c r="CO76" i="2"/>
  <c r="CO74" i="2"/>
  <c r="CO70" i="2"/>
  <c r="CO69" i="2"/>
  <c r="CO61" i="2"/>
  <c r="CO94" i="2"/>
  <c r="CO90" i="2"/>
  <c r="CO89" i="2"/>
  <c r="CO85" i="2"/>
  <c r="CO81" i="2"/>
  <c r="CO68" i="2"/>
  <c r="CO73" i="2"/>
  <c r="CO63" i="2"/>
  <c r="CO60" i="2"/>
  <c r="CU139" i="2"/>
  <c r="CU137" i="2"/>
  <c r="CU135" i="2"/>
  <c r="CU133" i="2"/>
  <c r="CU131" i="2"/>
  <c r="CU129" i="2"/>
  <c r="CU127" i="2"/>
  <c r="CU136" i="2"/>
  <c r="CU132" i="2"/>
  <c r="CU128" i="2"/>
  <c r="CU124" i="2"/>
  <c r="CU123" i="2"/>
  <c r="CU122" i="2"/>
  <c r="CU121" i="2"/>
  <c r="CU120" i="2"/>
  <c r="CU119" i="2"/>
  <c r="CU118" i="2"/>
  <c r="CU117" i="2"/>
  <c r="CU116" i="2"/>
  <c r="CU115" i="2"/>
  <c r="CU114" i="2"/>
  <c r="CU113" i="2"/>
  <c r="CU111" i="2"/>
  <c r="CU109" i="2"/>
  <c r="CU107" i="2"/>
  <c r="CU105" i="2"/>
  <c r="CU103" i="2"/>
  <c r="CU101" i="2"/>
  <c r="CU97" i="2"/>
  <c r="CU93" i="2"/>
  <c r="CU138" i="2"/>
  <c r="CU134" i="2"/>
  <c r="CU130" i="2"/>
  <c r="CU126" i="2"/>
  <c r="CU125" i="2"/>
  <c r="CU112" i="2"/>
  <c r="CU110" i="2"/>
  <c r="CU108" i="2"/>
  <c r="CU98" i="2"/>
  <c r="CU100" i="2"/>
  <c r="CU96" i="2"/>
  <c r="CU92" i="2"/>
  <c r="CU86" i="2"/>
  <c r="CU82" i="2"/>
  <c r="CU76" i="2"/>
  <c r="CU73" i="2"/>
  <c r="CU89" i="2"/>
  <c r="CU85" i="2"/>
  <c r="CU81" i="2"/>
  <c r="CU79" i="2"/>
  <c r="CU74" i="2"/>
  <c r="CU99" i="2"/>
  <c r="CU95" i="2"/>
  <c r="CU72" i="2"/>
  <c r="CU69" i="2"/>
  <c r="CU68" i="2"/>
  <c r="CU63" i="2"/>
  <c r="CU104" i="2"/>
  <c r="CU94" i="2"/>
  <c r="CU91" i="2"/>
  <c r="CU90" i="2"/>
  <c r="CU88" i="2"/>
  <c r="CU84" i="2"/>
  <c r="CU78" i="2"/>
  <c r="CU75" i="2"/>
  <c r="CU70" i="2"/>
  <c r="CU71" i="2"/>
  <c r="CU66" i="2"/>
  <c r="CU106" i="2"/>
  <c r="CU80" i="2"/>
  <c r="CU77" i="2"/>
  <c r="CU67" i="2"/>
  <c r="CU65" i="2"/>
  <c r="CU64" i="2"/>
  <c r="CU60" i="2"/>
  <c r="CU62" i="2"/>
  <c r="CU61" i="2"/>
  <c r="CU102" i="2"/>
  <c r="CU87" i="2"/>
  <c r="CU83" i="2"/>
  <c r="CM142" i="2"/>
  <c r="CJ139" i="2"/>
  <c r="CJ137" i="2"/>
  <c r="CJ135" i="2"/>
  <c r="CJ133" i="2"/>
  <c r="CJ131" i="2"/>
  <c r="CJ129" i="2"/>
  <c r="CJ127" i="2"/>
  <c r="CM141" i="2"/>
  <c r="CJ124" i="2"/>
  <c r="CJ123" i="2"/>
  <c r="CJ122" i="2"/>
  <c r="CJ121" i="2"/>
  <c r="CJ120" i="2"/>
  <c r="CJ119" i="2"/>
  <c r="CJ118" i="2"/>
  <c r="CM140" i="2"/>
  <c r="CJ138" i="2"/>
  <c r="CJ117" i="2"/>
  <c r="CJ116" i="2"/>
  <c r="CJ115" i="2"/>
  <c r="CJ114" i="2"/>
  <c r="CJ113" i="2"/>
  <c r="CJ111" i="2"/>
  <c r="CJ109" i="2"/>
  <c r="CM143" i="2"/>
  <c r="CJ136" i="2"/>
  <c r="CJ132" i="2"/>
  <c r="CJ128" i="2"/>
  <c r="CJ100" i="2"/>
  <c r="CJ96" i="2"/>
  <c r="CJ92" i="2"/>
  <c r="CJ98" i="2"/>
  <c r="CJ134" i="2"/>
  <c r="CJ125" i="2"/>
  <c r="CJ112" i="2"/>
  <c r="CJ110" i="2"/>
  <c r="CJ108" i="2"/>
  <c r="CJ107" i="2"/>
  <c r="CJ105" i="2"/>
  <c r="CJ103" i="2"/>
  <c r="CJ101" i="2"/>
  <c r="CJ97" i="2"/>
  <c r="CJ93" i="2"/>
  <c r="CJ89" i="2"/>
  <c r="CJ85" i="2"/>
  <c r="CJ81" i="2"/>
  <c r="CJ79" i="2"/>
  <c r="CJ74" i="2"/>
  <c r="CJ130" i="2"/>
  <c r="CJ88" i="2"/>
  <c r="CJ84" i="2"/>
  <c r="CJ77" i="2"/>
  <c r="CJ87" i="2"/>
  <c r="CJ83" i="2"/>
  <c r="CJ72" i="2"/>
  <c r="CJ70" i="2"/>
  <c r="CJ106" i="2"/>
  <c r="CJ102" i="2"/>
  <c r="CJ94" i="2"/>
  <c r="CJ91" i="2"/>
  <c r="CJ90" i="2"/>
  <c r="CJ86" i="2"/>
  <c r="CJ82" i="2"/>
  <c r="CJ71" i="2"/>
  <c r="CJ67" i="2"/>
  <c r="CJ64" i="2"/>
  <c r="CJ104" i="2"/>
  <c r="CJ80" i="2"/>
  <c r="CJ73" i="2"/>
  <c r="CJ68" i="2"/>
  <c r="CJ60" i="2"/>
  <c r="CJ126" i="2"/>
  <c r="CJ76" i="2"/>
  <c r="CJ75" i="2"/>
  <c r="CJ66" i="2"/>
  <c r="CJ61" i="2"/>
  <c r="CJ99" i="2"/>
  <c r="CJ95" i="2"/>
  <c r="CJ78" i="2"/>
  <c r="CJ65" i="2"/>
  <c r="CJ63" i="2"/>
  <c r="CJ69" i="2"/>
  <c r="CJ62" i="2"/>
  <c r="CI140" i="2"/>
  <c r="CH138" i="2"/>
  <c r="CH136" i="2"/>
  <c r="CH134" i="2"/>
  <c r="CH132" i="2"/>
  <c r="CH130" i="2"/>
  <c r="CH128" i="2"/>
  <c r="CH126" i="2"/>
  <c r="CH125" i="2"/>
  <c r="CH139" i="2"/>
  <c r="CH137" i="2"/>
  <c r="CH112" i="2"/>
  <c r="CH110" i="2"/>
  <c r="CH108" i="2"/>
  <c r="CH133" i="2"/>
  <c r="CH129" i="2"/>
  <c r="CH98" i="2"/>
  <c r="CH94" i="2"/>
  <c r="CH123" i="2"/>
  <c r="CH122" i="2"/>
  <c r="CH131" i="2"/>
  <c r="CH127" i="2"/>
  <c r="CH121" i="2"/>
  <c r="CH119" i="2"/>
  <c r="CH106" i="2"/>
  <c r="CH104" i="2"/>
  <c r="CH102" i="2"/>
  <c r="CH99" i="2"/>
  <c r="CH95" i="2"/>
  <c r="CH91" i="2"/>
  <c r="CH87" i="2"/>
  <c r="CH83" i="2"/>
  <c r="CH80" i="2"/>
  <c r="CH78" i="2"/>
  <c r="CH75" i="2"/>
  <c r="CH124" i="2"/>
  <c r="CH107" i="2"/>
  <c r="CH105" i="2"/>
  <c r="CH103" i="2"/>
  <c r="CH101" i="2"/>
  <c r="CH97" i="2"/>
  <c r="CH93" i="2"/>
  <c r="CH90" i="2"/>
  <c r="CH86" i="2"/>
  <c r="CH82" i="2"/>
  <c r="CH76" i="2"/>
  <c r="CH88" i="2"/>
  <c r="CH84" i="2"/>
  <c r="CH73" i="2"/>
  <c r="CH66" i="2"/>
  <c r="CH65" i="2"/>
  <c r="CH135" i="2"/>
  <c r="CH118" i="2"/>
  <c r="CH116" i="2"/>
  <c r="CH114" i="2"/>
  <c r="CH79" i="2"/>
  <c r="CH77" i="2"/>
  <c r="CH69" i="2"/>
  <c r="CH68" i="2"/>
  <c r="CH115" i="2"/>
  <c r="CH100" i="2"/>
  <c r="CH96" i="2"/>
  <c r="CH67" i="2"/>
  <c r="CH64" i="2"/>
  <c r="CH92" i="2"/>
  <c r="CH74" i="2"/>
  <c r="CH62" i="2"/>
  <c r="CH117" i="2"/>
  <c r="CH113" i="2"/>
  <c r="CH111" i="2"/>
  <c r="CH109" i="2"/>
  <c r="CH89" i="2"/>
  <c r="CH85" i="2"/>
  <c r="CH81" i="2"/>
  <c r="CH60" i="2"/>
  <c r="CH120" i="2"/>
  <c r="CH72" i="2"/>
  <c r="CH71" i="2"/>
  <c r="CH70" i="2"/>
  <c r="CH63" i="2"/>
  <c r="CH61" i="2"/>
  <c r="AF36" i="6"/>
  <c r="AF36" i="7"/>
  <c r="AF42" i="7"/>
  <c r="AF42" i="6"/>
  <c r="AU82" i="7"/>
  <c r="AU82" i="6"/>
  <c r="CU46" i="2"/>
  <c r="CG46" i="2"/>
  <c r="CU44" i="2"/>
  <c r="CG44" i="2"/>
  <c r="BI41" i="2"/>
  <c r="AG38" i="2" s="1"/>
  <c r="CJ48" i="2"/>
  <c r="CX48" i="2"/>
  <c r="CU55" i="2"/>
  <c r="AI52" i="2" s="1"/>
  <c r="AL17" i="2" s="1"/>
  <c r="CG55" i="2"/>
  <c r="BI55" i="2" s="1"/>
  <c r="AG52" i="2" s="1"/>
  <c r="CV50" i="2"/>
  <c r="CH50" i="2"/>
  <c r="CV46" i="2"/>
  <c r="CH46" i="2"/>
  <c r="CH40" i="2"/>
  <c r="CV40" i="2"/>
  <c r="CV52" i="2"/>
  <c r="CH52" i="2"/>
  <c r="CJ44" i="2"/>
  <c r="CX44" i="2"/>
  <c r="B45" i="9"/>
  <c r="C49" i="5"/>
  <c r="V10" i="5" s="1"/>
  <c r="I47" i="5"/>
  <c r="F46" i="5"/>
  <c r="O45" i="5"/>
  <c r="C45" i="5"/>
  <c r="V6" i="5" s="1"/>
  <c r="O44" i="5"/>
  <c r="C44" i="5"/>
  <c r="L43" i="5"/>
  <c r="V30" i="5" s="1"/>
  <c r="I48" i="5"/>
  <c r="C47" i="5"/>
  <c r="V8" i="5" s="1"/>
  <c r="C46" i="5"/>
  <c r="V7" i="5" s="1"/>
  <c r="L44" i="5"/>
  <c r="V31" i="5" s="1"/>
  <c r="I43" i="5"/>
  <c r="I46" i="5"/>
  <c r="I45" i="5"/>
  <c r="V5" i="5"/>
  <c r="O47" i="5"/>
  <c r="F45" i="5"/>
  <c r="I44" i="5"/>
  <c r="C48" i="5"/>
  <c r="V9" i="5" s="1"/>
  <c r="F44" i="5"/>
  <c r="C43" i="5"/>
  <c r="V4" i="5" s="1"/>
  <c r="BA76" i="2"/>
  <c r="BA81" i="2"/>
  <c r="BA79" i="2"/>
  <c r="BI69" i="2"/>
  <c r="BE67" i="2"/>
  <c r="BE66" i="2"/>
  <c r="BI64" i="2"/>
  <c r="BP63" i="2"/>
  <c r="BA78" i="2"/>
  <c r="BI70" i="2"/>
  <c r="BI68" i="2"/>
  <c r="BE68" i="2"/>
  <c r="BI66" i="2"/>
  <c r="BE64" i="2"/>
  <c r="BE63" i="2"/>
  <c r="BP62" i="2"/>
  <c r="BM61" i="2"/>
  <c r="BI65" i="2"/>
  <c r="BM62" i="2"/>
  <c r="BI61" i="2"/>
  <c r="BA80" i="2"/>
  <c r="BA77" i="2"/>
  <c r="BI67" i="2"/>
  <c r="BP64" i="2"/>
  <c r="BI62" i="2"/>
  <c r="BE61" i="2"/>
  <c r="BP60" i="2"/>
  <c r="BM64" i="2"/>
  <c r="BI63" i="2"/>
  <c r="BE62" i="2"/>
  <c r="BM63" i="2"/>
  <c r="Y29" i="2"/>
  <c r="AB29" i="2" s="1"/>
  <c r="BM60" i="2"/>
  <c r="CK143" i="2"/>
  <c r="CK142" i="2"/>
  <c r="CI139" i="2"/>
  <c r="CI137" i="2"/>
  <c r="CI135" i="2"/>
  <c r="CI133" i="2"/>
  <c r="CI131" i="2"/>
  <c r="CI129" i="2"/>
  <c r="CI127" i="2"/>
  <c r="CK145" i="2"/>
  <c r="CK141" i="2"/>
  <c r="CK140" i="2"/>
  <c r="CI134" i="2"/>
  <c r="CI130" i="2"/>
  <c r="CI126" i="2"/>
  <c r="CI125" i="2"/>
  <c r="CI138" i="2"/>
  <c r="CI123" i="2"/>
  <c r="CI122" i="2"/>
  <c r="CI121" i="2"/>
  <c r="CI120" i="2"/>
  <c r="CI119" i="2"/>
  <c r="CI118" i="2"/>
  <c r="CI117" i="2"/>
  <c r="CI116" i="2"/>
  <c r="CI115" i="2"/>
  <c r="CI114" i="2"/>
  <c r="CI113" i="2"/>
  <c r="CI111" i="2"/>
  <c r="CI109" i="2"/>
  <c r="CI107" i="2"/>
  <c r="CI105" i="2"/>
  <c r="CI103" i="2"/>
  <c r="CI101" i="2"/>
  <c r="CI97" i="2"/>
  <c r="CI93" i="2"/>
  <c r="CI136" i="2"/>
  <c r="CI132" i="2"/>
  <c r="CI128" i="2"/>
  <c r="CI124" i="2"/>
  <c r="CI106" i="2"/>
  <c r="CI104" i="2"/>
  <c r="CI102" i="2"/>
  <c r="CI99" i="2"/>
  <c r="CI95" i="2"/>
  <c r="CK144" i="2"/>
  <c r="CI98" i="2"/>
  <c r="CI94" i="2"/>
  <c r="CI90" i="2"/>
  <c r="CI86" i="2"/>
  <c r="CI82" i="2"/>
  <c r="CI76" i="2"/>
  <c r="CI73" i="2"/>
  <c r="CI112" i="2"/>
  <c r="CI110" i="2"/>
  <c r="CI108" i="2"/>
  <c r="CI100" i="2"/>
  <c r="CI96" i="2"/>
  <c r="CI92" i="2"/>
  <c r="CI89" i="2"/>
  <c r="CI85" i="2"/>
  <c r="CI81" i="2"/>
  <c r="CI79" i="2"/>
  <c r="CI74" i="2"/>
  <c r="CI80" i="2"/>
  <c r="CI77" i="2"/>
  <c r="CI69" i="2"/>
  <c r="CI68" i="2"/>
  <c r="CI63" i="2"/>
  <c r="CI87" i="2"/>
  <c r="CI83" i="2"/>
  <c r="CI72" i="2"/>
  <c r="CI70" i="2"/>
  <c r="CI88" i="2"/>
  <c r="CI84" i="2"/>
  <c r="CI62" i="2"/>
  <c r="CI60" i="2"/>
  <c r="CI91" i="2"/>
  <c r="CI75" i="2"/>
  <c r="CI71" i="2"/>
  <c r="CI66" i="2"/>
  <c r="CI61" i="2"/>
  <c r="CI78" i="2"/>
  <c r="CI67" i="2"/>
  <c r="CI65" i="2"/>
  <c r="CI64" i="2"/>
  <c r="CU142" i="2"/>
  <c r="CN139" i="2"/>
  <c r="CN137" i="2"/>
  <c r="CN135" i="2"/>
  <c r="CN133" i="2"/>
  <c r="CN131" i="2"/>
  <c r="CN129" i="2"/>
  <c r="CN127" i="2"/>
  <c r="CU141" i="2"/>
  <c r="CN124" i="2"/>
  <c r="CN123" i="2"/>
  <c r="CN122" i="2"/>
  <c r="CN121" i="2"/>
  <c r="CN120" i="2"/>
  <c r="CN119" i="2"/>
  <c r="CN118" i="2"/>
  <c r="CU140" i="2"/>
  <c r="CN138" i="2"/>
  <c r="CU143" i="2"/>
  <c r="CN117" i="2"/>
  <c r="CN116" i="2"/>
  <c r="CN115" i="2"/>
  <c r="CN114" i="2"/>
  <c r="CN113" i="2"/>
  <c r="CN111" i="2"/>
  <c r="CN109" i="2"/>
  <c r="CN134" i="2"/>
  <c r="CN130" i="2"/>
  <c r="CN126" i="2"/>
  <c r="CN125" i="2"/>
  <c r="CN100" i="2"/>
  <c r="CN96" i="2"/>
  <c r="CN92" i="2"/>
  <c r="CN136" i="2"/>
  <c r="CN106" i="2"/>
  <c r="CN104" i="2"/>
  <c r="CN102" i="2"/>
  <c r="CN99" i="2"/>
  <c r="CN95" i="2"/>
  <c r="CN132" i="2"/>
  <c r="CN98" i="2"/>
  <c r="CN94" i="2"/>
  <c r="CN90" i="2"/>
  <c r="CN89" i="2"/>
  <c r="CN85" i="2"/>
  <c r="CN81" i="2"/>
  <c r="CN79" i="2"/>
  <c r="CN74" i="2"/>
  <c r="CN128" i="2"/>
  <c r="CN107" i="2"/>
  <c r="CN105" i="2"/>
  <c r="CN103" i="2"/>
  <c r="CN101" i="2"/>
  <c r="CN97" i="2"/>
  <c r="CN93" i="2"/>
  <c r="CN88" i="2"/>
  <c r="CN84" i="2"/>
  <c r="CN77" i="2"/>
  <c r="CN91" i="2"/>
  <c r="CN78" i="2"/>
  <c r="CN76" i="2"/>
  <c r="CN75" i="2"/>
  <c r="CN73" i="2"/>
  <c r="CN70" i="2"/>
  <c r="CN80" i="2"/>
  <c r="CN72" i="2"/>
  <c r="CN71" i="2"/>
  <c r="CN67" i="2"/>
  <c r="CN64" i="2"/>
  <c r="CN87" i="2"/>
  <c r="CN83" i="2"/>
  <c r="CN65" i="2"/>
  <c r="CN60" i="2"/>
  <c r="CN86" i="2"/>
  <c r="CN82" i="2"/>
  <c r="CN69" i="2"/>
  <c r="CN61" i="2"/>
  <c r="CN112" i="2"/>
  <c r="CN110" i="2"/>
  <c r="CN108" i="2"/>
  <c r="CN68" i="2"/>
  <c r="CN66" i="2"/>
  <c r="CN63" i="2"/>
  <c r="CN62" i="2"/>
  <c r="Q8" i="6"/>
  <c r="Q8" i="7"/>
  <c r="CQ140" i="2"/>
  <c r="CL138" i="2"/>
  <c r="CL136" i="2"/>
  <c r="CL134" i="2"/>
  <c r="CL132" i="2"/>
  <c r="CL130" i="2"/>
  <c r="CL128" i="2"/>
  <c r="CL126" i="2"/>
  <c r="CL125" i="2"/>
  <c r="CQ143" i="2"/>
  <c r="CQ142" i="2"/>
  <c r="CL139" i="2"/>
  <c r="CL137" i="2"/>
  <c r="CL112" i="2"/>
  <c r="CL110" i="2"/>
  <c r="CL108" i="2"/>
  <c r="CQ141" i="2"/>
  <c r="CL135" i="2"/>
  <c r="CL131" i="2"/>
  <c r="CL127" i="2"/>
  <c r="CL124" i="2"/>
  <c r="CL98" i="2"/>
  <c r="CL94" i="2"/>
  <c r="CL90" i="2"/>
  <c r="CL129" i="2"/>
  <c r="CL123" i="2"/>
  <c r="CL121" i="2"/>
  <c r="CL119" i="2"/>
  <c r="CL100" i="2"/>
  <c r="CL96" i="2"/>
  <c r="CL117" i="2"/>
  <c r="CL116" i="2"/>
  <c r="CL115" i="2"/>
  <c r="CL114" i="2"/>
  <c r="CL113" i="2"/>
  <c r="CL111" i="2"/>
  <c r="CL109" i="2"/>
  <c r="CL87" i="2"/>
  <c r="CL83" i="2"/>
  <c r="CL80" i="2"/>
  <c r="CL78" i="2"/>
  <c r="CL75" i="2"/>
  <c r="CL120" i="2"/>
  <c r="CL118" i="2"/>
  <c r="CL106" i="2"/>
  <c r="CL104" i="2"/>
  <c r="CL102" i="2"/>
  <c r="CL99" i="2"/>
  <c r="CL95" i="2"/>
  <c r="CL91" i="2"/>
  <c r="CL86" i="2"/>
  <c r="CL82" i="2"/>
  <c r="CL76" i="2"/>
  <c r="CL89" i="2"/>
  <c r="CL85" i="2"/>
  <c r="CL81" i="2"/>
  <c r="CL74" i="2"/>
  <c r="CL66" i="2"/>
  <c r="CL65" i="2"/>
  <c r="CL105" i="2"/>
  <c r="CL101" i="2"/>
  <c r="CL97" i="2"/>
  <c r="CL92" i="2"/>
  <c r="CL73" i="2"/>
  <c r="CL69" i="2"/>
  <c r="CL68" i="2"/>
  <c r="CL103" i="2"/>
  <c r="CL93" i="2"/>
  <c r="CL77" i="2"/>
  <c r="CL63" i="2"/>
  <c r="CL79" i="2"/>
  <c r="CL71" i="2"/>
  <c r="CL70" i="2"/>
  <c r="CL62" i="2"/>
  <c r="CL122" i="2"/>
  <c r="CL107" i="2"/>
  <c r="CL72" i="2"/>
  <c r="CL67" i="2"/>
  <c r="CL64" i="2"/>
  <c r="CL60" i="2"/>
  <c r="CL133" i="2"/>
  <c r="CL88" i="2"/>
  <c r="CL84" i="2"/>
  <c r="CL61" i="2"/>
  <c r="B60" i="7"/>
  <c r="B60" i="6"/>
  <c r="CV45" i="2"/>
  <c r="AI42" i="2" s="1"/>
  <c r="AL7" i="2" s="1"/>
  <c r="CH45" i="2"/>
  <c r="BI45" i="2" s="1"/>
  <c r="AG42" i="2" s="1"/>
  <c r="CY140" i="2"/>
  <c r="CP138" i="2"/>
  <c r="CP136" i="2"/>
  <c r="CP134" i="2"/>
  <c r="CP132" i="2"/>
  <c r="CP130" i="2"/>
  <c r="CP128" i="2"/>
  <c r="CP126" i="2"/>
  <c r="CP125" i="2"/>
  <c r="CY143" i="2"/>
  <c r="CY138" i="2"/>
  <c r="CY136" i="2"/>
  <c r="CY134" i="2"/>
  <c r="CY132" i="2"/>
  <c r="CY130" i="2"/>
  <c r="CY128" i="2"/>
  <c r="CY126" i="2"/>
  <c r="CY142" i="2"/>
  <c r="CP139" i="2"/>
  <c r="CP137" i="2"/>
  <c r="CY141" i="2"/>
  <c r="CY135" i="2"/>
  <c r="CY131" i="2"/>
  <c r="CY127" i="2"/>
  <c r="CP123" i="2"/>
  <c r="CP122" i="2"/>
  <c r="CP121" i="2"/>
  <c r="CP120" i="2"/>
  <c r="CP119" i="2"/>
  <c r="CP118" i="2"/>
  <c r="CP112" i="2"/>
  <c r="CP110" i="2"/>
  <c r="CP108" i="2"/>
  <c r="CY139" i="2"/>
  <c r="CP133" i="2"/>
  <c r="CP129" i="2"/>
  <c r="CP98" i="2"/>
  <c r="CP94" i="2"/>
  <c r="CP90" i="2"/>
  <c r="CY137" i="2"/>
  <c r="CY133" i="2"/>
  <c r="CY129" i="2"/>
  <c r="CP127" i="2"/>
  <c r="CP107" i="2"/>
  <c r="CP105" i="2"/>
  <c r="CP103" i="2"/>
  <c r="CP101" i="2"/>
  <c r="CP97" i="2"/>
  <c r="CP124" i="2"/>
  <c r="CP100" i="2"/>
  <c r="CP96" i="2"/>
  <c r="CP92" i="2"/>
  <c r="CP87" i="2"/>
  <c r="CP83" i="2"/>
  <c r="CP80" i="2"/>
  <c r="CP78" i="2"/>
  <c r="CP75" i="2"/>
  <c r="CP135" i="2"/>
  <c r="CP86" i="2"/>
  <c r="CP82" i="2"/>
  <c r="CP76" i="2"/>
  <c r="CP116" i="2"/>
  <c r="CP114" i="2"/>
  <c r="CP106" i="2"/>
  <c r="CP102" i="2"/>
  <c r="CP88" i="2"/>
  <c r="CP84" i="2"/>
  <c r="CP72" i="2"/>
  <c r="CP66" i="2"/>
  <c r="CP65" i="2"/>
  <c r="CP99" i="2"/>
  <c r="CP95" i="2"/>
  <c r="CP93" i="2"/>
  <c r="CP79" i="2"/>
  <c r="CP77" i="2"/>
  <c r="CP69" i="2"/>
  <c r="CP68" i="2"/>
  <c r="CP131" i="2"/>
  <c r="CP89" i="2"/>
  <c r="CP85" i="2"/>
  <c r="CP81" i="2"/>
  <c r="CP67" i="2"/>
  <c r="CP64" i="2"/>
  <c r="CP117" i="2"/>
  <c r="CP113" i="2"/>
  <c r="CP111" i="2"/>
  <c r="CP109" i="2"/>
  <c r="CP91" i="2"/>
  <c r="CP73" i="2"/>
  <c r="CP63" i="2"/>
  <c r="CP62" i="2"/>
  <c r="CP60" i="2"/>
  <c r="CP115" i="2"/>
  <c r="CP104" i="2"/>
  <c r="CP74" i="2"/>
  <c r="CP71" i="2"/>
  <c r="CP70" i="2"/>
  <c r="CP61" i="2"/>
  <c r="AU30" i="6"/>
  <c r="AU30" i="7"/>
  <c r="AU16" i="2" l="1"/>
  <c r="BF16" i="2"/>
  <c r="BF13" i="2"/>
  <c r="AU13" i="2"/>
  <c r="AV13" i="2" s="1"/>
  <c r="AT11" i="2"/>
  <c r="AT10" i="2"/>
  <c r="AT9" i="2"/>
  <c r="BF11" i="2"/>
  <c r="AU11" i="2"/>
  <c r="AW11" i="2" s="1"/>
  <c r="BI46" i="2"/>
  <c r="AG43" i="2" s="1"/>
  <c r="I32" i="5"/>
  <c r="AD38" i="5" s="1"/>
  <c r="W38" i="5" s="1"/>
  <c r="S29" i="5" s="1"/>
  <c r="J41" i="9" s="1"/>
  <c r="AI41" i="2"/>
  <c r="AL6" i="2" s="1"/>
  <c r="AU6" i="2" s="1"/>
  <c r="AI40" i="2"/>
  <c r="AL5" i="2" s="1"/>
  <c r="BF5" i="2" s="1"/>
  <c r="BI42" i="2"/>
  <c r="AG39" i="2" s="1"/>
  <c r="BI50" i="2"/>
  <c r="AG47" i="2" s="1"/>
  <c r="AW13" i="2"/>
  <c r="O13" i="2" s="1"/>
  <c r="D93" i="7" s="1"/>
  <c r="AQ9" i="2"/>
  <c r="AN9" i="2"/>
  <c r="BF3" i="2"/>
  <c r="AU3" i="2"/>
  <c r="AN5" i="2"/>
  <c r="AQ5" i="2"/>
  <c r="AF45" i="9"/>
  <c r="AF44" i="9" s="1"/>
  <c r="AB45" i="9"/>
  <c r="AB44" i="9" s="1"/>
  <c r="X45" i="9"/>
  <c r="X44" i="9" s="1"/>
  <c r="T45" i="9"/>
  <c r="T44" i="9" s="1"/>
  <c r="P45" i="9"/>
  <c r="P44" i="9" s="1"/>
  <c r="L45" i="9"/>
  <c r="L44" i="9" s="1"/>
  <c r="H45" i="9"/>
  <c r="H44" i="9" s="1"/>
  <c r="D45" i="9"/>
  <c r="D44" i="9" s="1"/>
  <c r="AE45" i="9"/>
  <c r="AE44" i="9" s="1"/>
  <c r="AA45" i="9"/>
  <c r="AA44" i="9" s="1"/>
  <c r="W45" i="9"/>
  <c r="W44" i="9" s="1"/>
  <c r="S45" i="9"/>
  <c r="S44" i="9" s="1"/>
  <c r="O45" i="9"/>
  <c r="O44" i="9" s="1"/>
  <c r="K45" i="9"/>
  <c r="K44" i="9" s="1"/>
  <c r="G45" i="9"/>
  <c r="G44" i="9" s="1"/>
  <c r="C45" i="9"/>
  <c r="C44" i="9" s="1"/>
  <c r="AH45" i="9"/>
  <c r="AH44" i="9" s="1"/>
  <c r="AD45" i="9"/>
  <c r="AD44" i="9" s="1"/>
  <c r="Z45" i="9"/>
  <c r="Z44" i="9" s="1"/>
  <c r="V45" i="9"/>
  <c r="V44" i="9" s="1"/>
  <c r="R45" i="9"/>
  <c r="R44" i="9" s="1"/>
  <c r="N45" i="9"/>
  <c r="N44" i="9" s="1"/>
  <c r="J45" i="9"/>
  <c r="J44" i="9" s="1"/>
  <c r="F45" i="9"/>
  <c r="F44" i="9" s="1"/>
  <c r="AG45" i="9"/>
  <c r="AG44" i="9" s="1"/>
  <c r="AC45" i="9"/>
  <c r="AC44" i="9" s="1"/>
  <c r="Y45" i="9"/>
  <c r="Y44" i="9" s="1"/>
  <c r="U45" i="9"/>
  <c r="U44" i="9" s="1"/>
  <c r="Q45" i="9"/>
  <c r="Q44" i="9" s="1"/>
  <c r="M45" i="9"/>
  <c r="M44" i="9" s="1"/>
  <c r="I45" i="9"/>
  <c r="I44" i="9" s="1"/>
  <c r="E45" i="9"/>
  <c r="E44" i="9" s="1"/>
  <c r="AQ7" i="2"/>
  <c r="AN7" i="2"/>
  <c r="AU5" i="2"/>
  <c r="AQ4" i="2"/>
  <c r="AN4" i="2"/>
  <c r="AN12" i="2"/>
  <c r="AQ12" i="2"/>
  <c r="AF95" i="7"/>
  <c r="AF95" i="6"/>
  <c r="AN8" i="2"/>
  <c r="AQ8" i="2"/>
  <c r="BF9" i="2"/>
  <c r="AU9" i="2"/>
  <c r="BF4" i="2"/>
  <c r="AU4" i="2"/>
  <c r="AI47" i="2"/>
  <c r="AL12" i="2" s="1"/>
  <c r="BI52" i="2"/>
  <c r="AG49" i="2" s="1"/>
  <c r="AZ60" i="2"/>
  <c r="I6" i="5"/>
  <c r="AD12" i="5" s="1"/>
  <c r="W12" i="5" s="1"/>
  <c r="S3" i="5" s="1"/>
  <c r="J39" i="9" s="1"/>
  <c r="AQ11" i="2"/>
  <c r="AN11" i="2"/>
  <c r="AI43" i="2"/>
  <c r="AL8" i="2" s="1"/>
  <c r="AN13" i="2"/>
  <c r="AQ13" i="2"/>
  <c r="BI48" i="2"/>
  <c r="AG45" i="2" s="1"/>
  <c r="AI49" i="2"/>
  <c r="AL14" i="2" s="1"/>
  <c r="BI40" i="2"/>
  <c r="AG37" i="2" s="1"/>
  <c r="AV15" i="2"/>
  <c r="O15" i="2" s="1"/>
  <c r="BF17" i="2"/>
  <c r="AU17" i="2"/>
  <c r="BF7" i="2"/>
  <c r="AU7" i="2"/>
  <c r="AN17" i="2"/>
  <c r="AQ17" i="2"/>
  <c r="AQ3" i="2"/>
  <c r="AN3" i="2"/>
  <c r="BI44" i="2"/>
  <c r="AG41" i="2" s="1"/>
  <c r="AN16" i="2"/>
  <c r="AQ16" i="2"/>
  <c r="AI45" i="2"/>
  <c r="AL10" i="2" s="1"/>
  <c r="AI37" i="2"/>
  <c r="AL2" i="2" s="1"/>
  <c r="AV11" i="2" l="1"/>
  <c r="O11" i="2" s="1"/>
  <c r="AH69" i="6" s="1"/>
  <c r="BF6" i="2"/>
  <c r="AV16" i="2"/>
  <c r="O16" i="2" s="1"/>
  <c r="AW16" i="2"/>
  <c r="D93" i="6"/>
  <c r="BF14" i="2"/>
  <c r="AU14" i="2"/>
  <c r="B95" i="7"/>
  <c r="B95" i="6"/>
  <c r="AU47" i="6"/>
  <c r="AU47" i="7"/>
  <c r="AU23" i="6"/>
  <c r="AU23" i="7"/>
  <c r="AF47" i="6"/>
  <c r="AF47" i="7"/>
  <c r="B47" i="7"/>
  <c r="B47" i="6"/>
  <c r="AW17" i="2"/>
  <c r="AV17" i="2"/>
  <c r="O17" i="2" s="1"/>
  <c r="AU2" i="2"/>
  <c r="BF2" i="2"/>
  <c r="AN6" i="2"/>
  <c r="AQ6" i="2"/>
  <c r="B119" i="7"/>
  <c r="B119" i="6"/>
  <c r="BF8" i="2"/>
  <c r="AU8" i="2"/>
  <c r="AW9" i="2"/>
  <c r="AV9" i="2"/>
  <c r="O9" i="2" s="1"/>
  <c r="AW6" i="2"/>
  <c r="AV6" i="2"/>
  <c r="O6" i="2" s="1"/>
  <c r="B71" i="7"/>
  <c r="B71" i="6"/>
  <c r="BF10" i="2"/>
  <c r="AU10" i="2"/>
  <c r="AF23" i="6"/>
  <c r="AF23" i="7"/>
  <c r="AW7" i="2"/>
  <c r="AV7" i="2"/>
  <c r="O7" i="2" s="1"/>
  <c r="AH93" i="7"/>
  <c r="AH93" i="6"/>
  <c r="AN10" i="2"/>
  <c r="AQ10" i="2"/>
  <c r="AF71" i="6"/>
  <c r="AF71" i="7"/>
  <c r="AN14" i="2"/>
  <c r="AQ14" i="2"/>
  <c r="BF12" i="2"/>
  <c r="AU12" i="2"/>
  <c r="AV5" i="2"/>
  <c r="O5" i="2" s="1"/>
  <c r="AW5" i="2"/>
  <c r="AU95" i="7"/>
  <c r="AU95" i="6"/>
  <c r="AI78" i="2"/>
  <c r="J30" i="2"/>
  <c r="AQ2" i="2"/>
  <c r="AN2" i="2"/>
  <c r="AW4" i="2"/>
  <c r="AV4" i="2"/>
  <c r="O4" i="2" s="1"/>
  <c r="AU71" i="7"/>
  <c r="AU71" i="6"/>
  <c r="B64" i="9"/>
  <c r="AW3" i="2"/>
  <c r="AV3" i="2"/>
  <c r="AH69" i="7" l="1"/>
  <c r="AW93" i="6"/>
  <c r="AW93" i="7"/>
  <c r="O3" i="2"/>
  <c r="AH21" i="7" s="1"/>
  <c r="AW21" i="6"/>
  <c r="AW21" i="7"/>
  <c r="AH45" i="6"/>
  <c r="AH45" i="7"/>
  <c r="AV10" i="2"/>
  <c r="O10" i="2" s="1"/>
  <c r="AW10" i="2"/>
  <c r="D69" i="7"/>
  <c r="D69" i="6"/>
  <c r="B78" i="9"/>
  <c r="C78" i="9" s="1"/>
  <c r="B77" i="9"/>
  <c r="C77" i="9" s="1"/>
  <c r="B76" i="9"/>
  <c r="C76" i="9" s="1"/>
  <c r="B75" i="9"/>
  <c r="C75" i="9" s="1"/>
  <c r="B65" i="9"/>
  <c r="C65" i="9" s="1"/>
  <c r="B73" i="9"/>
  <c r="C73" i="9" s="1"/>
  <c r="B71" i="9"/>
  <c r="C71" i="9" s="1"/>
  <c r="B69" i="9"/>
  <c r="C69" i="9" s="1"/>
  <c r="B67" i="9"/>
  <c r="C67" i="9" s="1"/>
  <c r="B81" i="9"/>
  <c r="C81" i="9" s="1"/>
  <c r="B79" i="9"/>
  <c r="C79" i="9" s="1"/>
  <c r="B66" i="9"/>
  <c r="C66" i="9" s="1"/>
  <c r="B84" i="9"/>
  <c r="C84" i="9" s="1"/>
  <c r="B83" i="9"/>
  <c r="C83" i="9" s="1"/>
  <c r="B82" i="9"/>
  <c r="C82" i="9" s="1"/>
  <c r="B80" i="9"/>
  <c r="C80" i="9" s="1"/>
  <c r="B74" i="9"/>
  <c r="C74" i="9" s="1"/>
  <c r="B72" i="9"/>
  <c r="C72" i="9" s="1"/>
  <c r="B70" i="9"/>
  <c r="C70" i="9" s="1"/>
  <c r="B68" i="9"/>
  <c r="C68" i="9" s="1"/>
  <c r="D45" i="7"/>
  <c r="D45" i="6"/>
  <c r="Q95" i="7"/>
  <c r="Q95" i="6"/>
  <c r="Q71" i="6"/>
  <c r="Q71" i="7"/>
  <c r="AW2" i="2"/>
  <c r="AV2" i="2"/>
  <c r="Q23" i="7"/>
  <c r="Q23" i="6"/>
  <c r="J28" i="2"/>
  <c r="AW12" i="2"/>
  <c r="AV12" i="2"/>
  <c r="O12" i="2" s="1"/>
  <c r="S45" i="7"/>
  <c r="S45" i="6"/>
  <c r="AV8" i="2"/>
  <c r="O8" i="2" s="1"/>
  <c r="AW8" i="2"/>
  <c r="D117" i="7"/>
  <c r="D117" i="6"/>
  <c r="AV14" i="2"/>
  <c r="O14" i="2" s="1"/>
  <c r="AW14" i="2"/>
  <c r="AH21" i="6"/>
  <c r="Q47" i="7"/>
  <c r="Q47" i="6"/>
  <c r="O2" i="2" l="1"/>
  <c r="S21" i="7" s="1"/>
  <c r="AN18" i="2"/>
  <c r="M20" i="2"/>
  <c r="L18" i="2"/>
  <c r="Q106" i="6" s="1"/>
  <c r="L20" i="2"/>
  <c r="AU106" i="7" s="1"/>
  <c r="I20" i="2"/>
  <c r="AS20" i="2" s="1"/>
  <c r="J18" i="2"/>
  <c r="Q102" i="7" s="1"/>
  <c r="M18" i="2"/>
  <c r="Q108" i="6" s="1"/>
  <c r="J19" i="2"/>
  <c r="AF102" i="7" s="1"/>
  <c r="N20" i="2"/>
  <c r="AU114" i="7" s="1"/>
  <c r="I19" i="2"/>
  <c r="Z19" i="2" s="1"/>
  <c r="J20" i="2"/>
  <c r="AU102" i="7" s="1"/>
  <c r="I18" i="2"/>
  <c r="Z18" i="2" s="1"/>
  <c r="K20" i="2"/>
  <c r="AU104" i="7" s="1"/>
  <c r="AN20" i="2"/>
  <c r="K19" i="2"/>
  <c r="AF104" i="7" s="1"/>
  <c r="N19" i="2"/>
  <c r="AF114" i="7" s="1"/>
  <c r="M19" i="2"/>
  <c r="AF108" i="7" s="1"/>
  <c r="K18" i="2"/>
  <c r="Q104" i="7" s="1"/>
  <c r="L19" i="2"/>
  <c r="AF106" i="6" s="1"/>
  <c r="S93" i="7"/>
  <c r="S93" i="6"/>
  <c r="AN19" i="2"/>
  <c r="J27" i="2" s="1"/>
  <c r="AW45" i="6"/>
  <c r="AW45" i="7"/>
  <c r="N18" i="2"/>
  <c r="AW69" i="7"/>
  <c r="AW69" i="6"/>
  <c r="Q119" i="7"/>
  <c r="Q119" i="6"/>
  <c r="AQ18" i="2"/>
  <c r="AU108" i="7"/>
  <c r="AU108" i="6"/>
  <c r="Z20" i="2"/>
  <c r="AU119" i="7"/>
  <c r="AU119" i="6"/>
  <c r="AQ20" i="2"/>
  <c r="S69" i="7"/>
  <c r="S69" i="6"/>
  <c r="Q104" i="6" l="1"/>
  <c r="Q102" i="6"/>
  <c r="AS19" i="2"/>
  <c r="O19" i="2"/>
  <c r="S21" i="6"/>
  <c r="AF108" i="6"/>
  <c r="Q108" i="7"/>
  <c r="AU102" i="6"/>
  <c r="Q106" i="7"/>
  <c r="AF104" i="6"/>
  <c r="AF106" i="7"/>
  <c r="O20" i="2"/>
  <c r="AW114" i="6" s="1"/>
  <c r="AU104" i="6"/>
  <c r="AU106" i="6"/>
  <c r="AU114" i="6"/>
  <c r="O18" i="2"/>
  <c r="S114" i="6" s="1"/>
  <c r="BB60" i="2"/>
  <c r="AF114" i="6"/>
  <c r="AF102" i="6"/>
  <c r="AS18" i="2"/>
  <c r="AH114" i="7"/>
  <c r="AH114" i="6"/>
  <c r="J32" i="2"/>
  <c r="J29" i="2"/>
  <c r="J31" i="2" s="1"/>
  <c r="B60" i="2" s="1"/>
  <c r="F33" i="2" s="1"/>
  <c r="AH104" i="7"/>
  <c r="AH104" i="6"/>
  <c r="AW104" i="7"/>
  <c r="AW104" i="6"/>
  <c r="S104" i="7"/>
  <c r="S104" i="6"/>
  <c r="AF119" i="7"/>
  <c r="AF119" i="6"/>
  <c r="AQ19" i="2"/>
  <c r="Q114" i="7"/>
  <c r="Q114" i="6"/>
  <c r="AW114" i="7" l="1"/>
  <c r="S114" i="7"/>
  <c r="D6" i="7"/>
  <c r="D6" i="6"/>
</calcChain>
</file>

<file path=xl/sharedStrings.xml><?xml version="1.0" encoding="utf-8"?>
<sst xmlns="http://schemas.openxmlformats.org/spreadsheetml/2006/main" count="4001" uniqueCount="1372">
  <si>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</si>
  <si>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</si>
  <si>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</si>
  <si>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</si>
  <si>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</si>
  <si>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</si>
  <si>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</si>
  <si>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</si>
  <si>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</si>
  <si>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</si>
  <si>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</si>
  <si>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</si>
  <si>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</si>
  <si>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</si>
  <si>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</si>
  <si>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</si>
  <si>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</si>
  <si>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</si>
  <si>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</si>
  <si>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</si>
  <si>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</si>
  <si>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</si>
  <si>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</si>
  <si>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</si>
  <si>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</si>
  <si>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</si>
  <si>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</si>
  <si>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</si>
  <si>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</si>
  <si>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</si>
  <si>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</si>
  <si>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</si>
  <si>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</si>
  <si>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</si>
  <si>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</si>
  <si>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</si>
  <si>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</si>
  <si>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</si>
  <si>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</si>
  <si>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</si>
  <si>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</si>
  <si>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</si>
  <si>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</si>
  <si>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</si>
  <si>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</si>
  <si>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</si>
  <si>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</si>
  <si>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</si>
  <si>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</si>
  <si>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</si>
  <si>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</si>
  <si>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</si>
  <si>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</si>
  <si>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</si>
  <si>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</si>
  <si>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</si>
  <si>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</si>
  <si>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t>
  </si>
  <si>
    <t>RACES COMBO</t>
  </si>
  <si>
    <t>REROLL</t>
  </si>
  <si>
    <t>APO</t>
  </si>
  <si>
    <t>BIG GUYS</t>
  </si>
  <si>
    <t>SPECIAL RULES</t>
  </si>
  <si>
    <t>COMBO STAR PLAYERS</t>
  </si>
  <si>
    <t>EN</t>
  </si>
  <si>
    <t>ES</t>
  </si>
  <si>
    <t>DE</t>
  </si>
  <si>
    <t>FR</t>
  </si>
  <si>
    <t>Amazon</t>
  </si>
  <si>
    <t>LustrianSuperleague</t>
  </si>
  <si>
    <t>Amazonas</t>
  </si>
  <si>
    <t>Amazonen</t>
  </si>
  <si>
    <t>Amazones</t>
  </si>
  <si>
    <t>Alianza del Viejo Mundo</t>
  </si>
  <si>
    <t>Alliance du Vieux Monde</t>
  </si>
  <si>
    <t>Black Orc</t>
  </si>
  <si>
    <t>BlackOrc</t>
  </si>
  <si>
    <t>BadlandsBrawl</t>
  </si>
  <si>
    <t>Bribery and Corruption</t>
  </si>
  <si>
    <t>Orcos Negros</t>
  </si>
  <si>
    <t>Black Orks</t>
  </si>
  <si>
    <t>Orques noirs</t>
  </si>
  <si>
    <t>Altos Elfos</t>
  </si>
  <si>
    <t>Chaos Chosen</t>
  </si>
  <si>
    <t>ChaosChosen</t>
  </si>
  <si>
    <t>Favouredof</t>
  </si>
  <si>
    <t>Caos</t>
  </si>
  <si>
    <t xml:space="preserve">Chaos Chosen </t>
  </si>
  <si>
    <t>Élus du chaos</t>
  </si>
  <si>
    <t>Bas-Fonds</t>
  </si>
  <si>
    <t>Chaos Dwarf</t>
  </si>
  <si>
    <t>ChaosDwarf</t>
  </si>
  <si>
    <t>FavouredofWorldsEdgeSuperleagueBadlandsBrawl</t>
  </si>
  <si>
    <t>Enanos del Caos</t>
  </si>
  <si>
    <t>Chaoszwerge</t>
  </si>
  <si>
    <t>Nains du Chaos</t>
  </si>
  <si>
    <t xml:space="preserve">Chaos Renegade </t>
  </si>
  <si>
    <t>Elfes noirs</t>
  </si>
  <si>
    <t>Chaos Renegades</t>
  </si>
  <si>
    <t>ChaosRenegades</t>
  </si>
  <si>
    <t>Pacto del Caos</t>
  </si>
  <si>
    <t>Renegats du Chaos</t>
  </si>
  <si>
    <t>Elfos Oscuros</t>
  </si>
  <si>
    <t>Elfes Sylvains</t>
  </si>
  <si>
    <t>Dark Elf</t>
  </si>
  <si>
    <t>DarkElf</t>
  </si>
  <si>
    <t>ElvenKingdomsLeague</t>
  </si>
  <si>
    <t>Dunkelelfen</t>
  </si>
  <si>
    <t>Elfos Pro</t>
  </si>
  <si>
    <t>Dwarf</t>
  </si>
  <si>
    <t>OldWorldClassicWorldsEdgeSuperleague</t>
  </si>
  <si>
    <t>Enanos</t>
  </si>
  <si>
    <t>Zwerge</t>
  </si>
  <si>
    <t>Nains</t>
  </si>
  <si>
    <t>Elfos Silvanos</t>
  </si>
  <si>
    <t>Elfen-Union</t>
  </si>
  <si>
    <t>Gobelins</t>
  </si>
  <si>
    <t>Elven Union</t>
  </si>
  <si>
    <t>ElvenUnion</t>
  </si>
  <si>
    <t>Union Elfique</t>
  </si>
  <si>
    <t xml:space="preserve">Goblins </t>
  </si>
  <si>
    <t xml:space="preserve">Halflings </t>
  </si>
  <si>
    <t>Goblin</t>
  </si>
  <si>
    <t>BadlandsBrawlUnderworldChallenge</t>
  </si>
  <si>
    <t>Goblins</t>
  </si>
  <si>
    <t>Halflinge</t>
  </si>
  <si>
    <t>Hauts Elfes</t>
  </si>
  <si>
    <t>Halfling</t>
  </si>
  <si>
    <t>HalflingThimbleCupOldWorldClassic</t>
  </si>
  <si>
    <t>Halflings</t>
  </si>
  <si>
    <t>Hochelfen</t>
  </si>
  <si>
    <t>Hommes-Lézards</t>
  </si>
  <si>
    <t>High Elf</t>
  </si>
  <si>
    <t>HighElf</t>
  </si>
  <si>
    <t xml:space="preserve">Imperial Nobility </t>
  </si>
  <si>
    <t>Horreurs Nécromantiques</t>
  </si>
  <si>
    <t>Human</t>
  </si>
  <si>
    <t>OldWorldClassic</t>
  </si>
  <si>
    <t>Humanos</t>
  </si>
  <si>
    <t>Menschen</t>
  </si>
  <si>
    <t>Humains</t>
  </si>
  <si>
    <t xml:space="preserve">Khorne  </t>
  </si>
  <si>
    <t>Imperial Nobility</t>
  </si>
  <si>
    <t>ImperialNobility</t>
  </si>
  <si>
    <t>Nobles Imperiales</t>
  </si>
  <si>
    <t>Noblesse Impériale</t>
  </si>
  <si>
    <t>Inframundo</t>
  </si>
  <si>
    <t xml:space="preserve">Lizardman </t>
  </si>
  <si>
    <t xml:space="preserve">Khorne    </t>
  </si>
  <si>
    <t>Khorne</t>
  </si>
  <si>
    <t xml:space="preserve">Khorne </t>
  </si>
  <si>
    <t xml:space="preserve">Khorne   </t>
  </si>
  <si>
    <t>Khemri</t>
  </si>
  <si>
    <t>Morts-Vivants</t>
  </si>
  <si>
    <t>Lizardman</t>
  </si>
  <si>
    <t>Lagartos</t>
  </si>
  <si>
    <t>Necromantic-Horror</t>
  </si>
  <si>
    <t>*</t>
  </si>
  <si>
    <t>Necromantic</t>
  </si>
  <si>
    <t>SylvanianSpotlight</t>
  </si>
  <si>
    <t>Sylvanian</t>
  </si>
  <si>
    <t>Nigromanticos</t>
  </si>
  <si>
    <t xml:space="preserve">Norse </t>
  </si>
  <si>
    <t>Norse</t>
  </si>
  <si>
    <t>LustrianSuperleagueOldWorldClassic</t>
  </si>
  <si>
    <t>Nórdicos</t>
  </si>
  <si>
    <t>Nordiques</t>
  </si>
  <si>
    <t xml:space="preserve">Nurgle </t>
  </si>
  <si>
    <t>Nurgle</t>
  </si>
  <si>
    <t xml:space="preserve">Nurgle  </t>
  </si>
  <si>
    <t xml:space="preserve">Nurgle   </t>
  </si>
  <si>
    <t>No Muertos</t>
  </si>
  <si>
    <t>Oger</t>
  </si>
  <si>
    <t>SPONSORS</t>
  </si>
  <si>
    <t xml:space="preserve">x </t>
  </si>
  <si>
    <t>Ogre</t>
  </si>
  <si>
    <t>BadlandsBrawlOldWorldClassic</t>
  </si>
  <si>
    <t>LowCost</t>
  </si>
  <si>
    <t>Ogros</t>
  </si>
  <si>
    <t>Ogres</t>
  </si>
  <si>
    <t xml:space="preserve">Old World Alliance </t>
  </si>
  <si>
    <t>Old World Alliance</t>
  </si>
  <si>
    <t>OldWorldAlliance</t>
  </si>
  <si>
    <t>Orks</t>
  </si>
  <si>
    <t>Orc</t>
  </si>
  <si>
    <t>Orcos</t>
  </si>
  <si>
    <t>Orques</t>
  </si>
  <si>
    <t xml:space="preserve">Shambling Undead </t>
  </si>
  <si>
    <t>Shambling Undead</t>
  </si>
  <si>
    <t>ShamblingUndead</t>
  </si>
  <si>
    <t xml:space="preserve">Slann  </t>
  </si>
  <si>
    <t>English</t>
  </si>
  <si>
    <t>WIZARDS</t>
  </si>
  <si>
    <t>Slann</t>
  </si>
  <si>
    <t xml:space="preserve">Slann </t>
  </si>
  <si>
    <t>Slans</t>
  </si>
  <si>
    <t xml:space="preserve">Skaven  </t>
  </si>
  <si>
    <t>(IN)FAMOUS COACHES</t>
  </si>
  <si>
    <t>Skaven</t>
  </si>
  <si>
    <t>UnderworldChallenge</t>
  </si>
  <si>
    <t xml:space="preserve">Skaven </t>
  </si>
  <si>
    <t xml:space="preserve">Skaven   </t>
  </si>
  <si>
    <t>Snotlinge</t>
  </si>
  <si>
    <t>Roi des Tombes Kehmri</t>
  </si>
  <si>
    <t>Snotling</t>
  </si>
  <si>
    <t xml:space="preserve">Snotling </t>
  </si>
  <si>
    <t>Snotlings</t>
  </si>
  <si>
    <t xml:space="preserve">Tomb King </t>
  </si>
  <si>
    <t>BIASED REFEREE</t>
  </si>
  <si>
    <t>Tomb King</t>
  </si>
  <si>
    <t>TombKing</t>
  </si>
  <si>
    <t xml:space="preserve">Underworld Denizen </t>
  </si>
  <si>
    <t>OTHER INDUCEMENTS</t>
  </si>
  <si>
    <t>Underworld Denizens</t>
  </si>
  <si>
    <t>UnderworldDenizens</t>
  </si>
  <si>
    <t xml:space="preserve">Vampire </t>
  </si>
  <si>
    <t>Vampire</t>
  </si>
  <si>
    <t>Vampiros</t>
  </si>
  <si>
    <t>Vampires</t>
  </si>
  <si>
    <t>Waldelfen</t>
  </si>
  <si>
    <t>Wood Elf</t>
  </si>
  <si>
    <t>WoodElf</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</si>
  <si>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</si>
  <si>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</si>
  <si>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</si>
  <si>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</si>
  <si>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</si>
  <si>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</si>
  <si>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</si>
  <si>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</si>
  <si>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</si>
  <si>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</si>
  <si>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</si>
  <si>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</si>
  <si>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</si>
  <si>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</si>
  <si>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</si>
  <si>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</si>
  <si>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</si>
  <si>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</si>
  <si>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</si>
  <si>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</si>
  <si>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</si>
  <si>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</si>
  <si>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</si>
  <si>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</si>
  <si>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</si>
  <si>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</si>
  <si>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</si>
  <si>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</si>
  <si>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</si>
  <si>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</si>
  <si>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</si>
  <si>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</si>
  <si>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</si>
  <si>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</si>
  <si>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</si>
  <si>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</si>
  <si>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</si>
  <si>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</si>
  <si>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</si>
  <si>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</si>
  <si>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</si>
  <si>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</si>
  <si>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</si>
  <si>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</si>
  <si>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</si>
  <si>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</si>
  <si>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</si>
  <si>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</si>
  <si>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</si>
  <si>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</si>
  <si>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PARTIAL REFEREE</t>
  </si>
  <si>
    <t>WAAAGH! DRUMMER</t>
  </si>
  <si>
    <t>MCMURTY’S BURGER EMPORIUM</t>
  </si>
  <si>
    <t>KARI COLDSTEEL</t>
  </si>
  <si>
    <t>CHAOS SORCERER</t>
  </si>
  <si>
    <t>RANULF ‘RED’ HOKULI</t>
  </si>
  <si>
    <t>CAVORTING NURGLINGS</t>
  </si>
  <si>
    <t>FARBLAST &amp; SONS ORDNANCE SOLUTIONS</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</si>
  <si>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</si>
  <si>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</si>
  <si>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</si>
  <si>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</si>
  <si>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</si>
  <si>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</si>
  <si>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</si>
  <si>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</si>
  <si>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</si>
  <si>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</si>
  <si>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</si>
  <si>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</si>
  <si>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</si>
  <si>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</si>
  <si>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</si>
  <si>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</si>
  <si>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</si>
  <si>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</si>
  <si>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</si>
  <si>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</si>
  <si>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</si>
  <si>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Italiano</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</si>
  <si>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</si>
  <si>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</si>
  <si>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</si>
  <si>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</si>
  <si>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</si>
  <si>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</si>
  <si>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</si>
  <si>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</si>
  <si>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</si>
  <si>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</si>
  <si>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</si>
  <si>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</si>
  <si>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</si>
  <si>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</si>
  <si>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</si>
  <si>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</si>
  <si>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</si>
  <si>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</si>
  <si>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</si>
  <si>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</si>
  <si>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</si>
  <si>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</si>
  <si>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</si>
  <si>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</si>
  <si>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</si>
  <si>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Stunty Superstar</t>
  </si>
  <si>
    <t>COMBO</t>
  </si>
  <si>
    <t>Mercenaries</t>
  </si>
  <si>
    <t>Dodge</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</si>
  <si>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</si>
  <si>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</si>
  <si>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</si>
  <si>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</si>
  <si>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</si>
  <si>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</si>
  <si>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</si>
  <si>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</si>
  <si>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</si>
  <si>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</si>
  <si>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</si>
  <si>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</si>
  <si>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</si>
  <si>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</si>
  <si>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</si>
  <si>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</si>
  <si>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</si>
  <si>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</si>
  <si>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</si>
  <si>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</si>
  <si>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</si>
  <si>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</si>
  <si>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</si>
  <si>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</si>
  <si>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</si>
  <si>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</si>
  <si>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</si>
  <si>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</si>
  <si>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</si>
  <si>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</si>
  <si>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</si>
  <si>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</si>
  <si>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</si>
  <si>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</si>
  <si>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</si>
  <si>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</si>
  <si>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</si>
  <si>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</si>
  <si>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</si>
  <si>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</si>
  <si>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</si>
  <si>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</si>
  <si>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</si>
  <si>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</si>
  <si>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</si>
  <si>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</si>
  <si>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</si>
  <si>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</si>
  <si>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</si>
  <si>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</si>
  <si>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</si>
  <si>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</si>
  <si>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</si>
  <si>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</si>
  <si>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</si>
  <si>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</si>
  <si>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</si>
  <si>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</si>
  <si>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</si>
  <si>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</si>
  <si>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</si>
  <si>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</si>
  <si>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</si>
  <si>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</si>
  <si>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</si>
  <si>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</si>
  <si>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</si>
  <si>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</si>
  <si>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</si>
  <si>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</si>
  <si>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</si>
  <si>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</si>
  <si>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</si>
  <si>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</si>
  <si>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</si>
  <si>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</si>
  <si>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</si>
  <si>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</si>
  <si>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</si>
  <si>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</si>
  <si>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</si>
  <si>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</si>
  <si>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</si>
  <si>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</si>
  <si>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</si>
  <si>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</si>
  <si>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</si>
  <si>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</si>
  <si>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</si>
  <si>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</si>
  <si>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</si>
  <si>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</si>
  <si>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</si>
  <si>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</si>
  <si>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</si>
  <si>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</si>
  <si>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</si>
  <si>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</si>
  <si>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</si>
  <si>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</si>
  <si>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</si>
  <si>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</si>
  <si>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</si>
  <si>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</si>
  <si>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</si>
  <si>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</si>
  <si>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</si>
  <si>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</si>
  <si>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</si>
  <si>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</si>
  <si>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</si>
  <si>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</si>
  <si>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</si>
  <si>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</si>
  <si>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</si>
  <si>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</si>
  <si>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</si>
  <si>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</si>
  <si>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</si>
  <si>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</si>
  <si>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</si>
  <si>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</si>
  <si>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</si>
  <si>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</si>
  <si>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</si>
  <si>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</si>
  <si>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</si>
  <si>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</si>
  <si>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</si>
  <si>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</si>
  <si>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</si>
  <si>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</si>
  <si>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</si>
  <si>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</si>
  <si>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</si>
  <si>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</si>
  <si>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</si>
  <si>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</si>
  <si>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</si>
  <si>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</si>
  <si>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</si>
  <si>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</si>
  <si>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</si>
  <si>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</si>
  <si>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</si>
  <si>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</si>
  <si>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</si>
  <si>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</si>
  <si>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</si>
  <si>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</si>
  <si>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</si>
  <si>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</si>
  <si>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</si>
  <si>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</si>
  <si>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</si>
  <si>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</si>
  <si>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</si>
  <si>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</si>
  <si>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</si>
  <si>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</si>
  <si>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</si>
  <si>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</si>
  <si>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</si>
  <si>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</si>
  <si>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</si>
  <si>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</si>
  <si>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</si>
  <si>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</si>
  <si>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</si>
  <si>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</si>
  <si>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</si>
  <si>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</si>
  <si>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</si>
  <si>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</si>
  <si>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</si>
  <si>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</si>
  <si>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</si>
  <si>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</si>
  <si>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</si>
  <si>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</si>
  <si>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</si>
  <si>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</si>
  <si>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</si>
  <si>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</si>
  <si>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</si>
  <si>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</si>
  <si>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</si>
  <si>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</si>
  <si>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</si>
  <si>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</si>
  <si>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</si>
  <si>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</si>
  <si>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</si>
  <si>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</si>
  <si>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</si>
  <si>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</si>
  <si>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</si>
  <si>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</si>
  <si>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</si>
  <si>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</si>
  <si>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</si>
  <si>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</si>
  <si>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</si>
  <si>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</si>
  <si>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</si>
  <si>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</si>
  <si>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</si>
  <si>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</si>
  <si>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</si>
  <si>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</si>
  <si>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</si>
  <si>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</si>
  <si>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</si>
  <si>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</si>
  <si>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</si>
  <si>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</si>
  <si>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</si>
  <si>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</si>
  <si>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</si>
  <si>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</si>
  <si>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</si>
  <si>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</si>
  <si>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</si>
  <si>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</si>
  <si>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</si>
  <si>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</si>
  <si>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</si>
  <si>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</si>
  <si>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</si>
  <si>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</si>
  <si>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</si>
  <si>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</si>
  <si>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</si>
  <si>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</si>
  <si>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</si>
  <si>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</si>
  <si>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</si>
  <si>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</si>
  <si>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</si>
  <si>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</si>
  <si>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</si>
  <si>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</si>
  <si>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</si>
  <si>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</si>
  <si>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</si>
  <si>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</si>
  <si>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</si>
  <si>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</si>
  <si>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</si>
  <si>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</si>
  <si>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</si>
  <si>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</si>
  <si>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</si>
  <si>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</si>
  <si>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</si>
  <si>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</si>
  <si>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</si>
  <si>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</si>
  <si>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</si>
  <si>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</si>
  <si>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</si>
  <si>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</si>
  <si>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</si>
  <si>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</si>
  <si>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</si>
  <si>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</si>
  <si>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</si>
  <si>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</si>
  <si>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</si>
  <si>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</si>
  <si>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</si>
  <si>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</si>
  <si>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</si>
  <si>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</si>
  <si>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</si>
  <si>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</si>
  <si>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</si>
  <si>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</si>
  <si>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</si>
  <si>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</si>
  <si>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</si>
  <si>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</si>
  <si>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</si>
  <si>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</si>
  <si>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</si>
  <si>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</si>
  <si>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</si>
  <si>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</si>
  <si>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</si>
  <si>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</si>
  <si>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</si>
  <si>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</si>
  <si>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</si>
  <si>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</si>
  <si>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</si>
  <si>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</si>
  <si>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</si>
  <si>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</si>
  <si>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</si>
  <si>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</si>
  <si>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</si>
  <si>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</si>
  <si>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</si>
  <si>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</si>
  <si>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</si>
  <si>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</si>
  <si>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</si>
  <si>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</si>
  <si>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</si>
  <si>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</si>
  <si>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</si>
  <si>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</si>
  <si>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</si>
  <si>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</si>
  <si>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</si>
  <si>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</si>
  <si>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</si>
  <si>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</si>
  <si>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</si>
  <si>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</si>
  <si>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</si>
  <si>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</si>
  <si>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</si>
  <si>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</si>
  <si>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</si>
  <si>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</si>
  <si>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</si>
  <si>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</si>
  <si>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</si>
  <si>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</si>
  <si>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</si>
  <si>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</si>
  <si>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</si>
  <si>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</si>
  <si>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</si>
  <si>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</si>
  <si>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</si>
  <si>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</si>
  <si>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</si>
  <si>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Furia</t>
  </si>
  <si>
    <t>Rasend</t>
  </si>
  <si>
    <t>Frénésie</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</si>
  <si>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</si>
  <si>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</si>
  <si>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</si>
  <si>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</si>
  <si>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</si>
  <si>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</si>
  <si>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</si>
  <si>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</si>
  <si>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</si>
  <si>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</si>
  <si>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</si>
  <si>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</si>
  <si>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</si>
  <si>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</si>
  <si>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</si>
  <si>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</si>
  <si>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</si>
  <si>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</si>
  <si>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</si>
  <si>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</si>
  <si>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</si>
  <si>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</si>
  <si>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</si>
  <si>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</si>
  <si>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</si>
  <si>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</si>
  <si>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</si>
  <si>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</si>
  <si>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</si>
  <si>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</si>
  <si>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</si>
  <si>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</si>
  <si>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</si>
  <si>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</si>
  <si>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</si>
  <si>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</si>
  <si>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</si>
  <si>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</si>
  <si>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</si>
  <si>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</si>
  <si>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</si>
  <si>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</si>
  <si>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</si>
  <si>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</si>
  <si>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</si>
  <si>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</si>
  <si>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</si>
  <si>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</si>
  <si>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</si>
  <si>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</si>
  <si>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</si>
  <si>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</si>
  <si>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</si>
  <si>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</si>
  <si>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</si>
  <si>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</si>
  <si>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</si>
  <si>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</si>
  <si>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</si>
  <si>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</si>
  <si>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</si>
  <si>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</si>
  <si>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</si>
  <si>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</si>
  <si>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</si>
  <si>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</si>
  <si>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</si>
  <si>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</si>
  <si>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</si>
  <si>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</si>
  <si>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</si>
  <si>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</si>
  <si>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</si>
  <si>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</si>
  <si>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</si>
  <si>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</si>
  <si>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</si>
  <si>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</si>
  <si>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</si>
  <si>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</si>
  <si>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</si>
  <si>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</si>
  <si>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</si>
  <si>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</si>
  <si>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</si>
  <si>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</si>
  <si>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</si>
  <si>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</si>
  <si>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</si>
  <si>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</si>
  <si>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</si>
  <si>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</si>
  <si>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</si>
  <si>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</si>
  <si>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</si>
  <si>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</si>
  <si>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</si>
  <si>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</si>
  <si>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</si>
  <si>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</si>
  <si>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</si>
  <si>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</si>
  <si>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</si>
  <si>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</si>
  <si>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</si>
  <si>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</si>
  <si>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</si>
  <si>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</si>
  <si>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</si>
  <si>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</si>
  <si>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</si>
  <si>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</si>
  <si>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</si>
  <si>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</si>
  <si>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</si>
  <si>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</si>
  <si>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</si>
  <si>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</si>
  <si>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</si>
  <si>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</si>
  <si>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</si>
  <si>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</si>
  <si>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</si>
  <si>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</si>
  <si>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</si>
  <si>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</si>
  <si>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</si>
  <si>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</si>
  <si>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</si>
  <si>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</si>
  <si>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</si>
  <si>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</si>
  <si>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</si>
  <si>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</si>
  <si>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</si>
  <si>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</si>
  <si>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</si>
  <si>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</si>
  <si>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</si>
  <si>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</si>
  <si>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</si>
  <si>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</si>
  <si>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</si>
  <si>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</si>
  <si>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</si>
  <si>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</si>
  <si>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</si>
  <si>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</si>
  <si>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</si>
  <si>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</si>
  <si>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</si>
  <si>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</si>
  <si>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</si>
  <si>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</si>
  <si>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</si>
  <si>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</si>
  <si>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</si>
  <si>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</si>
  <si>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</si>
  <si>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</si>
  <si>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</si>
  <si>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</si>
  <si>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</si>
  <si>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</si>
  <si>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</si>
  <si>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</si>
  <si>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</si>
  <si>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</si>
  <si>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</si>
  <si>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</si>
  <si>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</si>
  <si>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</si>
  <si>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</si>
  <si>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</si>
  <si>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</si>
  <si>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</si>
  <si>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</si>
  <si>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</si>
  <si>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</si>
  <si>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</si>
  <si>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</si>
  <si>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</si>
  <si>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</si>
  <si>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</si>
  <si>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</si>
  <si>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</si>
  <si>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</si>
  <si>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</si>
  <si>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</si>
  <si>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</si>
  <si>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</si>
  <si>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</si>
  <si>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</si>
  <si>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</si>
  <si>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</si>
  <si>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</si>
  <si>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</si>
  <si>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</si>
  <si>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</si>
  <si>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</si>
  <si>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</si>
  <si>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</si>
  <si>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</si>
  <si>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</si>
  <si>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</si>
  <si>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</si>
  <si>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</si>
  <si>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</si>
  <si>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</si>
  <si>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</si>
  <si>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</si>
  <si>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</si>
  <si>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</si>
  <si>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</si>
  <si>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</si>
  <si>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</si>
  <si>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</si>
  <si>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</si>
  <si>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</si>
  <si>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</si>
  <si>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</si>
  <si>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</si>
  <si>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</si>
  <si>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</si>
  <si>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</si>
  <si>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</si>
  <si>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</si>
  <si>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</si>
  <si>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</si>
  <si>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</si>
  <si>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</si>
  <si>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</si>
  <si>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</si>
  <si>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</si>
  <si>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</si>
  <si>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</si>
  <si>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</si>
  <si>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</si>
  <si>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</si>
  <si>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</si>
  <si>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</si>
  <si>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</si>
  <si>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</si>
  <si>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</si>
  <si>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</si>
  <si>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</si>
  <si>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</si>
  <si>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</si>
  <si>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</si>
  <si>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</si>
  <si>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</si>
  <si>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</si>
  <si>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</si>
  <si>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</si>
  <si>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</si>
  <si>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</si>
  <si>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</si>
  <si>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</si>
  <si>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</si>
  <si>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</si>
  <si>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</si>
  <si>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</si>
  <si>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</si>
  <si>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</si>
  <si>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</si>
  <si>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</si>
  <si>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</si>
  <si>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</si>
  <si>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</si>
  <si>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</si>
  <si>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</si>
  <si>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</si>
  <si>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</si>
  <si>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</si>
  <si>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</si>
  <si>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</si>
  <si>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</si>
  <si>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</si>
  <si>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</si>
  <si>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</si>
  <si>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</si>
  <si>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</si>
  <si>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</si>
  <si>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</si>
  <si>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</si>
  <si>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</si>
  <si>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</si>
  <si>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</si>
  <si>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</si>
  <si>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</si>
  <si>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</si>
  <si>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</si>
  <si>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</si>
  <si>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</si>
  <si>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</si>
  <si>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</si>
  <si>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</si>
  <si>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</si>
  <si>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</si>
  <si>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</si>
  <si>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</si>
  <si>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</si>
  <si>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</si>
  <si>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</si>
  <si>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</si>
  <si>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</si>
  <si>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</si>
  <si>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</si>
  <si>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</si>
  <si>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</si>
  <si>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</si>
  <si>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</si>
  <si>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</si>
  <si>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</si>
  <si>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</si>
  <si>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</si>
  <si>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</si>
  <si>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</si>
  <si>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</si>
  <si>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</si>
  <si>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</si>
  <si>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</si>
  <si>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</si>
  <si>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</si>
  <si>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</si>
  <si>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</si>
  <si>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</si>
  <si>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</si>
  <si>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</si>
  <si>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</si>
  <si>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</si>
  <si>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</si>
  <si>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</si>
  <si>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</si>
  <si>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</si>
  <si>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</si>
  <si>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</si>
  <si>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</si>
  <si>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</si>
  <si>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</si>
  <si>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</si>
  <si>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</si>
  <si>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</si>
  <si>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</si>
  <si>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</si>
  <si>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</si>
  <si>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</si>
  <si>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</si>
  <si>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</si>
  <si>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</si>
  <si>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</si>
  <si>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</si>
  <si>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</si>
  <si>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</si>
  <si>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</si>
  <si>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</si>
  <si>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</si>
  <si>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</si>
  <si>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</si>
  <si>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</si>
  <si>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</si>
  <si>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</si>
  <si>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</si>
  <si>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</si>
  <si>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</si>
  <si>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</si>
  <si>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</si>
  <si>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</si>
  <si>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</si>
  <si>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</si>
  <si>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</si>
  <si>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</si>
  <si>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</si>
  <si>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</si>
  <si>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</si>
  <si>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</si>
  <si>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</si>
  <si>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</si>
  <si>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</si>
  <si>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</si>
  <si>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</si>
  <si>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</si>
  <si>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</si>
  <si>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</si>
  <si>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</si>
  <si>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</si>
  <si>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</si>
  <si>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</si>
  <si>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</si>
  <si>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</si>
  <si>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</si>
  <si>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</si>
  <si>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</si>
  <si>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</si>
  <si>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</si>
  <si>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</si>
  <si>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</si>
  <si>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</si>
  <si>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</si>
  <si>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</si>
  <si>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</si>
  <si>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</si>
  <si>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</si>
  <si>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</si>
  <si>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</si>
  <si>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</si>
  <si>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</si>
  <si>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</si>
  <si>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</si>
  <si>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</si>
  <si>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</si>
  <si>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</si>
  <si>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</si>
  <si>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</si>
  <si>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</si>
  <si>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</si>
  <si>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</si>
  <si>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</si>
  <si>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</si>
  <si>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</si>
  <si>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</si>
  <si>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</si>
  <si>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</si>
  <si>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</si>
  <si>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</si>
  <si>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</si>
  <si>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</si>
  <si>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</si>
  <si>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</si>
  <si>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</si>
  <si>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</si>
  <si>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</si>
  <si>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</si>
  <si>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</si>
  <si>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</si>
  <si>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</si>
  <si>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</si>
  <si>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</si>
  <si>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</si>
  <si>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</si>
  <si>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</si>
  <si>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</si>
  <si>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</si>
  <si>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</si>
  <si>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</si>
  <si>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</si>
  <si>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</si>
  <si>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</si>
  <si>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</si>
  <si>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</si>
  <si>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</si>
  <si>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</si>
  <si>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</si>
  <si>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</si>
  <si>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</si>
  <si>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</si>
  <si>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</si>
  <si>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</si>
  <si>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</si>
  <si>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</si>
  <si>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</si>
  <si>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</si>
  <si>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</si>
  <si>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</si>
  <si>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</si>
  <si>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</si>
  <si>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</si>
  <si>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</si>
  <si>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</si>
  <si>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</si>
  <si>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</si>
  <si>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</si>
  <si>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</si>
  <si>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</si>
  <si>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</si>
  <si>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</si>
  <si>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</si>
  <si>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</si>
  <si>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</si>
  <si>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</si>
  <si>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</si>
  <si>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</si>
  <si>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</si>
  <si>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</si>
  <si>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</si>
  <si>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</si>
  <si>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</si>
  <si>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</si>
  <si>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</si>
  <si>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</si>
  <si>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</si>
  <si>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</si>
  <si>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</si>
  <si>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</si>
  <si>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</si>
  <si>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</si>
  <si>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</si>
  <si>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</si>
  <si>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</si>
  <si>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</si>
  <si>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</si>
  <si>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</si>
  <si>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</si>
  <si>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</si>
  <si>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</si>
  <si>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</si>
  <si>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</si>
  <si>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</si>
  <si>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</si>
  <si>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</si>
  <si>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</si>
  <si>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</si>
  <si>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</si>
  <si>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</si>
  <si>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</si>
  <si>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</si>
  <si>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</si>
  <si>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</si>
  <si>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</si>
  <si>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</si>
  <si>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</si>
  <si>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</si>
  <si>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</si>
  <si>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</si>
  <si>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</si>
  <si>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</si>
  <si>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</si>
  <si>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</si>
  <si>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</si>
  <si>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</si>
  <si>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</si>
  <si>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</si>
  <si>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</si>
  <si>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</si>
  <si>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</si>
  <si>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</si>
  <si>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</si>
  <si>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</si>
  <si>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</si>
  <si>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</si>
  <si>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</si>
  <si>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</si>
  <si>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</si>
  <si>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</si>
  <si>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</si>
  <si>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</si>
  <si>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</si>
  <si>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</si>
  <si>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</si>
  <si>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</si>
  <si>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</si>
  <si>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</si>
  <si>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</si>
  <si>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</si>
  <si>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</si>
  <si>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</si>
  <si>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</si>
  <si>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</si>
  <si>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</si>
  <si>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</si>
  <si>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</si>
  <si>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</si>
  <si>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</si>
  <si>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</si>
  <si>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</si>
  <si>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</si>
  <si>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</si>
  <si>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</si>
  <si>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</si>
  <si>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</si>
  <si>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</si>
  <si>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</si>
  <si>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</si>
  <si>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</si>
  <si>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</si>
  <si>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</si>
  <si>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</si>
  <si>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</si>
  <si>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</si>
  <si>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</si>
  <si>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</si>
  <si>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</si>
  <si>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</si>
  <si>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</si>
  <si>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</si>
  <si>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</si>
  <si>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</si>
  <si>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</si>
  <si>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</si>
  <si>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</si>
  <si>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</si>
  <si>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</si>
  <si>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</si>
  <si>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</si>
  <si>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</si>
  <si>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</si>
  <si>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</si>
  <si>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</si>
  <si>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</si>
  <si>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</si>
  <si>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</si>
  <si>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</si>
  <si>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</si>
  <si>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</si>
  <si>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</si>
  <si>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</si>
  <si>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</si>
  <si>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</si>
  <si>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</si>
  <si>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</si>
  <si>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</si>
  <si>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</si>
  <si>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</si>
  <si>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</si>
  <si>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</si>
  <si>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</si>
  <si>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</si>
  <si>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</si>
  <si>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</si>
  <si>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</si>
  <si>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</si>
  <si>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</si>
  <si>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</si>
  <si>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</si>
  <si>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</si>
  <si>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</si>
  <si>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</si>
  <si>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</si>
  <si>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</si>
  <si>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</si>
  <si>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</si>
  <si>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</si>
  <si>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</si>
  <si>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</si>
  <si>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</si>
  <si>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</si>
  <si>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</si>
  <si>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</si>
  <si>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</si>
  <si>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</si>
  <si>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</si>
  <si>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</si>
  <si>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</si>
  <si>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</si>
  <si>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</si>
  <si>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</si>
  <si>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</si>
  <si>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</si>
  <si>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</si>
  <si>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</si>
  <si>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</si>
  <si>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</si>
  <si>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</si>
  <si>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</si>
  <si>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</si>
  <si>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</si>
  <si>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</si>
  <si>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</si>
  <si>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</si>
  <si>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</si>
  <si>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</si>
  <si>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</si>
  <si>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Francesco Rizzi</t>
  </si>
  <si>
    <t>Kakkole armate</t>
  </si>
  <si>
    <t>Bum</t>
  </si>
  <si>
    <t>Ka</t>
  </si>
  <si>
    <t>Op</t>
  </si>
  <si>
    <t>Lalà</t>
  </si>
  <si>
    <t>Ouch</t>
  </si>
  <si>
    <t>Ahia</t>
  </si>
  <si>
    <t>Painkillermaximus terzo</t>
  </si>
  <si>
    <t>Ultramegabloodcutter</t>
  </si>
  <si>
    <t>Boh</t>
  </si>
  <si>
    <t>Embè</t>
  </si>
  <si>
    <t>Gulp</t>
  </si>
  <si>
    <t>Uff</t>
  </si>
  <si>
    <t>Bleah</t>
  </si>
  <si>
    <t>Gosh</t>
  </si>
  <si>
    <t>Urca</t>
  </si>
  <si>
    <t>Zpakka Tutt' i Coz - Luix</t>
  </si>
  <si>
    <t>Sure Feet</t>
  </si>
  <si>
    <t>Casuale</t>
  </si>
  <si>
    <t>Errori Costosi ok</t>
  </si>
  <si>
    <t>Morti di Sonno - Sulidamor</t>
  </si>
  <si>
    <t>Incidente Minore -20k</t>
  </si>
  <si>
    <t>The Oval Waaagh! - Emanuele Z.</t>
  </si>
  <si>
    <t>Crisi Evitata</t>
  </si>
  <si>
    <t>Plof</t>
  </si>
  <si>
    <t>retired</t>
  </si>
  <si>
    <t>Mbeh</t>
  </si>
  <si>
    <t>Hola</t>
  </si>
  <si>
    <t>La Boutique dei Maestri Macellai - Enrichez</t>
  </si>
  <si>
    <t>Pif</t>
  </si>
  <si>
    <t>2NI, retired</t>
  </si>
  <si>
    <t>Scelto</t>
  </si>
  <si>
    <t>Guard</t>
  </si>
  <si>
    <t>Stand Firm</t>
  </si>
  <si>
    <t>Non Dire Gatto - Pljs</t>
  </si>
  <si>
    <t>Incidente Minore -30k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</si>
</sst>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56">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u/>
      <sz val="10"/>
      <color theme="10"/>
      <name val="Arial"/>
      <family val="2"/>
    </font>
    <font>
      <b/>
      <sz val="11"/>
      <color theme="0"/>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1"/>
      <color theme="1"/>
      <name val="Arial"/>
      <family val="2"/>
    </font>
    <font>
      <sz val="10"/>
      <color theme="0"/>
      <name val="Tahoma"/>
      <family val="2"/>
    </font>
    <font>
      <sz val="9"/>
      <color theme="1"/>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8"/>
      <color theme="1"/>
      <name val="Arial"/>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0"/>
      <name val="Arial"/>
      <family val="2"/>
    </font>
    <font>
      <sz val="9"/>
      <color theme="0"/>
      <name val="Arial"/>
      <family val="2"/>
    </font>
    <font>
      <sz val="9"/>
      <color theme="1"/>
      <name val="Arial"/>
      <family val="2"/>
    </font>
    <font>
      <b/>
      <sz val="10"/>
      <color rgb="FF7F7F7F"/>
      <name val="Arial"/>
      <family val="2"/>
    </font>
    <font>
      <b/>
      <sz val="10"/>
      <color theme="0"/>
      <name val="Arial"/>
      <family val="2"/>
    </font>
    <font>
      <b/>
      <sz val="9"/>
      <color theme="0"/>
      <name val="Arial"/>
      <family val="2"/>
    </font>
    <font>
      <b/>
      <sz val="10"/>
      <color theme="1"/>
      <name val="Arial"/>
      <family val="2"/>
    </font>
    <font>
      <sz val="10"/>
      <color rgb="FF333333"/>
      <name val="Arial"/>
      <family val="2"/>
    </font>
    <font>
      <sz val="7"/>
      <color rgb="FF333333"/>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6"/>
      <color theme="1"/>
      <name val="Arial"/>
      <family val="2"/>
    </font>
    <font>
      <b/>
      <sz val="18"/>
      <color theme="0"/>
      <name val="Arial"/>
      <family val="2"/>
    </font>
    <font>
      <b/>
      <sz val="12"/>
      <color rgb="FF000000"/>
      <name val="Arial"/>
      <family val="2"/>
    </font>
    <font>
      <sz val="10"/>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2"/>
      <color rgb="FF000000"/>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08">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left" vertical="center"/>
    </xf>
    <xf numFmtId="0" fontId="0" fillId="0" borderId="2" xfId="0" applyFont="1" applyBorder="1" applyAlignment="1">
      <alignment horizontal="center"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29" fillId="3" borderId="54" xfId="0" applyFont="1" applyFill="1" applyBorder="1" applyAlignment="1">
      <alignment horizontal="center" vertical="center"/>
    </xf>
    <xf numFmtId="0" fontId="29"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30" fillId="5" borderId="56" xfId="0" applyFont="1" applyFill="1" applyBorder="1" applyAlignment="1">
      <alignment horizontal="center" shrinkToFit="1"/>
    </xf>
    <xf numFmtId="0" fontId="30" fillId="5" borderId="24" xfId="0" applyFont="1" applyFill="1" applyBorder="1" applyAlignment="1">
      <alignment horizontal="center" shrinkToFit="1"/>
    </xf>
    <xf numFmtId="0" fontId="30"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2" fillId="3" borderId="78" xfId="0" applyFont="1" applyFill="1" applyBorder="1" applyAlignment="1">
      <alignment horizontal="center" vertical="center" shrinkToFit="1"/>
    </xf>
    <xf numFmtId="0" fontId="32" fillId="3" borderId="44" xfId="0" applyFont="1" applyFill="1" applyBorder="1" applyAlignment="1">
      <alignment horizontal="center" vertical="center" shrinkToFit="1"/>
    </xf>
    <xf numFmtId="0" fontId="33" fillId="3" borderId="54" xfId="0" applyFont="1" applyFill="1" applyBorder="1" applyAlignment="1">
      <alignment horizontal="center" vertical="center" wrapText="1"/>
    </xf>
    <xf numFmtId="0" fontId="34" fillId="0" borderId="0" xfId="0" applyFont="1"/>
    <xf numFmtId="0" fontId="34" fillId="0" borderId="17" xfId="0" applyFont="1" applyBorder="1" applyAlignment="1">
      <alignment horizontal="center" vertical="center"/>
    </xf>
    <xf numFmtId="0" fontId="35" fillId="5" borderId="79" xfId="0" applyFont="1" applyFill="1" applyBorder="1" applyAlignment="1">
      <alignment horizontal="center" vertical="center" wrapText="1"/>
    </xf>
    <xf numFmtId="0" fontId="30" fillId="2" borderId="81" xfId="0" applyFont="1" applyFill="1" applyBorder="1" applyAlignment="1">
      <alignment horizontal="center" vertical="center" shrinkToFit="1"/>
    </xf>
    <xf numFmtId="0" fontId="30"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5" fillId="5" borderId="83" xfId="0" applyFont="1" applyFill="1" applyBorder="1" applyAlignment="1">
      <alignment horizontal="center" vertical="center" wrapText="1"/>
    </xf>
    <xf numFmtId="0" fontId="30"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30"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6" fillId="0" borderId="0" xfId="0" applyFont="1" applyAlignment="1">
      <alignment horizontal="center" vertical="center" wrapText="1"/>
    </xf>
    <xf numFmtId="0" fontId="30" fillId="0" borderId="0" xfId="0" applyFont="1" applyAlignment="1">
      <alignment vertical="center" shrinkToFit="1"/>
    </xf>
    <xf numFmtId="0" fontId="30" fillId="0" borderId="0" xfId="0" applyFont="1" applyAlignment="1">
      <alignment horizontal="left" vertical="center" wrapText="1"/>
    </xf>
    <xf numFmtId="0" fontId="30" fillId="0" borderId="0" xfId="0" applyFont="1" applyAlignment="1">
      <alignment horizontal="center" vertical="center"/>
    </xf>
    <xf numFmtId="0" fontId="30"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6"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28" fillId="8" borderId="5" xfId="0" applyFont="1" applyFill="1" applyBorder="1" applyAlignment="1">
      <alignment horizontal="center" vertical="center" shrinkToFit="1"/>
    </xf>
    <xf numFmtId="0" fontId="38" fillId="8" borderId="5" xfId="0" applyFont="1" applyFill="1" applyBorder="1" applyAlignment="1">
      <alignment horizontal="center" vertical="center" shrinkToFit="1"/>
    </xf>
    <xf numFmtId="0" fontId="38" fillId="8" borderId="5" xfId="0" applyFont="1" applyFill="1" applyBorder="1" applyAlignment="1">
      <alignment vertical="center"/>
    </xf>
    <xf numFmtId="0" fontId="38" fillId="8" borderId="5" xfId="0" applyFont="1" applyFill="1" applyBorder="1" applyAlignment="1">
      <alignment horizontal="center" vertical="center"/>
    </xf>
    <xf numFmtId="0" fontId="39" fillId="8" borderId="5" xfId="0" applyFont="1" applyFill="1" applyBorder="1" applyAlignment="1">
      <alignment horizontal="center" vertical="center"/>
    </xf>
    <xf numFmtId="0" fontId="39" fillId="9" borderId="5" xfId="0" applyFont="1" applyFill="1" applyBorder="1" applyAlignment="1">
      <alignment horizontal="center" vertical="center"/>
    </xf>
    <xf numFmtId="1" fontId="39" fillId="8" borderId="5" xfId="0" applyNumberFormat="1" applyFont="1" applyFill="1" applyBorder="1" applyAlignment="1">
      <alignment horizontal="center" vertical="center"/>
    </xf>
    <xf numFmtId="0" fontId="40" fillId="8" borderId="5" xfId="0" applyFont="1" applyFill="1" applyBorder="1" applyAlignment="1">
      <alignment horizontal="center" vertical="center"/>
    </xf>
    <xf numFmtId="0" fontId="41" fillId="8" borderId="5" xfId="0" applyFont="1" applyFill="1" applyBorder="1"/>
    <xf numFmtId="0" fontId="42" fillId="8" borderId="5" xfId="0" applyFont="1" applyFill="1" applyBorder="1" applyAlignment="1">
      <alignment horizontal="center" vertical="center"/>
    </xf>
    <xf numFmtId="0" fontId="19" fillId="8" borderId="5" xfId="0" applyFont="1" applyFill="1" applyBorder="1" applyAlignment="1">
      <alignment vertical="top" shrinkToFit="1"/>
    </xf>
    <xf numFmtId="0" fontId="40" fillId="2" borderId="5" xfId="0" applyFont="1" applyFill="1" applyBorder="1" applyAlignment="1">
      <alignment horizontal="center" vertical="center"/>
    </xf>
    <xf numFmtId="0" fontId="43"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4"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32" fillId="8" borderId="5" xfId="0" applyNumberFormat="1" applyFont="1" applyFill="1" applyBorder="1" applyAlignment="1">
      <alignment horizontal="center" vertical="center"/>
    </xf>
    <xf numFmtId="3" fontId="32" fillId="9" borderId="5" xfId="0" applyNumberFormat="1" applyFont="1" applyFill="1" applyBorder="1" applyAlignment="1">
      <alignment horizontal="center" vertical="center" shrinkToFit="1"/>
    </xf>
    <xf numFmtId="3" fontId="38" fillId="8" borderId="5" xfId="0" applyNumberFormat="1" applyFont="1" applyFill="1" applyBorder="1" applyAlignment="1">
      <alignment horizontal="center" vertical="center"/>
    </xf>
    <xf numFmtId="0" fontId="28"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40" fillId="0" borderId="15" xfId="0" applyFont="1" applyBorder="1" applyAlignment="1">
      <alignment horizontal="center" vertical="center"/>
    </xf>
    <xf numFmtId="0" fontId="42" fillId="0" borderId="0" xfId="0" applyFont="1" applyAlignment="1">
      <alignment horizontal="center" vertical="center"/>
    </xf>
    <xf numFmtId="0" fontId="43" fillId="0" borderId="32" xfId="0" applyFont="1" applyBorder="1" applyAlignment="1">
      <alignment horizontal="center" vertical="center"/>
    </xf>
    <xf numFmtId="0" fontId="39" fillId="0" borderId="0" xfId="0" applyFont="1" applyAlignment="1">
      <alignment horizontal="center" vertical="center"/>
    </xf>
    <xf numFmtId="0" fontId="38" fillId="0" borderId="0" xfId="0" applyFont="1" applyAlignment="1">
      <alignment horizontal="center" vertical="center"/>
    </xf>
    <xf numFmtId="0" fontId="44"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0" fillId="0" borderId="2" xfId="0" applyFont="1" applyBorder="1" applyAlignment="1">
      <alignment horizontal="center" vertical="center" wrapText="1"/>
    </xf>
    <xf numFmtId="0" fontId="2" fillId="0" borderId="3" xfId="0" applyFont="1" applyBorder="1"/>
    <xf numFmtId="0" fontId="2" fillId="0" borderId="4" xfId="0" applyFont="1" applyBorder="1"/>
    <xf numFmtId="0" fontId="5" fillId="2" borderId="7"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6" fillId="3"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0" fillId="0" borderId="2" xfId="0" applyFont="1" applyBorder="1" applyAlignment="1">
      <alignment horizontal="center" vertical="center" shrinkToFit="1"/>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0" fillId="0" borderId="2" xfId="0" applyFont="1" applyBorder="1" applyAlignment="1">
      <alignment horizontal="center" vertical="center" shrinkToFit="1"/>
    </xf>
    <xf numFmtId="0" fontId="0" fillId="2" borderId="2" xfId="0" applyFont="1" applyFill="1" applyBorder="1" applyAlignment="1">
      <alignment horizontal="center" vertical="center"/>
    </xf>
    <xf numFmtId="0" fontId="13" fillId="3" borderId="26" xfId="0"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0" fontId="2" fillId="0" borderId="27" xfId="0" applyFont="1" applyBorder="1"/>
    <xf numFmtId="3" fontId="10" fillId="5" borderId="2" xfId="0" applyNumberFormat="1"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13" fillId="3" borderId="2" xfId="0" applyFont="1" applyFill="1" applyBorder="1" applyAlignment="1">
      <alignment horizontal="center" vertical="center" shrinkToFit="1"/>
    </xf>
    <xf numFmtId="0" fontId="10" fillId="0" borderId="2" xfId="0" applyFont="1" applyBorder="1" applyAlignment="1">
      <alignment horizontal="center" vertical="center"/>
    </xf>
    <xf numFmtId="0" fontId="0" fillId="0" borderId="2" xfId="0" applyFont="1" applyBorder="1" applyAlignment="1">
      <alignment horizontal="center" vertical="center"/>
    </xf>
    <xf numFmtId="0" fontId="10" fillId="2" borderId="2" xfId="0" applyFont="1" applyFill="1" applyBorder="1" applyAlignment="1">
      <alignment horizontal="center" vertical="center" wrapText="1"/>
    </xf>
    <xf numFmtId="3" fontId="10" fillId="2" borderId="2" xfId="0" applyNumberFormat="1" applyFont="1" applyFill="1" applyBorder="1" applyAlignment="1">
      <alignment horizontal="center" vertical="center"/>
    </xf>
    <xf numFmtId="0" fontId="10" fillId="6" borderId="2" xfId="0" applyFont="1" applyFill="1" applyBorder="1" applyAlignment="1">
      <alignment horizontal="center" vertical="center"/>
    </xf>
    <xf numFmtId="0" fontId="10" fillId="2" borderId="2" xfId="0" applyFont="1" applyFill="1" applyBorder="1" applyAlignment="1">
      <alignment horizontal="center" vertical="center" shrinkToFit="1"/>
    </xf>
    <xf numFmtId="0" fontId="7" fillId="3" borderId="2" xfId="0" applyFont="1" applyFill="1" applyBorder="1" applyAlignment="1">
      <alignment horizontal="center" vertical="center" wrapText="1"/>
    </xf>
    <xf numFmtId="0" fontId="7" fillId="3" borderId="2" xfId="0" applyFont="1" applyFill="1" applyBorder="1" applyAlignment="1">
      <alignment horizontal="center" vertical="center"/>
    </xf>
    <xf numFmtId="0" fontId="19" fillId="0" borderId="0" xfId="0" applyFont="1" applyAlignment="1">
      <alignment horizontal="center" vertical="center"/>
    </xf>
    <xf numFmtId="0" fontId="0" fillId="0" borderId="0" xfId="0" applyFont="1" applyAlignment="1"/>
    <xf numFmtId="0" fontId="9" fillId="0" borderId="0" xfId="0" applyFont="1" applyAlignment="1">
      <alignment horizontal="center" vertical="center"/>
    </xf>
    <xf numFmtId="0" fontId="19" fillId="0" borderId="2" xfId="0" applyFont="1" applyBorder="1" applyAlignment="1">
      <alignment horizontal="center" vertical="center"/>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3" fontId="10" fillId="2" borderId="2" xfId="0" applyNumberFormat="1" applyFont="1" applyFill="1" applyBorder="1" applyAlignment="1">
      <alignment horizontal="center" vertical="center" shrinkToFit="1"/>
    </xf>
    <xf numFmtId="0" fontId="18" fillId="3" borderId="19" xfId="0" applyFont="1" applyFill="1" applyBorder="1" applyAlignment="1">
      <alignment horizontal="center" vertical="center" wrapText="1"/>
    </xf>
    <xf numFmtId="0" fontId="2" fillId="0" borderId="20" xfId="0" applyFont="1" applyBorder="1"/>
    <xf numFmtId="0" fontId="2" fillId="0" borderId="21" xfId="0" applyFont="1" applyBorder="1"/>
    <xf numFmtId="0" fontId="2" fillId="0" borderId="35" xfId="0" applyFont="1" applyBorder="1"/>
    <xf numFmtId="0" fontId="2" fillId="0" borderId="43" xfId="0" applyFont="1" applyBorder="1"/>
    <xf numFmtId="0" fontId="2" fillId="0" borderId="36" xfId="0" applyFont="1" applyBorder="1"/>
    <xf numFmtId="0" fontId="18" fillId="3" borderId="41" xfId="0" applyFont="1" applyFill="1" applyBorder="1" applyAlignment="1">
      <alignment horizontal="center" vertical="center" wrapText="1"/>
    </xf>
    <xf numFmtId="0" fontId="2" fillId="0" borderId="42" xfId="0" applyFont="1" applyBorder="1"/>
    <xf numFmtId="0" fontId="18" fillId="3" borderId="2" xfId="0" applyFont="1" applyFill="1" applyBorder="1" applyAlignment="1">
      <alignment horizontal="center" vertical="center" wrapText="1"/>
    </xf>
    <xf numFmtId="3" fontId="13" fillId="3" borderId="2"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8" fillId="0" borderId="3" xfId="0" applyFont="1" applyBorder="1" applyAlignment="1">
      <alignment horizontal="center" vertical="center"/>
    </xf>
    <xf numFmtId="0" fontId="14" fillId="2" borderId="2" xfId="0" applyFont="1" applyFill="1" applyBorder="1" applyAlignment="1">
      <alignment horizontal="right" vertical="center" wrapText="1"/>
    </xf>
    <xf numFmtId="0" fontId="14" fillId="2" borderId="26" xfId="0" applyFont="1" applyFill="1" applyBorder="1" applyAlignment="1">
      <alignment horizontal="center" vertical="center" wrapText="1"/>
    </xf>
    <xf numFmtId="3" fontId="13" fillId="3" borderId="10" xfId="0" applyNumberFormat="1" applyFont="1" applyFill="1" applyBorder="1" applyAlignment="1">
      <alignment horizontal="center" vertical="center"/>
    </xf>
    <xf numFmtId="0" fontId="13" fillId="3" borderId="30" xfId="0" applyFont="1" applyFill="1" applyBorder="1" applyAlignment="1">
      <alignment horizontal="center" vertical="center" shrinkToFit="1"/>
    </xf>
    <xf numFmtId="0" fontId="2" fillId="0" borderId="31" xfId="0" applyFont="1" applyBorder="1"/>
    <xf numFmtId="0" fontId="12" fillId="0" borderId="2" xfId="0" applyFont="1" applyBorder="1" applyAlignment="1">
      <alignment horizontal="center" vertical="center" shrinkToFit="1"/>
    </xf>
    <xf numFmtId="0" fontId="8" fillId="0" borderId="0" xfId="0" applyFont="1" applyAlignment="1">
      <alignment horizontal="center" vertical="center"/>
    </xf>
    <xf numFmtId="0" fontId="8" fillId="4" borderId="7" xfId="0" applyFont="1" applyFill="1" applyBorder="1" applyAlignment="1">
      <alignment horizontal="center" vertical="center"/>
    </xf>
    <xf numFmtId="0" fontId="17" fillId="2" borderId="10" xfId="0" applyFont="1" applyFill="1" applyBorder="1" applyAlignment="1">
      <alignment horizontal="center" vertical="center"/>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8" fillId="2" borderId="19" xfId="0" applyFont="1" applyFill="1" applyBorder="1" applyAlignment="1">
      <alignment horizontal="center" vertical="center"/>
    </xf>
    <xf numFmtId="0" fontId="2" fillId="0" borderId="28" xfId="0" applyFont="1" applyBorder="1"/>
    <xf numFmtId="0" fontId="2" fillId="0" borderId="29" xfId="0" applyFont="1" applyBorder="1"/>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0" fontId="12" fillId="5" borderId="26" xfId="0" applyFont="1" applyFill="1" applyBorder="1" applyAlignment="1">
      <alignment horizontal="center" vertical="center" wrapText="1"/>
    </xf>
    <xf numFmtId="0" fontId="2" fillId="0" borderId="80" xfId="0" applyFont="1" applyBorder="1"/>
    <xf numFmtId="0" fontId="30" fillId="2" borderId="26" xfId="0" applyFont="1" applyFill="1" applyBorder="1" applyAlignment="1">
      <alignment horizontal="left" vertical="center" wrapText="1"/>
    </xf>
    <xf numFmtId="0" fontId="30" fillId="0" borderId="0" xfId="0" applyFont="1" applyAlignment="1">
      <alignment horizontal="center" vertical="center" wrapText="1"/>
    </xf>
    <xf numFmtId="0" fontId="36" fillId="2" borderId="7" xfId="0" applyFont="1" applyFill="1" applyBorder="1" applyAlignment="1">
      <alignment horizontal="center" vertical="center" wrapText="1"/>
    </xf>
    <xf numFmtId="0" fontId="23" fillId="4" borderId="1" xfId="0" applyFont="1" applyFill="1" applyBorder="1" applyAlignment="1">
      <alignment horizontal="center" vertical="center"/>
    </xf>
    <xf numFmtId="0" fontId="35" fillId="5" borderId="87" xfId="0" applyFont="1" applyFill="1" applyBorder="1" applyAlignment="1">
      <alignment horizontal="left" vertical="center" wrapText="1"/>
    </xf>
    <xf numFmtId="0" fontId="2" fillId="0" borderId="76" xfId="0" applyFont="1" applyBorder="1"/>
    <xf numFmtId="0" fontId="2" fillId="0" borderId="88" xfId="0" applyFont="1" applyBorder="1"/>
    <xf numFmtId="0" fontId="30" fillId="2" borderId="87" xfId="0" applyFont="1" applyFill="1" applyBorder="1" applyAlignment="1">
      <alignment horizontal="left" vertical="center" shrinkToFit="1"/>
    </xf>
    <xf numFmtId="0" fontId="29"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2" fillId="0" borderId="52" xfId="0" applyFont="1" applyBorder="1"/>
    <xf numFmtId="0" fontId="29" fillId="3" borderId="53" xfId="0" applyFont="1" applyFill="1" applyBorder="1" applyAlignment="1">
      <alignment horizontal="center" vertical="center"/>
    </xf>
    <xf numFmtId="0" fontId="33" fillId="3" borderId="49" xfId="0" applyFont="1" applyFill="1" applyBorder="1" applyAlignment="1">
      <alignment horizontal="center" vertical="center" wrapText="1"/>
    </xf>
    <xf numFmtId="0" fontId="32" fillId="3" borderId="49" xfId="0" applyFont="1" applyFill="1" applyBorder="1" applyAlignment="1">
      <alignment horizontal="center" vertical="center"/>
    </xf>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7" xfId="0" applyFont="1" applyBorder="1"/>
    <xf numFmtId="0" fontId="31" fillId="3" borderId="49" xfId="0" applyFont="1" applyFill="1" applyBorder="1" applyAlignment="1">
      <alignment horizontal="center" vertical="center"/>
    </xf>
    <xf numFmtId="0" fontId="33" fillId="3" borderId="49" xfId="0" applyFont="1" applyFill="1" applyBorder="1" applyAlignment="1">
      <alignment horizontal="center" vertical="center"/>
    </xf>
    <xf numFmtId="3" fontId="14" fillId="2" borderId="2" xfId="0" applyNumberFormat="1" applyFont="1" applyFill="1" applyBorder="1" applyAlignment="1">
      <alignment horizontal="center" vertical="center"/>
    </xf>
    <xf numFmtId="0" fontId="8" fillId="2" borderId="2" xfId="0" applyFont="1" applyFill="1" applyBorder="1" applyAlignment="1">
      <alignment horizontal="center" vertical="center" shrinkToFit="1"/>
    </xf>
    <xf numFmtId="3" fontId="8" fillId="2" borderId="1" xfId="0"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0" fontId="0" fillId="0" borderId="19" xfId="0" applyFont="1" applyBorder="1" applyAlignment="1">
      <alignment horizontal="center"/>
    </xf>
    <xf numFmtId="0" fontId="17" fillId="2" borderId="26" xfId="0" applyFont="1" applyFill="1" applyBorder="1" applyAlignment="1">
      <alignment horizontal="center" vertical="center"/>
    </xf>
    <xf numFmtId="0" fontId="0" fillId="2" borderId="1" xfId="0" applyFont="1" applyFill="1" applyBorder="1" applyAlignment="1">
      <alignment horizontal="center"/>
    </xf>
    <xf numFmtId="0" fontId="41" fillId="2" borderId="7" xfId="0" applyFont="1" applyFill="1" applyBorder="1" applyAlignment="1">
      <alignment horizontal="left"/>
    </xf>
    <xf numFmtId="0" fontId="28" fillId="8" borderId="7" xfId="0" applyFont="1" applyFill="1" applyBorder="1" applyAlignment="1">
      <alignment horizontal="center"/>
    </xf>
    <xf numFmtId="0" fontId="43" fillId="2" borderId="92" xfId="0" applyFont="1" applyFill="1" applyBorder="1" applyAlignment="1">
      <alignment horizontal="center" vertical="center" shrinkToFi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43" fillId="2" borderId="92" xfId="0" applyFont="1" applyFill="1" applyBorder="1" applyAlignment="1">
      <alignment horizontal="center" vertical="center" wrapText="1"/>
    </xf>
    <xf numFmtId="0" fontId="19" fillId="2" borderId="92" xfId="0" applyFont="1" applyFill="1" applyBorder="1" applyAlignment="1">
      <alignment horizontal="left" vertical="center" wrapText="1"/>
    </xf>
    <xf numFmtId="0" fontId="0" fillId="9" borderId="1" xfId="0" applyFont="1" applyFill="1" applyBorder="1" applyAlignment="1">
      <alignment horizontal="center"/>
    </xf>
    <xf numFmtId="0" fontId="38" fillId="8" borderId="7" xfId="0" applyFont="1" applyFill="1" applyBorder="1" applyAlignment="1">
      <alignment horizontal="center" vertical="center" shrinkToFit="1"/>
    </xf>
    <xf numFmtId="0" fontId="45" fillId="8" borderId="92" xfId="0" applyFont="1" applyFill="1" applyBorder="1" applyAlignment="1">
      <alignment horizontal="center" vertical="center" wrapText="1"/>
    </xf>
    <xf numFmtId="0" fontId="39" fillId="9" borderId="1" xfId="0" applyFont="1" applyFill="1" applyBorder="1" applyAlignment="1">
      <alignment horizontal="center" vertical="center"/>
    </xf>
    <xf numFmtId="0" fontId="0" fillId="0" borderId="0" xfId="0" applyFont="1" applyAlignment="1">
      <alignment horizontal="center"/>
    </xf>
    <xf numFmtId="0" fontId="28" fillId="9" borderId="1" xfId="0" applyFont="1" applyFill="1" applyBorder="1" applyAlignment="1">
      <alignment horizontal="center" vertical="center"/>
    </xf>
    <xf numFmtId="0" fontId="37" fillId="8" borderId="7" xfId="0" applyFont="1" applyFill="1" applyBorder="1" applyAlignment="1">
      <alignment horizontal="center" vertical="center" shrinkToFit="1"/>
    </xf>
    <xf numFmtId="0" fontId="0" fillId="8" borderId="7" xfId="0" applyFont="1" applyFill="1" applyBorder="1" applyAlignment="1">
      <alignment horizontal="center"/>
    </xf>
    <xf numFmtId="1" fontId="39" fillId="9" borderId="7" xfId="0" applyNumberFormat="1" applyFont="1" applyFill="1" applyBorder="1" applyAlignment="1">
      <alignment horizontal="center" vertical="center"/>
    </xf>
    <xf numFmtId="3" fontId="37" fillId="8" borderId="7" xfId="0" applyNumberFormat="1" applyFont="1" applyFill="1" applyBorder="1" applyAlignment="1">
      <alignment horizontal="center" vertical="center" shrinkToFit="1"/>
    </xf>
    <xf numFmtId="1" fontId="39" fillId="9" borderId="92" xfId="0" applyNumberFormat="1" applyFont="1" applyFill="1" applyBorder="1" applyAlignment="1">
      <alignment horizontal="center" vertical="center"/>
    </xf>
    <xf numFmtId="3" fontId="39" fillId="9" borderId="7" xfId="0" applyNumberFormat="1" applyFont="1" applyFill="1" applyBorder="1" applyAlignment="1">
      <alignment horizontal="center" vertical="center"/>
    </xf>
    <xf numFmtId="0" fontId="28" fillId="8" borderId="1" xfId="0" applyFont="1" applyFill="1" applyBorder="1" applyAlignment="1">
      <alignment horizontal="center" vertical="center"/>
    </xf>
    <xf numFmtId="0" fontId="39" fillId="8" borderId="1" xfId="0" applyFont="1" applyFill="1" applyBorder="1" applyAlignment="1">
      <alignment horizontal="center" vertical="center" textRotation="90"/>
    </xf>
    <xf numFmtId="0" fontId="51" fillId="4" borderId="104" xfId="0" applyFont="1" applyFill="1" applyBorder="1" applyAlignment="1">
      <alignment horizontal="left"/>
    </xf>
    <xf numFmtId="0" fontId="2" fillId="0" borderId="105" xfId="0" applyFont="1" applyBorder="1"/>
    <xf numFmtId="0" fontId="55" fillId="4" borderId="106" xfId="0" applyFont="1" applyFill="1" applyBorder="1" applyAlignment="1">
      <alignment horizontal="center" vertical="center" wrapText="1"/>
    </xf>
    <xf numFmtId="0" fontId="2" fillId="0" borderId="107" xfId="0" applyFont="1" applyBorder="1"/>
    <xf numFmtId="0" fontId="2" fillId="0" borderId="110" xfId="0" applyFont="1" applyBorder="1"/>
    <xf numFmtId="0" fontId="2" fillId="0" borderId="111" xfId="0" applyFont="1" applyBorder="1"/>
    <xf numFmtId="0" fontId="0" fillId="4" borderId="30" xfId="0" applyFont="1" applyFill="1" applyBorder="1"/>
    <xf numFmtId="0" fontId="47" fillId="4" borderId="30" xfId="0" applyFont="1" applyFill="1" applyBorder="1" applyAlignment="1">
      <alignment horizontal="center"/>
    </xf>
    <xf numFmtId="0" fontId="48" fillId="4" borderId="7" xfId="0" applyFont="1" applyFill="1" applyBorder="1" applyAlignment="1">
      <alignment horizontal="center" vertical="center" shrinkToFit="1"/>
    </xf>
    <xf numFmtId="0" fontId="54" fillId="4" borderId="92" xfId="0" applyFont="1" applyFill="1" applyBorder="1" applyAlignment="1">
      <alignment horizontal="center" vertical="center" wrapText="1"/>
    </xf>
    <xf numFmtId="0" fontId="47" fillId="4" borderId="108" xfId="0" applyFont="1" applyFill="1" applyBorder="1"/>
    <xf numFmtId="0" fontId="2" fillId="0" borderId="109" xfId="0" applyFont="1" applyBorder="1"/>
    <xf numFmtId="0" fontId="2" fillId="0" borderId="114" xfId="0" applyFont="1" applyBorder="1"/>
    <xf numFmtId="0" fontId="49" fillId="4" borderId="1" xfId="0" applyFont="1" applyFill="1" applyBorder="1" applyAlignment="1">
      <alignment horizontal="center" vertical="center"/>
    </xf>
    <xf numFmtId="0" fontId="19" fillId="2" borderId="106" xfId="0" applyFont="1" applyFill="1" applyBorder="1" applyAlignment="1">
      <alignment horizontal="left" vertical="center" wrapText="1"/>
    </xf>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6" fillId="4" borderId="7" xfId="0" applyFont="1" applyFill="1" applyBorder="1" applyAlignment="1">
      <alignment horizontal="center"/>
    </xf>
    <xf numFmtId="0" fontId="49" fillId="4" borderId="19"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0" fillId="4" borderId="15" xfId="0" applyFont="1" applyFill="1" applyBorder="1" applyAlignment="1">
      <alignment horizontal="center" vertical="center"/>
    </xf>
    <xf numFmtId="0" fontId="2" fillId="0" borderId="103" xfId="0" applyFont="1" applyBorder="1"/>
    <xf numFmtId="0" fontId="50" fillId="4" borderId="102" xfId="0" applyFont="1" applyFill="1" applyBorder="1" applyAlignment="1">
      <alignment horizontal="center" vertical="center" textRotation="90"/>
    </xf>
    <xf numFmtId="1" fontId="50" fillId="4" borderId="2" xfId="0" applyNumberFormat="1" applyFont="1" applyFill="1" applyBorder="1" applyAlignment="1">
      <alignment horizontal="center" vertical="center"/>
    </xf>
    <xf numFmtId="1" fontId="50" fillId="4" borderId="19" xfId="0" applyNumberFormat="1" applyFont="1" applyFill="1" applyBorder="1" applyAlignment="1">
      <alignment horizontal="center" vertical="center"/>
    </xf>
    <xf numFmtId="3" fontId="48" fillId="4" borderId="7" xfId="0" applyNumberFormat="1" applyFont="1" applyFill="1" applyBorder="1" applyAlignment="1">
      <alignment horizontal="center" vertical="center" shrinkToFit="1"/>
    </xf>
    <xf numFmtId="3" fontId="50" fillId="4" borderId="2" xfId="0" applyNumberFormat="1" applyFont="1" applyFill="1" applyBorder="1" applyAlignment="1">
      <alignment horizontal="center" vertical="center"/>
    </xf>
  </cellXfs>
  <cellStyles count="1">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20</xdr:row>
      <xdr:rowOff>152400</xdr:rowOff>
    </xdr:from>
    <xdr:ext cx="2152650" cy="2628900"/>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workbookViewId="0">
      <selection sqref="A1:A18"/>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39"/>
      <c r="B1" s="255" t="str">
        <f>IF(Roster!$J$25="Italiano","Blood Bowl 2020 Roster Lega",(IF(Roster!$J$25="Español","Blood Bowl 2020 Roster League",(IF(Roster!$J$25="Deutsch","Blood Bowl 2020 Roster Liga",(IF(Roster!$J$25="Français","Blood Bowl 2020 Roster Ligue","Blood Bowl 2020 Roster League")))))))</f>
        <v>Blood Bowl 2020 Roster Lega</v>
      </c>
      <c r="C1" s="248"/>
      <c r="D1" s="249"/>
      <c r="E1" s="239"/>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40"/>
      <c r="B2" s="242" t="str">
        <f>Roster!A33</f>
        <v>v4.3 - Creato da dreamscreator</v>
      </c>
      <c r="C2" s="243"/>
      <c r="D2" s="244"/>
      <c r="E2" s="240"/>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40"/>
      <c r="B3" s="245" t="str">
        <f>Roster!A34</f>
        <v>Tradotto da Leonida https://bloodbowlhelp.wordpress.com</v>
      </c>
      <c r="C3" s="243"/>
      <c r="D3" s="244"/>
      <c r="E3" s="240"/>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40"/>
      <c r="B4" s="246"/>
      <c r="C4" s="243"/>
      <c r="D4" s="244"/>
      <c r="E4" s="240"/>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40"/>
      <c r="B5" s="246" t="str">
        <f>IF(Roster!$J$25="Italiano",M5,(IF(Roster!$J$25="Español",J5,(IF(Roster!$J$25="Deutsch",K5,(IF(Roster!$J$25="Français",L5,I5)))))))</f>
        <v>Compatibile con Excel, Google Sheets (basta caricare Excel su Google Drive) e Libre Office</v>
      </c>
      <c r="C5" s="243"/>
      <c r="D5" s="244"/>
      <c r="E5" s="240"/>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40"/>
      <c r="B6" s="246"/>
      <c r="C6" s="243"/>
      <c r="D6" s="244"/>
      <c r="E6" s="240"/>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40"/>
      <c r="B7" s="246" t="str">
        <f>IF(Roster!$J$25="Italiano",M7,(IF(Roster!$J$25="Español",J7,(IF(Roster!$J$25="Deutsch",K7,(IF(Roster!$J$25="Français",L7,I7)))))))</f>
        <v>Se volete aiutarmi a continuare con i roster in excel, potete donare al seguente link, grazie mille!</v>
      </c>
      <c r="C7" s="243"/>
      <c r="D7" s="244"/>
      <c r="E7" s="240"/>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40"/>
      <c r="B8" s="250" t="s">
        <v>10</v>
      </c>
      <c r="C8" s="243"/>
      <c r="D8" s="244"/>
      <c r="E8" s="240"/>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40"/>
      <c r="B9" s="251"/>
      <c r="C9" s="252"/>
      <c r="D9" s="253"/>
      <c r="E9" s="240"/>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40"/>
      <c r="B10" s="254" t="str">
        <f>IF(Roster!$J$25="Italiano","Comment utiliser cet Excel",(IF(Roster!J25="Español","Cómo usar este Excel",(IF(Roster!J25="Deutsch","Wie Sie dieses Excel verwenden",(IF(Roster!J25="Français","Comment utiliser cet Excel","How to use this Excel")))))))</f>
        <v>Comment utiliser cet Excel</v>
      </c>
      <c r="C10" s="248"/>
      <c r="D10" s="249"/>
      <c r="E10" s="240"/>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40"/>
      <c r="B11" s="247" t="str">
        <f>IF(Roster!$J$25="Italiano",M11,(IF(Roster!$J$25="Español",J11,(IF(Roster!$J$25="Deutsch",K11,(IF(Roster!$J$25="Français",L11,I11)))))))</f>
        <v>PER STAMPARE: Selezionare le celle che vuoi stampare e nelle opzioni di Stampa scegliere l’opzione “stampa le celle selezionate”.</v>
      </c>
      <c r="C11" s="248"/>
      <c r="D11" s="249"/>
      <c r="E11" s="240"/>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40"/>
      <c r="B12" s="247" t="str">
        <f>IF(Roster!$J$25="Italiano",M12,(IF(Roster!$J$25="Español",J12,(IF(Roster!$J$25="Deutsch",K12,(IF(Roster!$J$25="Français",L12,I12)))))))</f>
        <v>L’abilità Low Cost Lineman degli snotiling è attivata di default.</v>
      </c>
      <c r="C12" s="248"/>
      <c r="D12" s="249"/>
      <c r="E12" s="240"/>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40"/>
      <c r="B13" s="247"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248"/>
      <c r="D13" s="249"/>
      <c r="E13" s="240"/>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40"/>
      <c r="B14" s="247"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248"/>
      <c r="D14" s="249"/>
      <c r="E14" s="240"/>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40"/>
      <c r="B15" s="247"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248"/>
      <c r="D15" s="249"/>
      <c r="E15" s="240"/>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40"/>
      <c r="B16" s="247"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248"/>
      <c r="D16" s="249"/>
      <c r="E16" s="240"/>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40"/>
      <c r="B17" s="247"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248"/>
      <c r="D17" s="249"/>
      <c r="E17" s="240"/>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41"/>
      <c r="B18" s="1"/>
      <c r="C18" s="1"/>
      <c r="D18" s="1"/>
      <c r="E18" s="241"/>
      <c r="F18" s="1"/>
      <c r="G18" s="1"/>
      <c r="H18" s="1"/>
      <c r="I18" s="1"/>
      <c r="J18" s="1"/>
      <c r="K18" s="1"/>
      <c r="L18" s="1"/>
      <c r="M18" s="1"/>
      <c r="N18" s="1"/>
      <c r="O18" s="1"/>
      <c r="P18" s="1"/>
      <c r="Q18" s="1"/>
      <c r="R18" s="1"/>
      <c r="S18" s="1"/>
      <c r="T18" s="1"/>
      <c r="U18" s="1"/>
      <c r="V18" s="1"/>
      <c r="W18" s="1"/>
      <c r="X18" s="1"/>
      <c r="Y18" s="1"/>
      <c r="Z18" s="1"/>
      <c r="AA18" s="1"/>
      <c r="AB18" s="1"/>
      <c r="AC18" s="1"/>
      <c r="AD18" s="1"/>
      <c r="AE18" s="1"/>
    </row>
    <row r="21" spans="1:31" ht="15.75" customHeight="1"/>
    <row r="22" spans="1:31" ht="15.75" customHeight="1"/>
    <row r="23" spans="1:31" ht="15.75" customHeight="1"/>
    <row r="24" spans="1:31" ht="15.75" customHeight="1"/>
    <row r="25" spans="1:31" ht="15.75" customHeight="1"/>
    <row r="26" spans="1:31" ht="15.75" customHeight="1"/>
    <row r="27" spans="1:31" ht="15.75" customHeight="1"/>
    <row r="28" spans="1:31" ht="15.75" customHeight="1"/>
    <row r="29" spans="1:31" ht="15.75" customHeight="1"/>
    <row r="30" spans="1:31" ht="15.75" customHeight="1"/>
    <row r="31" spans="1:31" ht="15.75" customHeight="1"/>
    <row r="32" spans="1:3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B17:D17"/>
    <mergeCell ref="A1:A18"/>
    <mergeCell ref="B1:D1"/>
    <mergeCell ref="E1:E18"/>
    <mergeCell ref="B2:D2"/>
    <mergeCell ref="B3:D3"/>
    <mergeCell ref="B4:D4"/>
    <mergeCell ref="B5:D5"/>
    <mergeCell ref="B11:D11"/>
    <mergeCell ref="B12:D12"/>
    <mergeCell ref="B13:D13"/>
    <mergeCell ref="B14:D14"/>
    <mergeCell ref="B15:D15"/>
    <mergeCell ref="B6:D6"/>
    <mergeCell ref="B7:D7"/>
    <mergeCell ref="B8:D8"/>
    <mergeCell ref="B9:D9"/>
    <mergeCell ref="B10:D10"/>
    <mergeCell ref="B16:D16"/>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workbookViewId="0">
      <selection activeCell="Z13" sqref="Z13"/>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NOME GIOCATORE</v>
      </c>
      <c r="C1" s="275" t="str">
        <f>IF($J$25="Italiano","TIPO",(IF($J$25="Español","TIPO",(IF($J$25="Deutsch","POSITION",(IF($J$25="Français","POSTE","TYPE")))))))</f>
        <v>TIPO</v>
      </c>
      <c r="D1" s="248"/>
      <c r="E1" s="248"/>
      <c r="F1" s="249"/>
      <c r="G1" s="274" t="str">
        <f>IF($J$25="Italiano","QTA",(IF($J$25="Español","CANT",(IF($J$25="Deutsch","An- zahl",(IF($J$25="Français","QTT","QTY")))))))</f>
        <v>QTA</v>
      </c>
      <c r="H1" s="248"/>
      <c r="I1" s="249"/>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275" t="str">
        <f>IF($J$25="Italiano","ABILITÀ",(IF($J$25="Español","HABILIDADES",(IF($J$25="Deutsch","FERTIGKEITEN",(IF($J$25="Français","COMPÉTENCES","SKILLS")))))))</f>
        <v>ABILITÀ</v>
      </c>
      <c r="P1" s="248"/>
      <c r="Q1" s="248"/>
      <c r="R1" s="248"/>
      <c r="S1" s="248"/>
      <c r="T1" s="248"/>
      <c r="U1" s="248"/>
      <c r="V1" s="248"/>
      <c r="W1" s="248"/>
      <c r="X1" s="248"/>
      <c r="Y1" s="249"/>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274" t="str">
        <f>IF($J$25="Italiano","SPP Totali",(IF($J$25="Español","SPP Totales",(IF($J$25="Deutsch","Gesamte SPP",(IF($J$25="Français","Total PSP","Total SPP")))))))</f>
        <v>SPP Totali</v>
      </c>
      <c r="AK1" s="249"/>
      <c r="AL1" s="274" t="str">
        <f>IF($J$25="Italiano","SPP Non Spesi",(IF($J$25="Español","SPP Sin gastar",(IF($J$25="Deutsch","Verfügb. SPP",(IF($J$25="Français","PSP restant","Unspent SPP")))))))</f>
        <v>SPP Non Spesi</v>
      </c>
      <c r="AM1" s="249"/>
      <c r="AN1" s="275" t="str">
        <f>IF($J$25="Italiano","COSTO",(IF($J$25="Español","PRECIO",(IF($J$25="Deutsch","WERT",(IF($J$25="Français","VALEUR","COST")))))))</f>
        <v>COSTO</v>
      </c>
      <c r="AO1" s="249"/>
      <c r="AP1" s="293"/>
      <c r="AQ1" s="11" t="s">
        <v>54</v>
      </c>
      <c r="AR1" s="12" t="s">
        <v>55</v>
      </c>
      <c r="AS1" s="12"/>
      <c r="AT1" s="12"/>
      <c r="AU1" s="12"/>
      <c r="AV1" s="12"/>
      <c r="AW1" s="12"/>
      <c r="AX1" s="294" t="s">
        <v>56</v>
      </c>
      <c r="AY1" s="284"/>
      <c r="AZ1" s="284"/>
      <c r="BA1" s="284"/>
      <c r="BB1" s="284"/>
      <c r="BC1" s="284"/>
      <c r="BD1" s="284"/>
      <c r="BE1" s="284"/>
      <c r="BF1" s="285"/>
      <c r="BG1" s="12"/>
      <c r="BH1" s="12"/>
      <c r="BI1" s="12"/>
      <c r="BJ1" s="12"/>
      <c r="BK1" s="12"/>
      <c r="BL1" s="12"/>
      <c r="BM1" s="12"/>
      <c r="BN1" s="12"/>
      <c r="BO1" s="12" t="str">
        <f t="array" ref="BO1">INDEX(BY3:BY31,(SUM(BY2:CB2)))</f>
        <v>Snotling</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1</v>
      </c>
      <c r="B2" s="14" t="s">
        <v>1360</v>
      </c>
      <c r="C2" s="259" t="s">
        <v>930</v>
      </c>
      <c r="D2" s="248"/>
      <c r="E2" s="248"/>
      <c r="F2" s="248"/>
      <c r="G2" s="15">
        <f>IF(C2="",0,(COUNTIF(C2:F17,C2)))</f>
        <v>2</v>
      </c>
      <c r="H2" s="16" t="s">
        <v>57</v>
      </c>
      <c r="I2" s="17">
        <f>IFERROR((VLOOKUP($BO$1&amp;C2,Teams!D:M,10,0)),0)</f>
        <v>2</v>
      </c>
      <c r="J2" s="18">
        <f t="shared" ref="J2:K2" si="0">IFERROR(K61,0)</f>
        <v>5</v>
      </c>
      <c r="K2" s="18">
        <f t="shared" si="0"/>
        <v>1</v>
      </c>
      <c r="L2" s="18" t="str">
        <f t="shared" ref="L2:N2" si="1">IFERROR(M61&amp;"+",0)</f>
        <v>3+</v>
      </c>
      <c r="M2" s="18" t="str">
        <f t="shared" si="1"/>
        <v>4+</v>
      </c>
      <c r="N2" s="18" t="str">
        <f t="shared" si="1"/>
        <v>6+</v>
      </c>
      <c r="O2" s="273" t="str">
        <f>IFERROR((IF(AV2="YES",(VLOOKUP($BO$1&amp;C2,Teams!D:M,7,0)&amp;BF2),AW2)),"")</f>
        <v>Bombardier, Dodge, Right Stuff, Secret Weapon, Side Step, Stunty</v>
      </c>
      <c r="P2" s="248"/>
      <c r="Q2" s="248"/>
      <c r="R2" s="248"/>
      <c r="S2" s="248"/>
      <c r="T2" s="248"/>
      <c r="U2" s="248"/>
      <c r="V2" s="248"/>
      <c r="W2" s="248"/>
      <c r="X2" s="248"/>
      <c r="Y2" s="249"/>
      <c r="Z2" s="19"/>
      <c r="AA2" s="19"/>
      <c r="AB2" s="20"/>
      <c r="AC2" s="20"/>
      <c r="AD2" s="20"/>
      <c r="AE2" s="21"/>
      <c r="AF2" s="21"/>
      <c r="AG2" s="21"/>
      <c r="AH2" s="21"/>
      <c r="AI2" s="22">
        <v>1</v>
      </c>
      <c r="AJ2" s="271">
        <f t="shared" ref="AJ2:AJ17" si="2">AA2+AB2+(AC2*3)+AD2+(AE2*2)+(AF2*2)+(AG2*2)+(AH2*2)+(AI2*4)</f>
        <v>4</v>
      </c>
      <c r="AK2" s="249"/>
      <c r="AL2" s="271">
        <f t="shared" ref="AL2:AL17" si="3">AJ2-AI37</f>
        <v>4</v>
      </c>
      <c r="AM2" s="249"/>
      <c r="AN2" s="271">
        <f>IFERROR((VLOOKUP($BO$1&amp;C2,Teams!D:M,8,0)+AG37),0)</f>
        <v>30000</v>
      </c>
      <c r="AO2" s="249"/>
      <c r="AP2" s="240"/>
      <c r="AQ2" s="11">
        <f>IFERROR((IF(Z2&lt;&gt;"",0,((VLOOKUP($BO$1&amp;C2,Teams!D:M,9,0)+(AG37/1000))))),0)</f>
        <v>30</v>
      </c>
      <c r="AR2" s="12">
        <f>IFERROR((VLOOKUP($BO$1&amp;C2,Teams!D:N,11,0)),0)</f>
        <v>0</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3" t="str">
        <f t="shared" ref="AX2:AX17" si="9">IF(C37&lt;&gt;"",(IF(OR(C37="+ MA", C37="+ST", C37="- PA", C37="+ AV", C37="+ MO", C37="+ FU", C37="+ M", C37="+ F", C37="- CP", C37="- AG", C37="+ AR", C37="+ BE", C37="+ ST", C37="- WG", C37="- GE", C37="+ RW"),"",BG2&amp;C37)),"")</f>
        <v/>
      </c>
      <c r="AY2" s="23" t="str">
        <f t="shared" ref="AY2:AY17" si="10">IF(G37&lt;&gt;"",(IF(OR(G37="+ MA", G37="+ST", G37="- PA", G37="+ AV", G37="+ MO", G37="+ FU", G37="+ M", G37="+ F", G37="- CP", G37="- AG", G37="+ AR", G37="+ BE", G37="+ ST", G37="- WG", G37="- GE", G37="+ RW"),"",", "&amp;G37)),"")</f>
        <v/>
      </c>
      <c r="AZ2" s="23" t="str">
        <f t="shared" ref="AZ2:AZ17" si="11">IF(M37&lt;&gt;"",(IF(OR(M37="+ MA", M37="+ST", M37="- PA", M37="+ AV", M37="+ MO", M37="+ FU", M37="+ M", M37="+ F", M37="- CP", M37="- AG", M37="+ AR", M37="+ BE", M37="+ ST", M37="- WG", M37="- GE", M37="+ RW"),"",", "&amp;M37)),"")</f>
        <v/>
      </c>
      <c r="BA2" s="23" t="str">
        <f t="shared" ref="BA2:BA17" si="12">IF(Q37&lt;&gt;"",(IF(OR(Q37="+ MA", Q37="+ST", Q37="- PA", Q37="+ AV", Q37="+ MO", Q37="+ FU", Q37="+ M", Q37="+ F", Q37="- CP", Q37="- AG", Q37="+ AR", Q37="+ BE", Q37="+ ST", Q37="- WG", Q37="- GE", Q37="+ RW"),"",", "&amp;Q37)),"")</f>
        <v/>
      </c>
      <c r="BB2" s="23" t="str">
        <f t="shared" ref="BB2:BB17" si="13">IF(U37&lt;&gt;"",(IF(OR(U37="+ MA", U37="+ST", U37="- PA", U37="+ AV", U37="+ MO", U37="+ FU", U37="+ M", U37="+ F", U37="- CP", U37="- AG", U37="+ AR", U37="+ BE", U37="+ ST", U37="- WG", U37="- GE", U37="+ RW"),"",", "&amp;U37)),"")</f>
        <v/>
      </c>
      <c r="BC2" s="23" t="str">
        <f t="shared" ref="BC2:BC17" si="14">IF(Y37&lt;&gt;"",(IF(OR(Y37="+ MA", Y37="+ST", Y37="- PA", Y37="+ AV", Y37="+ MO", Y37="+ FU", Y37="+ M", Y37="+ F", Y37="- CP", Y37="- AG", Y37="+ AR", Y37="+ BE", Y37="+ ST", Y37="- WG", Y37="- GE", Y37="+ RW"),"",", "&amp;Y37)),"")</f>
        <v/>
      </c>
      <c r="BD2" s="23" t="str">
        <f t="shared" ref="BD2:BD17" si="15">IF(AC37=0,"",AC37)</f>
        <v/>
      </c>
      <c r="BE2" s="23" t="str">
        <f t="shared" ref="BE2:BE17" si="16">((IF(AJ37&gt;0," - "&amp;AJ37&amp;" NI", "")))</f>
        <v/>
      </c>
      <c r="BF2" s="24" t="str">
        <f t="shared" ref="BF2:BF17" si="17">IF(AL2&lt;0,"",AX2&amp;AY2&amp;AZ2&amp;BA2&amp;BB2&amp;BC2&amp;BD2&amp;BE2)</f>
        <v/>
      </c>
      <c r="BG2" s="2" t="str">
        <f>IFERROR((IF((VLOOKUP($BO$1&amp;C2,Teams!D:M,7,0))="","",", ")),"")</f>
        <v xml:space="preserve">, </v>
      </c>
      <c r="BH2" s="12"/>
      <c r="BI2" s="12" t="str">
        <f>$BO$1&amp;1</f>
        <v>Snotling1</v>
      </c>
      <c r="BJ2" s="2" t="str">
        <f>IFERROR(IF((VLOOKUP(BI2,Teams!B:C,2,FALSE))=0,"",(VLOOKUP(BI2,Teams!B:C,2,FALSE))),"")</f>
        <v/>
      </c>
      <c r="BK2" s="12"/>
      <c r="BL2" s="2"/>
      <c r="BM2" s="25"/>
      <c r="BN2" s="25" t="s">
        <v>58</v>
      </c>
      <c r="BO2" s="12" t="str">
        <f t="array" ref="BO2">INDEX(BN3:BN31,(SUM(BY2:CB2)))</f>
        <v>Snotling</v>
      </c>
      <c r="BP2" s="25" t="s">
        <v>59</v>
      </c>
      <c r="BQ2" s="25" t="s">
        <v>60</v>
      </c>
      <c r="BR2" s="25" t="s">
        <v>61</v>
      </c>
      <c r="BS2" s="26" t="s">
        <v>62</v>
      </c>
      <c r="BT2" s="26" t="s">
        <v>63</v>
      </c>
      <c r="BU2" s="13" t="str">
        <f>VLOOKUP(BO1,BL:BT,9,FALSE)</f>
        <v>UnderworldChallenge</v>
      </c>
      <c r="BV2" s="13" t="str">
        <f>VLOOKUP(BO1,BL1:BU38,10,FALSE)</f>
        <v>Bribery and Corruption</v>
      </c>
      <c r="BW2" s="13" t="str">
        <f>VLOOKUP(BO1,BL1:BV38,11,FALSE)</f>
        <v>LowCost</v>
      </c>
      <c r="BX2" s="12"/>
      <c r="BY2" s="26">
        <f t="shared" ref="BY2:CB2" si="18">IFERROR(MATCH($J$23,BY3:BY31,0),0)</f>
        <v>25</v>
      </c>
      <c r="BZ2" s="26">
        <f t="shared" si="18"/>
        <v>0</v>
      </c>
      <c r="CA2" s="26">
        <f t="shared" si="18"/>
        <v>0</v>
      </c>
      <c r="CB2" s="26">
        <f t="shared" si="18"/>
        <v>0</v>
      </c>
      <c r="CC2" s="26"/>
      <c r="CD2" s="25"/>
      <c r="CE2" s="25" t="s">
        <v>64</v>
      </c>
      <c r="CF2" s="25" t="s">
        <v>65</v>
      </c>
      <c r="CG2" s="25" t="s">
        <v>66</v>
      </c>
      <c r="CH2" s="25" t="s">
        <v>67</v>
      </c>
      <c r="CI2" s="12"/>
      <c r="CJ2" s="12"/>
      <c r="CK2" s="12"/>
      <c r="CL2" s="12"/>
      <c r="CM2" s="12"/>
      <c r="CN2" s="12"/>
      <c r="CO2" s="12"/>
      <c r="CP2" s="12"/>
      <c r="CQ2" s="12"/>
      <c r="CR2" s="12"/>
      <c r="CS2" s="12"/>
      <c r="CT2" s="12"/>
      <c r="CU2" s="12"/>
      <c r="CV2" s="12"/>
      <c r="CW2" s="12"/>
      <c r="CX2" s="12"/>
      <c r="CY2" s="12"/>
      <c r="CZ2" s="12"/>
      <c r="DA2" s="12"/>
      <c r="DB2" s="2"/>
    </row>
    <row r="3" spans="1:106" ht="37.5" customHeight="1">
      <c r="A3" s="8">
        <v>2</v>
      </c>
      <c r="B3" s="14" t="s">
        <v>1337</v>
      </c>
      <c r="C3" s="259" t="s">
        <v>930</v>
      </c>
      <c r="D3" s="248"/>
      <c r="E3" s="248"/>
      <c r="F3" s="248"/>
      <c r="G3" s="15">
        <f>IF(C3="",0,(COUNTIF(C2:F17,C3)))</f>
        <v>2</v>
      </c>
      <c r="H3" s="16" t="s">
        <v>57</v>
      </c>
      <c r="I3" s="17">
        <f>IFERROR((VLOOKUP($BO$1&amp;C3,Teams!D:M,10,0)),0)</f>
        <v>2</v>
      </c>
      <c r="J3" s="18">
        <f t="shared" ref="J3:K3" si="19">IFERROR(K62,0)</f>
        <v>5</v>
      </c>
      <c r="K3" s="18">
        <f t="shared" si="19"/>
        <v>1</v>
      </c>
      <c r="L3" s="18" t="str">
        <f t="shared" ref="L3:N3" si="20">IFERROR(M62&amp;"+",0)</f>
        <v>3+</v>
      </c>
      <c r="M3" s="18" t="str">
        <f t="shared" si="20"/>
        <v>4+</v>
      </c>
      <c r="N3" s="18" t="str">
        <f t="shared" si="20"/>
        <v>6+</v>
      </c>
      <c r="O3" s="273" t="str">
        <f>IFERROR((IF(AV3="YES",(VLOOKUP($BO$1&amp;C3,Teams!D:M,7,0)&amp;BF3),AW3)),"")</f>
        <v>Bombardier, Dodge, Right Stuff, Secret Weapon, Side Step, Stunty</v>
      </c>
      <c r="P3" s="248"/>
      <c r="Q3" s="248"/>
      <c r="R3" s="248"/>
      <c r="S3" s="248"/>
      <c r="T3" s="248"/>
      <c r="U3" s="248"/>
      <c r="V3" s="248"/>
      <c r="W3" s="248"/>
      <c r="X3" s="248"/>
      <c r="Y3" s="249"/>
      <c r="Z3" s="19"/>
      <c r="AA3" s="19"/>
      <c r="AB3" s="20"/>
      <c r="AC3" s="20"/>
      <c r="AD3" s="20"/>
      <c r="AE3" s="21"/>
      <c r="AF3" s="21"/>
      <c r="AG3" s="21"/>
      <c r="AH3" s="21"/>
      <c r="AI3" s="21"/>
      <c r="AJ3" s="271">
        <f t="shared" si="2"/>
        <v>0</v>
      </c>
      <c r="AK3" s="249"/>
      <c r="AL3" s="271">
        <f t="shared" si="3"/>
        <v>0</v>
      </c>
      <c r="AM3" s="249"/>
      <c r="AN3" s="271">
        <f>IFERROR((VLOOKUP($BO$1&amp;C3,Teams!D:M,8,0)+AG38),0)</f>
        <v>30000</v>
      </c>
      <c r="AO3" s="249"/>
      <c r="AP3" s="240"/>
      <c r="AQ3" s="11">
        <f>IFERROR((IF(Z3&lt;&gt;"",0,((VLOOKUP($BO$1&amp;C3,Teams!D:M,9,0)+(AG38/1000))))),0)</f>
        <v>30</v>
      </c>
      <c r="AR3" s="12">
        <f>IFERROR((VLOOKUP($BO$1&amp;C3,Teams!D:N,11,0)),0)</f>
        <v>0</v>
      </c>
      <c r="AS3" s="12" t="str">
        <f t="shared" si="4"/>
        <v/>
      </c>
      <c r="AT3" s="12" t="str">
        <f t="shared" si="5"/>
        <v/>
      </c>
      <c r="AU3" s="12" t="str">
        <f t="shared" si="6"/>
        <v/>
      </c>
      <c r="AV3" s="12" t="str">
        <f t="shared" si="7"/>
        <v>YES</v>
      </c>
      <c r="AW3" s="12" t="str">
        <f t="shared" si="8"/>
        <v/>
      </c>
      <c r="AX3" s="23" t="str">
        <f t="shared" si="9"/>
        <v/>
      </c>
      <c r="AY3" s="23" t="str">
        <f t="shared" si="10"/>
        <v/>
      </c>
      <c r="AZ3" s="23" t="str">
        <f t="shared" si="11"/>
        <v/>
      </c>
      <c r="BA3" s="23" t="str">
        <f t="shared" si="12"/>
        <v/>
      </c>
      <c r="BB3" s="23" t="str">
        <f t="shared" si="13"/>
        <v/>
      </c>
      <c r="BC3" s="23" t="str">
        <f t="shared" si="14"/>
        <v/>
      </c>
      <c r="BD3" s="23" t="str">
        <f t="shared" si="15"/>
        <v/>
      </c>
      <c r="BE3" s="23" t="str">
        <f t="shared" si="16"/>
        <v/>
      </c>
      <c r="BF3" s="24" t="str">
        <f t="shared" si="17"/>
        <v/>
      </c>
      <c r="BG3" s="2" t="str">
        <f>IFERROR((IF((VLOOKUP($BO$1&amp;C3,Teams!D:M,7,0))="","",", ")),"")</f>
        <v xml:space="preserve">, </v>
      </c>
      <c r="BH3" s="2"/>
      <c r="BI3" s="12" t="str">
        <f>$BO$1&amp;2</f>
        <v>Snotling2</v>
      </c>
      <c r="BJ3" s="2" t="str">
        <f>IFERROR(IF((VLOOKUP(BI3,Teams!B:C,2,FALSE))=0,"",(VLOOKUP(BI3,Teams!B:C,2,FALSE))),"")</f>
        <v>Snotling</v>
      </c>
      <c r="BK3" s="12"/>
      <c r="BL3" s="12" t="s">
        <v>68</v>
      </c>
      <c r="BM3" s="11" t="str">
        <f t="shared" ref="BM3:BM31" si="21">IF($J$25="Español",CF3,(IF($J$25="Deutsch",CG3,(IF($J$25="Français",CH3,CE3)))))</f>
        <v>Amazon</v>
      </c>
      <c r="BN3" s="12" t="s">
        <v>68</v>
      </c>
      <c r="BO3" s="12"/>
      <c r="BP3" s="12">
        <v>50000</v>
      </c>
      <c r="BQ3" s="12">
        <v>50000</v>
      </c>
      <c r="BR3" s="12">
        <v>0</v>
      </c>
      <c r="BS3" s="13" t="str">
        <f>IF($J$25="Español","Superliga Lustriana",(IF($J$25="Deutsch","Lustria-Superliga",(IF($J$25="Français","Super-Ligue de Lustrie","Lustrian Superleague")))))</f>
        <v>Lustrian Superleague</v>
      </c>
      <c r="BT3" s="13" t="s">
        <v>69</v>
      </c>
      <c r="BU3" s="13"/>
      <c r="BV3" s="13"/>
      <c r="BW3" s="12"/>
      <c r="BX3" s="13"/>
      <c r="BY3" s="12" t="s">
        <v>68</v>
      </c>
      <c r="BZ3" s="12" t="s">
        <v>70</v>
      </c>
      <c r="CA3" s="27" t="s">
        <v>71</v>
      </c>
      <c r="CB3" s="11" t="s">
        <v>72</v>
      </c>
      <c r="CC3" s="11"/>
      <c r="CD3" s="11"/>
      <c r="CE3" s="11" t="s">
        <v>68</v>
      </c>
      <c r="CF3" s="11" t="s">
        <v>73</v>
      </c>
      <c r="CG3" s="11" t="s">
        <v>71</v>
      </c>
      <c r="CH3" s="11" t="s">
        <v>74</v>
      </c>
      <c r="CI3" s="12"/>
      <c r="CJ3" s="12"/>
      <c r="CK3" s="12"/>
      <c r="CL3" s="12"/>
      <c r="CM3" s="12"/>
      <c r="CN3" s="12"/>
      <c r="CO3" s="12"/>
      <c r="CP3" s="12"/>
      <c r="CQ3" s="12"/>
      <c r="CR3" s="12"/>
      <c r="CS3" s="12"/>
      <c r="CT3" s="12"/>
      <c r="CU3" s="12"/>
      <c r="CV3" s="12"/>
      <c r="CW3" s="12"/>
      <c r="CX3" s="12"/>
      <c r="CY3" s="12"/>
      <c r="CZ3" s="12"/>
      <c r="DA3" s="12"/>
      <c r="DB3" s="2"/>
    </row>
    <row r="4" spans="1:106" ht="37.5" customHeight="1">
      <c r="A4" s="8">
        <v>3</v>
      </c>
      <c r="B4" s="14" t="s">
        <v>1339</v>
      </c>
      <c r="C4" s="259" t="s">
        <v>935</v>
      </c>
      <c r="D4" s="248"/>
      <c r="E4" s="248"/>
      <c r="F4" s="248"/>
      <c r="G4" s="15">
        <f>IF(C4="",0,(COUNTIF(C2:F17,C4)))</f>
        <v>2</v>
      </c>
      <c r="H4" s="16" t="s">
        <v>57</v>
      </c>
      <c r="I4" s="17">
        <f>IFERROR((VLOOKUP($BO$1&amp;C4,Teams!D:M,10,0)),0)</f>
        <v>2</v>
      </c>
      <c r="J4" s="18">
        <f t="shared" ref="J4:K4" si="22">IFERROR(K63,0)</f>
        <v>6</v>
      </c>
      <c r="K4" s="18">
        <f t="shared" si="22"/>
        <v>1</v>
      </c>
      <c r="L4" s="18" t="str">
        <f t="shared" ref="L4:N4" si="23">IFERROR(M63&amp;"+",0)</f>
        <v>3+</v>
      </c>
      <c r="M4" s="18" t="str">
        <f t="shared" si="23"/>
        <v>5+</v>
      </c>
      <c r="N4" s="18" t="str">
        <f t="shared" si="23"/>
        <v>6+</v>
      </c>
      <c r="O4" s="273" t="str">
        <f>IFERROR((IF(AV4="YES",(VLOOKUP($BO$1&amp;C4,Teams!D:M,7,0)&amp;BF4),AW4)),"")</f>
        <v>Dodge, Pogo Stick, Right Stuff, Side Step, Stunty, Sure Feet</v>
      </c>
      <c r="P4" s="248"/>
      <c r="Q4" s="248"/>
      <c r="R4" s="248"/>
      <c r="S4" s="248"/>
      <c r="T4" s="248"/>
      <c r="U4" s="248"/>
      <c r="V4" s="248"/>
      <c r="W4" s="248"/>
      <c r="X4" s="248"/>
      <c r="Y4" s="249"/>
      <c r="Z4" s="19"/>
      <c r="AA4" s="19"/>
      <c r="AB4" s="20"/>
      <c r="AC4" s="20">
        <v>1</v>
      </c>
      <c r="AD4" s="20"/>
      <c r="AE4" s="21"/>
      <c r="AF4" s="21">
        <v>1</v>
      </c>
      <c r="AG4" s="21"/>
      <c r="AH4" s="21"/>
      <c r="AI4" s="22"/>
      <c r="AJ4" s="271">
        <f t="shared" si="2"/>
        <v>5</v>
      </c>
      <c r="AK4" s="249"/>
      <c r="AL4" s="271">
        <f t="shared" si="3"/>
        <v>2</v>
      </c>
      <c r="AM4" s="249"/>
      <c r="AN4" s="271">
        <f>IFERROR((VLOOKUP($BO$1&amp;C4,Teams!D:M,8,0)+AG39),0)</f>
        <v>30000</v>
      </c>
      <c r="AO4" s="249"/>
      <c r="AP4" s="240"/>
      <c r="AQ4" s="11">
        <f>IFERROR((IF(Z4&lt;&gt;"",0,((VLOOKUP($BO$1&amp;C4,Teams!D:M,9,0)+(AG39/1000))))),0)</f>
        <v>30</v>
      </c>
      <c r="AR4" s="12">
        <f>IFERROR((VLOOKUP($BO$1&amp;C4,Teams!D:N,11,0)),0)</f>
        <v>0</v>
      </c>
      <c r="AS4" s="12" t="str">
        <f t="shared" si="4"/>
        <v/>
      </c>
      <c r="AT4" s="12" t="str">
        <f t="shared" si="5"/>
        <v/>
      </c>
      <c r="AU4" s="12" t="str">
        <f t="shared" si="6"/>
        <v/>
      </c>
      <c r="AV4" s="12" t="str">
        <f t="shared" si="7"/>
        <v>YES</v>
      </c>
      <c r="AW4" s="12" t="str">
        <f t="shared" si="8"/>
        <v/>
      </c>
      <c r="AX4" s="23" t="str">
        <f t="shared" si="9"/>
        <v>, Sure Feet</v>
      </c>
      <c r="AY4" s="23" t="str">
        <f t="shared" si="10"/>
        <v/>
      </c>
      <c r="AZ4" s="23" t="str">
        <f t="shared" si="11"/>
        <v/>
      </c>
      <c r="BA4" s="23" t="str">
        <f t="shared" si="12"/>
        <v/>
      </c>
      <c r="BB4" s="23" t="str">
        <f t="shared" si="13"/>
        <v/>
      </c>
      <c r="BC4" s="23" t="str">
        <f t="shared" si="14"/>
        <v/>
      </c>
      <c r="BD4" s="23" t="str">
        <f t="shared" si="15"/>
        <v/>
      </c>
      <c r="BE4" s="23" t="str">
        <f t="shared" si="16"/>
        <v/>
      </c>
      <c r="BF4" s="24" t="str">
        <f t="shared" si="17"/>
        <v>, Sure Feet</v>
      </c>
      <c r="BG4" s="2" t="str">
        <f>IFERROR((IF((VLOOKUP($BO$1&amp;C4,Teams!D:M,7,0))="","",", ")),"")</f>
        <v xml:space="preserve">, </v>
      </c>
      <c r="BH4" s="2"/>
      <c r="BI4" s="12" t="str">
        <f>$BO$1&amp;3</f>
        <v>Snotling3</v>
      </c>
      <c r="BJ4" s="2" t="str">
        <f>IFERROR(IF((VLOOKUP(BI4,Teams!B:C,2,FALSE))=0,"",(VLOOKUP(BI4,Teams!B:C,2,FALSE))),"")</f>
        <v>Fungus Flinga</v>
      </c>
      <c r="BK4" s="12"/>
      <c r="BL4" s="12" t="s">
        <v>75</v>
      </c>
      <c r="BM4" s="11" t="str">
        <f t="shared" si="21"/>
        <v>Black Orc</v>
      </c>
      <c r="BN4" s="12" t="s">
        <v>76</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77</v>
      </c>
      <c r="BU4" s="13" t="s">
        <v>78</v>
      </c>
      <c r="BV4" s="13"/>
      <c r="BW4" s="12"/>
      <c r="BX4" s="13"/>
      <c r="BY4" s="12" t="s">
        <v>75</v>
      </c>
      <c r="BZ4" s="12" t="s">
        <v>79</v>
      </c>
      <c r="CA4" s="27" t="s">
        <v>80</v>
      </c>
      <c r="CB4" s="11" t="s">
        <v>81</v>
      </c>
      <c r="CC4" s="11"/>
      <c r="CD4" s="11"/>
      <c r="CE4" s="11" t="s">
        <v>75</v>
      </c>
      <c r="CF4" s="11" t="s">
        <v>82</v>
      </c>
      <c r="CG4" s="11" t="s">
        <v>80</v>
      </c>
      <c r="CH4" s="11" t="s">
        <v>72</v>
      </c>
      <c r="CI4" s="12"/>
      <c r="CJ4" s="12"/>
      <c r="CK4" s="12"/>
      <c r="CL4" s="12"/>
      <c r="CM4" s="12"/>
      <c r="CN4" s="12"/>
      <c r="CO4" s="12"/>
      <c r="CP4" s="12"/>
      <c r="CQ4" s="12"/>
      <c r="CR4" s="12"/>
      <c r="CS4" s="12"/>
      <c r="CT4" s="12"/>
      <c r="CU4" s="12"/>
      <c r="CV4" s="12"/>
      <c r="CW4" s="12"/>
      <c r="CX4" s="12"/>
      <c r="CY4" s="12"/>
      <c r="CZ4" s="12"/>
      <c r="DA4" s="12"/>
      <c r="DB4" s="2"/>
    </row>
    <row r="5" spans="1:106" ht="37.5" customHeight="1">
      <c r="A5" s="8">
        <v>4</v>
      </c>
      <c r="B5" s="14" t="s">
        <v>1340</v>
      </c>
      <c r="C5" s="259" t="s">
        <v>935</v>
      </c>
      <c r="D5" s="248"/>
      <c r="E5" s="248"/>
      <c r="F5" s="248"/>
      <c r="G5" s="15">
        <f>IF(C5="",0,(COUNTIF(C2:F17,C5)))</f>
        <v>2</v>
      </c>
      <c r="H5" s="16" t="s">
        <v>57</v>
      </c>
      <c r="I5" s="17">
        <f>IFERROR((VLOOKUP($BO$1&amp;C5,Teams!D:M,10,0)),0)</f>
        <v>2</v>
      </c>
      <c r="J5" s="18">
        <f t="shared" ref="J5:K5" si="24">IFERROR(K64,0)</f>
        <v>5</v>
      </c>
      <c r="K5" s="18">
        <f t="shared" si="24"/>
        <v>1</v>
      </c>
      <c r="L5" s="18" t="str">
        <f t="shared" ref="L5:N5" si="25">IFERROR(M64&amp;"+",0)</f>
        <v>3+</v>
      </c>
      <c r="M5" s="18" t="str">
        <f t="shared" si="25"/>
        <v>5+</v>
      </c>
      <c r="N5" s="18" t="str">
        <f t="shared" si="25"/>
        <v>6+</v>
      </c>
      <c r="O5" s="273" t="str">
        <f>IFERROR((IF(AV5="YES",(VLOOKUP($BO$1&amp;C5,Teams!D:M,7,0)&amp;BF5),AW5)),"")</f>
        <v>Dodge, Pogo Stick, Right Stuff, Side Step, Stunty</v>
      </c>
      <c r="P5" s="248"/>
      <c r="Q5" s="248"/>
      <c r="R5" s="248"/>
      <c r="S5" s="248"/>
      <c r="T5" s="248"/>
      <c r="U5" s="248"/>
      <c r="V5" s="248"/>
      <c r="W5" s="248"/>
      <c r="X5" s="248"/>
      <c r="Y5" s="249"/>
      <c r="Z5" s="19"/>
      <c r="AA5" s="19"/>
      <c r="AB5" s="20"/>
      <c r="AC5" s="20"/>
      <c r="AD5" s="20"/>
      <c r="AE5" s="21"/>
      <c r="AF5" s="21">
        <v>1</v>
      </c>
      <c r="AG5" s="21"/>
      <c r="AH5" s="21"/>
      <c r="AI5" s="21"/>
      <c r="AJ5" s="271">
        <f t="shared" si="2"/>
        <v>2</v>
      </c>
      <c r="AK5" s="249"/>
      <c r="AL5" s="271">
        <f t="shared" si="3"/>
        <v>2</v>
      </c>
      <c r="AM5" s="249"/>
      <c r="AN5" s="271">
        <f>IFERROR((VLOOKUP($BO$1&amp;C5,Teams!D:M,8,0)+AG40),0)</f>
        <v>20000</v>
      </c>
      <c r="AO5" s="249"/>
      <c r="AP5" s="240"/>
      <c r="AQ5" s="11">
        <f>IFERROR((IF(Z5&lt;&gt;"",0,((VLOOKUP($BO$1&amp;C5,Teams!D:M,9,0)+(AG40/1000))))),0)</f>
        <v>20</v>
      </c>
      <c r="AR5" s="12">
        <f>IFERROR((VLOOKUP($BO$1&amp;C5,Teams!D:N,11,0)),0)</f>
        <v>0</v>
      </c>
      <c r="AS5" s="12" t="str">
        <f t="shared" si="4"/>
        <v/>
      </c>
      <c r="AT5" s="12" t="str">
        <f t="shared" si="5"/>
        <v/>
      </c>
      <c r="AU5" s="12" t="str">
        <f t="shared" si="6"/>
        <v/>
      </c>
      <c r="AV5" s="12" t="str">
        <f t="shared" si="7"/>
        <v>YES</v>
      </c>
      <c r="AW5" s="12" t="str">
        <f t="shared" si="8"/>
        <v/>
      </c>
      <c r="AX5" s="23" t="str">
        <f t="shared" si="9"/>
        <v/>
      </c>
      <c r="AY5" s="23" t="str">
        <f t="shared" si="10"/>
        <v/>
      </c>
      <c r="AZ5" s="23" t="str">
        <f t="shared" si="11"/>
        <v/>
      </c>
      <c r="BA5" s="23" t="str">
        <f t="shared" si="12"/>
        <v/>
      </c>
      <c r="BB5" s="23" t="str">
        <f t="shared" si="13"/>
        <v/>
      </c>
      <c r="BC5" s="23" t="str">
        <f t="shared" si="14"/>
        <v/>
      </c>
      <c r="BD5" s="23" t="str">
        <f t="shared" si="15"/>
        <v/>
      </c>
      <c r="BE5" s="23" t="str">
        <f t="shared" si="16"/>
        <v/>
      </c>
      <c r="BF5" s="24" t="str">
        <f t="shared" si="17"/>
        <v/>
      </c>
      <c r="BG5" s="2" t="str">
        <f>IFERROR((IF((VLOOKUP($BO$1&amp;C5,Teams!D:M,7,0))="","",", ")),"")</f>
        <v xml:space="preserve">, </v>
      </c>
      <c r="BH5" s="2"/>
      <c r="BI5" s="12" t="str">
        <f>$BO$1&amp;4</f>
        <v>Snotling4</v>
      </c>
      <c r="BJ5" s="2" t="str">
        <f>IFERROR(IF((VLOOKUP(BI5,Teams!B:C,2,FALSE))=0,"",(VLOOKUP(BI5,Teams!B:C,2,FALSE))),"")</f>
        <v>Fun-hoppa</v>
      </c>
      <c r="BK5" s="12"/>
      <c r="BL5" s="12" t="s">
        <v>83</v>
      </c>
      <c r="BM5" s="11" t="str">
        <f t="shared" si="21"/>
        <v>Chaos Chosen</v>
      </c>
      <c r="BN5" s="12" t="s">
        <v>84</v>
      </c>
      <c r="BO5" s="12"/>
      <c r="BP5" s="12">
        <v>60000</v>
      </c>
      <c r="BQ5" s="12">
        <v>50000</v>
      </c>
      <c r="BR5" s="12">
        <v>1</v>
      </c>
      <c r="BS5" s="13" t="str">
        <f>IF($J$25="Español","Elegido de…",(IF($J$25="Deutsch","Auserwählte des…",(IF($J$25="Français","Favoris de...","Favoured of…")))))</f>
        <v>Favoured of…</v>
      </c>
      <c r="BT5" s="13" t="s">
        <v>85</v>
      </c>
      <c r="BU5" s="13"/>
      <c r="BV5" s="13"/>
      <c r="BW5" s="12"/>
      <c r="BX5" s="13"/>
      <c r="BY5" s="12" t="s">
        <v>83</v>
      </c>
      <c r="BZ5" s="12" t="s">
        <v>86</v>
      </c>
      <c r="CA5" s="27" t="s">
        <v>87</v>
      </c>
      <c r="CB5" s="11" t="s">
        <v>88</v>
      </c>
      <c r="CC5" s="11"/>
      <c r="CD5" s="11"/>
      <c r="CE5" s="11" t="s">
        <v>83</v>
      </c>
      <c r="CF5" s="11" t="s">
        <v>70</v>
      </c>
      <c r="CG5" s="11" t="s">
        <v>87</v>
      </c>
      <c r="CH5" s="11" t="s">
        <v>89</v>
      </c>
      <c r="CI5" s="12"/>
      <c r="CJ5" s="12"/>
      <c r="CK5" s="12"/>
      <c r="CL5" s="12"/>
      <c r="CM5" s="12"/>
      <c r="CN5" s="12"/>
      <c r="CO5" s="12"/>
      <c r="CP5" s="12"/>
      <c r="CQ5" s="12"/>
      <c r="CR5" s="12"/>
      <c r="CS5" s="12"/>
      <c r="CT5" s="12"/>
      <c r="CU5" s="12"/>
      <c r="CV5" s="12"/>
      <c r="CW5" s="12"/>
      <c r="CX5" s="12"/>
      <c r="CY5" s="12"/>
      <c r="CZ5" s="12"/>
      <c r="DA5" s="12"/>
      <c r="DB5" s="2"/>
    </row>
    <row r="6" spans="1:106" ht="37.5" customHeight="1">
      <c r="A6" s="8">
        <v>5</v>
      </c>
      <c r="B6" s="14" t="s">
        <v>1362</v>
      </c>
      <c r="C6" s="259" t="s">
        <v>940</v>
      </c>
      <c r="D6" s="248"/>
      <c r="E6" s="248"/>
      <c r="F6" s="248"/>
      <c r="G6" s="15">
        <f>IF(C6="",0,(COUNTIF(C2:F17,C6)))</f>
        <v>2</v>
      </c>
      <c r="H6" s="16" t="s">
        <v>57</v>
      </c>
      <c r="I6" s="17">
        <f>IFERROR((VLOOKUP($BO$1&amp;C6,Teams!D:M,10,0)),0)</f>
        <v>2</v>
      </c>
      <c r="J6" s="18">
        <f t="shared" ref="J6:K6" si="26">IFERROR(K65,0)</f>
        <v>6</v>
      </c>
      <c r="K6" s="18">
        <f t="shared" si="26"/>
        <v>1</v>
      </c>
      <c r="L6" s="18" t="str">
        <f t="shared" ref="L6:N6" si="27">IFERROR(M65&amp;"+",0)</f>
        <v>3+</v>
      </c>
      <c r="M6" s="18" t="str">
        <f t="shared" si="27"/>
        <v>5+</v>
      </c>
      <c r="N6" s="18" t="str">
        <f t="shared" si="27"/>
        <v>6+</v>
      </c>
      <c r="O6" s="273" t="str">
        <f>IFERROR((IF(AV6="YES",(VLOOKUP($BO$1&amp;C6,Teams!D:M,7,0)&amp;BF6),AW6)),"")</f>
        <v>Dodge, Right Stuff, Side Step, Sprint, Stunty</v>
      </c>
      <c r="P6" s="248"/>
      <c r="Q6" s="248"/>
      <c r="R6" s="248"/>
      <c r="S6" s="248"/>
      <c r="T6" s="248"/>
      <c r="U6" s="248"/>
      <c r="V6" s="248"/>
      <c r="W6" s="248"/>
      <c r="X6" s="248"/>
      <c r="Y6" s="249"/>
      <c r="Z6" s="19"/>
      <c r="AA6" s="19"/>
      <c r="AB6" s="20"/>
      <c r="AC6" s="20"/>
      <c r="AD6" s="20"/>
      <c r="AE6" s="21"/>
      <c r="AF6" s="21"/>
      <c r="AG6" s="21"/>
      <c r="AH6" s="21"/>
      <c r="AI6" s="21"/>
      <c r="AJ6" s="271">
        <f t="shared" si="2"/>
        <v>0</v>
      </c>
      <c r="AK6" s="249"/>
      <c r="AL6" s="271">
        <f t="shared" si="3"/>
        <v>0</v>
      </c>
      <c r="AM6" s="249"/>
      <c r="AN6" s="271">
        <f>IFERROR((VLOOKUP($BO$1&amp;C6,Teams!D:M,8,0)+AG41),0)</f>
        <v>20000</v>
      </c>
      <c r="AO6" s="249"/>
      <c r="AP6" s="240"/>
      <c r="AQ6" s="11">
        <f>IFERROR((IF(Z6&lt;&gt;"",0,((VLOOKUP($BO$1&amp;C6,Teams!D:M,9,0)+(AG41/1000))))),0)</f>
        <v>20</v>
      </c>
      <c r="AR6" s="12">
        <f>IFERROR((VLOOKUP($BO$1&amp;C6,Teams!D:N,11,0)),0)</f>
        <v>0</v>
      </c>
      <c r="AS6" s="12" t="str">
        <f t="shared" si="4"/>
        <v/>
      </c>
      <c r="AT6" s="12" t="str">
        <f t="shared" si="5"/>
        <v/>
      </c>
      <c r="AU6" s="12" t="str">
        <f t="shared" si="6"/>
        <v/>
      </c>
      <c r="AV6" s="12" t="str">
        <f t="shared" si="7"/>
        <v>YES</v>
      </c>
      <c r="AW6" s="12" t="str">
        <f t="shared" si="8"/>
        <v/>
      </c>
      <c r="AX6" s="23" t="str">
        <f t="shared" si="9"/>
        <v/>
      </c>
      <c r="AY6" s="23" t="str">
        <f t="shared" si="10"/>
        <v/>
      </c>
      <c r="AZ6" s="23" t="str">
        <f t="shared" si="11"/>
        <v/>
      </c>
      <c r="BA6" s="23" t="str">
        <f t="shared" si="12"/>
        <v/>
      </c>
      <c r="BB6" s="23" t="str">
        <f t="shared" si="13"/>
        <v/>
      </c>
      <c r="BC6" s="23" t="str">
        <f t="shared" si="14"/>
        <v/>
      </c>
      <c r="BD6" s="23" t="str">
        <f t="shared" si="15"/>
        <v/>
      </c>
      <c r="BE6" s="23" t="str">
        <f t="shared" si="16"/>
        <v/>
      </c>
      <c r="BF6" s="24" t="str">
        <f t="shared" si="17"/>
        <v/>
      </c>
      <c r="BG6" s="2" t="str">
        <f>IFERROR((IF((VLOOKUP($BO$1&amp;C6,Teams!D:M,7,0))="","",", ")),"")</f>
        <v xml:space="preserve">, </v>
      </c>
      <c r="BH6" s="2"/>
      <c r="BI6" s="12" t="str">
        <f>$BO$1&amp;5</f>
        <v>Snotling5</v>
      </c>
      <c r="BJ6" s="2" t="str">
        <f>IFERROR(IF((VLOOKUP(BI6,Teams!B:C,2,FALSE))=0,"",(VLOOKUP(BI6,Teams!B:C,2,FALSE))),"")</f>
        <v>Stilty Runna</v>
      </c>
      <c r="BK6" s="12"/>
      <c r="BL6" s="12" t="s">
        <v>90</v>
      </c>
      <c r="BM6" s="11" t="str">
        <f t="shared" si="21"/>
        <v>Chaos Dwarf</v>
      </c>
      <c r="BN6" s="12" t="s">
        <v>91</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92</v>
      </c>
      <c r="BU6" s="13"/>
      <c r="BV6" s="13"/>
      <c r="BW6" s="12"/>
      <c r="BX6" s="13"/>
      <c r="BY6" s="12" t="s">
        <v>90</v>
      </c>
      <c r="BZ6" s="12" t="s">
        <v>93</v>
      </c>
      <c r="CA6" s="27" t="s">
        <v>94</v>
      </c>
      <c r="CB6" s="11" t="s">
        <v>95</v>
      </c>
      <c r="CC6" s="11"/>
      <c r="CD6" s="11"/>
      <c r="CE6" s="11" t="s">
        <v>90</v>
      </c>
      <c r="CF6" s="11" t="s">
        <v>86</v>
      </c>
      <c r="CG6" s="11" t="s">
        <v>96</v>
      </c>
      <c r="CH6" s="11" t="s">
        <v>97</v>
      </c>
      <c r="CI6" s="12"/>
      <c r="CJ6" s="12"/>
      <c r="CK6" s="12"/>
      <c r="CL6" s="12"/>
      <c r="CM6" s="12"/>
      <c r="CN6" s="12"/>
      <c r="CO6" s="12"/>
      <c r="CP6" s="12"/>
      <c r="CQ6" s="12"/>
      <c r="CR6" s="12"/>
      <c r="CS6" s="12"/>
      <c r="CT6" s="12"/>
      <c r="CU6" s="12"/>
      <c r="CV6" s="12"/>
      <c r="CW6" s="12"/>
      <c r="CX6" s="12"/>
      <c r="CY6" s="12"/>
      <c r="CZ6" s="12"/>
      <c r="DA6" s="12"/>
      <c r="DB6" s="2"/>
    </row>
    <row r="7" spans="1:106" ht="37.5" customHeight="1">
      <c r="A7" s="8">
        <v>6</v>
      </c>
      <c r="B7" s="14" t="s">
        <v>1342</v>
      </c>
      <c r="C7" s="259" t="s">
        <v>940</v>
      </c>
      <c r="D7" s="248"/>
      <c r="E7" s="248"/>
      <c r="F7" s="248"/>
      <c r="G7" s="15">
        <f>IF(C7="",0,(COUNTIF(C2:F17,C7)))</f>
        <v>2</v>
      </c>
      <c r="H7" s="16" t="s">
        <v>57</v>
      </c>
      <c r="I7" s="17">
        <f>IFERROR((VLOOKUP($BO$1&amp;C7,Teams!D:M,10,0)),0)</f>
        <v>2</v>
      </c>
      <c r="J7" s="18">
        <f t="shared" ref="J7:K7" si="28">IFERROR(K66,0)</f>
        <v>6</v>
      </c>
      <c r="K7" s="18">
        <f t="shared" si="28"/>
        <v>1</v>
      </c>
      <c r="L7" s="18" t="str">
        <f t="shared" ref="L7:N7" si="29">IFERROR(M66&amp;"+",0)</f>
        <v>3+</v>
      </c>
      <c r="M7" s="18" t="str">
        <f t="shared" si="29"/>
        <v>5+</v>
      </c>
      <c r="N7" s="18" t="str">
        <f t="shared" si="29"/>
        <v>6+</v>
      </c>
      <c r="O7" s="273" t="str">
        <f>IFERROR((IF(AV7="YES",(VLOOKUP($BO$1&amp;C7,Teams!D:M,7,0)&amp;BF7),AW7)),"")</f>
        <v>Dodge, Right Stuff, Side Step, Sprint, Stunty</v>
      </c>
      <c r="P7" s="248"/>
      <c r="Q7" s="248"/>
      <c r="R7" s="248"/>
      <c r="S7" s="248"/>
      <c r="T7" s="248"/>
      <c r="U7" s="248"/>
      <c r="V7" s="248"/>
      <c r="W7" s="248"/>
      <c r="X7" s="248"/>
      <c r="Y7" s="249"/>
      <c r="Z7" s="19"/>
      <c r="AA7" s="19"/>
      <c r="AB7" s="20"/>
      <c r="AC7" s="20"/>
      <c r="AD7" s="20"/>
      <c r="AE7" s="21"/>
      <c r="AF7" s="21"/>
      <c r="AG7" s="21"/>
      <c r="AH7" s="21"/>
      <c r="AI7" s="21"/>
      <c r="AJ7" s="271">
        <f t="shared" si="2"/>
        <v>0</v>
      </c>
      <c r="AK7" s="249"/>
      <c r="AL7" s="271">
        <f t="shared" si="3"/>
        <v>0</v>
      </c>
      <c r="AM7" s="249"/>
      <c r="AN7" s="271">
        <f>IFERROR((VLOOKUP($BO$1&amp;C7,Teams!D:M,8,0)+AG42),0)</f>
        <v>20000</v>
      </c>
      <c r="AO7" s="249"/>
      <c r="AP7" s="240"/>
      <c r="AQ7" s="11">
        <f>IFERROR((IF(Z7&lt;&gt;"",0,((VLOOKUP($BO$1&amp;C7,Teams!D:M,9,0)+(AG42/1000))))),0)</f>
        <v>20</v>
      </c>
      <c r="AR7" s="12">
        <f>IFERROR((VLOOKUP($BO$1&amp;C7,Teams!D:N,11,0)),0)</f>
        <v>0</v>
      </c>
      <c r="AS7" s="12" t="str">
        <f t="shared" si="4"/>
        <v/>
      </c>
      <c r="AT7" s="12" t="str">
        <f t="shared" si="5"/>
        <v/>
      </c>
      <c r="AU7" s="12" t="str">
        <f t="shared" si="6"/>
        <v/>
      </c>
      <c r="AV7" s="12" t="str">
        <f t="shared" si="7"/>
        <v>YES</v>
      </c>
      <c r="AW7" s="12" t="str">
        <f t="shared" si="8"/>
        <v/>
      </c>
      <c r="AX7" s="23" t="str">
        <f t="shared" si="9"/>
        <v/>
      </c>
      <c r="AY7" s="23" t="str">
        <f t="shared" si="10"/>
        <v/>
      </c>
      <c r="AZ7" s="23" t="str">
        <f t="shared" si="11"/>
        <v/>
      </c>
      <c r="BA7" s="23" t="str">
        <f t="shared" si="12"/>
        <v/>
      </c>
      <c r="BB7" s="23" t="str">
        <f t="shared" si="13"/>
        <v/>
      </c>
      <c r="BC7" s="23" t="str">
        <f t="shared" si="14"/>
        <v/>
      </c>
      <c r="BD7" s="23" t="str">
        <f t="shared" si="15"/>
        <v/>
      </c>
      <c r="BE7" s="23" t="str">
        <f t="shared" si="16"/>
        <v/>
      </c>
      <c r="BF7" s="24" t="str">
        <f t="shared" si="17"/>
        <v/>
      </c>
      <c r="BG7" s="2" t="str">
        <f>IFERROR((IF((VLOOKUP($BO$1&amp;C7,Teams!D:M,7,0))="","",", ")),"")</f>
        <v xml:space="preserve">, </v>
      </c>
      <c r="BH7" s="2"/>
      <c r="BI7" s="12" t="str">
        <f>$BO$1&amp;6</f>
        <v>Snotling6</v>
      </c>
      <c r="BJ7" s="2" t="str">
        <f>IFERROR(IF((VLOOKUP(BI7,Teams!B:C,2,FALSE))=0,"",(VLOOKUP(BI7,Teams!B:C,2,FALSE))),"")</f>
        <v>Pump Wagon</v>
      </c>
      <c r="BK7" s="12"/>
      <c r="BL7" s="12" t="s">
        <v>98</v>
      </c>
      <c r="BM7" s="11" t="str">
        <f t="shared" si="21"/>
        <v>Chaos Renegades</v>
      </c>
      <c r="BN7" s="12" t="s">
        <v>99</v>
      </c>
      <c r="BO7" s="12"/>
      <c r="BP7" s="12">
        <v>70000</v>
      </c>
      <c r="BQ7" s="12">
        <v>50000</v>
      </c>
      <c r="BR7" s="12">
        <v>3</v>
      </c>
      <c r="BS7" s="13" t="str">
        <f>IF($J$25="Español","Elegido de…",(IF($J$25="Deutsch","Auserwählte des…",(IF($J$25="Français","Favoris de...","Favoured of…")))))</f>
        <v>Favoured of…</v>
      </c>
      <c r="BT7" s="13" t="s">
        <v>85</v>
      </c>
      <c r="BU7" s="13"/>
      <c r="BV7" s="13"/>
      <c r="BW7" s="12"/>
      <c r="BX7" s="13"/>
      <c r="BY7" s="12" t="s">
        <v>98</v>
      </c>
      <c r="BZ7" s="12" t="s">
        <v>100</v>
      </c>
      <c r="CA7" s="27" t="s">
        <v>96</v>
      </c>
      <c r="CB7" s="11" t="s">
        <v>101</v>
      </c>
      <c r="CC7" s="11"/>
      <c r="CD7" s="11"/>
      <c r="CE7" s="11" t="s">
        <v>98</v>
      </c>
      <c r="CF7" s="11" t="s">
        <v>102</v>
      </c>
      <c r="CG7" s="11" t="s">
        <v>94</v>
      </c>
      <c r="CH7" s="11" t="s">
        <v>103</v>
      </c>
      <c r="CI7" s="12"/>
      <c r="CJ7" s="12"/>
      <c r="CK7" s="12"/>
      <c r="CL7" s="12"/>
      <c r="CM7" s="12"/>
      <c r="CN7" s="12"/>
      <c r="CO7" s="12"/>
      <c r="CP7" s="12"/>
      <c r="CQ7" s="12"/>
      <c r="CR7" s="12"/>
      <c r="CS7" s="12"/>
      <c r="CT7" s="12"/>
      <c r="CU7" s="12"/>
      <c r="CV7" s="12"/>
      <c r="CW7" s="12"/>
      <c r="CX7" s="12"/>
      <c r="CY7" s="12"/>
      <c r="CZ7" s="12"/>
      <c r="DA7" s="12"/>
      <c r="DB7" s="2"/>
    </row>
    <row r="8" spans="1:106" ht="37.5" customHeight="1">
      <c r="A8" s="8">
        <v>7</v>
      </c>
      <c r="B8" s="14" t="s">
        <v>1343</v>
      </c>
      <c r="C8" s="259" t="s">
        <v>945</v>
      </c>
      <c r="D8" s="248"/>
      <c r="E8" s="248"/>
      <c r="F8" s="248"/>
      <c r="G8" s="15">
        <f>IF(C8="",0,(COUNTIF(C2:F17,C8)))</f>
        <v>2</v>
      </c>
      <c r="H8" s="16" t="s">
        <v>57</v>
      </c>
      <c r="I8" s="17">
        <f>IFERROR((VLOOKUP($BO$1&amp;C8,Teams!D:M,10,0)),0)</f>
        <v>2</v>
      </c>
      <c r="J8" s="18">
        <f t="shared" ref="J8:K8" si="30">IFERROR(K67,0)</f>
        <v>4</v>
      </c>
      <c r="K8" s="18">
        <f t="shared" si="30"/>
        <v>5</v>
      </c>
      <c r="L8" s="18" t="str">
        <f t="shared" ref="L8:N8" si="31">IFERROR(M67&amp;"+",0)</f>
        <v>5+</v>
      </c>
      <c r="M8" s="18" t="str">
        <f t="shared" si="31"/>
        <v>0+</v>
      </c>
      <c r="N8" s="18" t="str">
        <f t="shared" si="31"/>
        <v>9+</v>
      </c>
      <c r="O8" s="273" t="str">
        <f>IFERROR((IF(AV8="YES",(VLOOKUP($BO$1&amp;C8,Teams!D:M,7,0)&amp;BF8),AW8)),"")</f>
        <v>Dirty Player (+1), Juggernaut, Mighty Blow (+1), Really Stupid, Secret Weapon, Stand Firm</v>
      </c>
      <c r="P8" s="248"/>
      <c r="Q8" s="248"/>
      <c r="R8" s="248"/>
      <c r="S8" s="248"/>
      <c r="T8" s="248"/>
      <c r="U8" s="248"/>
      <c r="V8" s="248"/>
      <c r="W8" s="248"/>
      <c r="X8" s="248"/>
      <c r="Y8" s="249"/>
      <c r="Z8" s="19"/>
      <c r="AA8" s="19"/>
      <c r="AB8" s="20"/>
      <c r="AC8" s="20"/>
      <c r="AD8" s="20"/>
      <c r="AE8" s="21"/>
      <c r="AF8" s="21"/>
      <c r="AG8" s="21"/>
      <c r="AH8" s="21"/>
      <c r="AI8" s="21"/>
      <c r="AJ8" s="271">
        <f t="shared" si="2"/>
        <v>0</v>
      </c>
      <c r="AK8" s="249"/>
      <c r="AL8" s="271">
        <f t="shared" si="3"/>
        <v>0</v>
      </c>
      <c r="AM8" s="249"/>
      <c r="AN8" s="271">
        <f>IFERROR((VLOOKUP($BO$1&amp;C8,Teams!D:M,8,0)+AG43),0)</f>
        <v>105000</v>
      </c>
      <c r="AO8" s="249"/>
      <c r="AP8" s="240"/>
      <c r="AQ8" s="11">
        <f>IFERROR((IF(Z8&lt;&gt;"",0,((VLOOKUP($BO$1&amp;C8,Teams!D:M,9,0)+(AG43/1000))))),0)</f>
        <v>105</v>
      </c>
      <c r="AR8" s="12">
        <f>IFERROR((VLOOKUP($BO$1&amp;C8,Teams!D:N,11,0)),0)</f>
        <v>1</v>
      </c>
      <c r="AS8" s="12" t="str">
        <f t="shared" si="4"/>
        <v/>
      </c>
      <c r="AT8" s="12" t="str">
        <f t="shared" si="5"/>
        <v/>
      </c>
      <c r="AU8" s="12" t="str">
        <f t="shared" si="6"/>
        <v/>
      </c>
      <c r="AV8" s="12" t="str">
        <f t="shared" si="7"/>
        <v>YES</v>
      </c>
      <c r="AW8" s="12" t="str">
        <f t="shared" si="8"/>
        <v/>
      </c>
      <c r="AX8" s="23" t="str">
        <f t="shared" si="9"/>
        <v/>
      </c>
      <c r="AY8" s="23" t="str">
        <f t="shared" si="10"/>
        <v/>
      </c>
      <c r="AZ8" s="23" t="str">
        <f t="shared" si="11"/>
        <v/>
      </c>
      <c r="BA8" s="23" t="str">
        <f t="shared" si="12"/>
        <v/>
      </c>
      <c r="BB8" s="23" t="str">
        <f t="shared" si="13"/>
        <v/>
      </c>
      <c r="BC8" s="23" t="str">
        <f t="shared" si="14"/>
        <v/>
      </c>
      <c r="BD8" s="23" t="str">
        <f t="shared" si="15"/>
        <v/>
      </c>
      <c r="BE8" s="23" t="str">
        <f t="shared" si="16"/>
        <v/>
      </c>
      <c r="BF8" s="24" t="str">
        <f t="shared" si="17"/>
        <v/>
      </c>
      <c r="BG8" s="2" t="str">
        <f>IFERROR((IF((VLOOKUP($BO$1&amp;C8,Teams!D:M,7,0))="","",", ")),"")</f>
        <v xml:space="preserve">, </v>
      </c>
      <c r="BH8" s="2"/>
      <c r="BI8" s="12" t="str">
        <f>$BO$1&amp;7</f>
        <v>Snotling7</v>
      </c>
      <c r="BJ8" s="2" t="str">
        <f>IFERROR(IF((VLOOKUP(BI8,Teams!B:C,2,FALSE))=0,"",(VLOOKUP(BI8,Teams!B:C,2,FALSE))),"")</f>
        <v>Trained Troll</v>
      </c>
      <c r="BK8" s="12"/>
      <c r="BL8" s="12" t="s">
        <v>104</v>
      </c>
      <c r="BM8" s="11" t="str">
        <f t="shared" si="21"/>
        <v>Dark Elf</v>
      </c>
      <c r="BN8" s="12" t="s">
        <v>105</v>
      </c>
      <c r="BO8" s="12"/>
      <c r="BP8" s="12">
        <v>50000</v>
      </c>
      <c r="BQ8" s="12">
        <v>50000</v>
      </c>
      <c r="BR8" s="12">
        <v>0</v>
      </c>
      <c r="BS8" s="13" t="str">
        <f>IF($J$25="Español","Liga de los Reinos Elfos",(IF($J$25="Deutsch","Liga der Elfenkönigreiche",(IF($J$25="Français","Ligue des Royaumes Elfiques","Elven Kingdoms League")))))</f>
        <v>Elven Kingdoms League</v>
      </c>
      <c r="BT8" s="13" t="s">
        <v>106</v>
      </c>
      <c r="BU8" s="13"/>
      <c r="BV8" s="13"/>
      <c r="BW8" s="12"/>
      <c r="BX8" s="13"/>
      <c r="BY8" s="12" t="s">
        <v>104</v>
      </c>
      <c r="BZ8" s="12" t="s">
        <v>102</v>
      </c>
      <c r="CA8" s="13" t="s">
        <v>107</v>
      </c>
      <c r="CB8" s="12" t="s">
        <v>97</v>
      </c>
      <c r="CC8" s="12"/>
      <c r="CD8" s="11"/>
      <c r="CE8" s="11" t="s">
        <v>104</v>
      </c>
      <c r="CF8" s="11" t="s">
        <v>108</v>
      </c>
      <c r="CG8" s="11" t="s">
        <v>107</v>
      </c>
      <c r="CH8" s="11" t="s">
        <v>88</v>
      </c>
      <c r="CI8" s="12"/>
      <c r="CJ8" s="12"/>
      <c r="CK8" s="12"/>
      <c r="CL8" s="12"/>
      <c r="CM8" s="12"/>
      <c r="CN8" s="12"/>
      <c r="CO8" s="12"/>
      <c r="CP8" s="12"/>
      <c r="CQ8" s="12"/>
      <c r="CR8" s="12"/>
      <c r="CS8" s="12"/>
      <c r="CT8" s="12"/>
      <c r="CU8" s="12"/>
      <c r="CV8" s="12"/>
      <c r="CW8" s="12"/>
      <c r="CX8" s="12"/>
      <c r="CY8" s="12"/>
      <c r="CZ8" s="12"/>
      <c r="DA8" s="12"/>
      <c r="DB8" s="2"/>
    </row>
    <row r="9" spans="1:106" ht="37.5" customHeight="1">
      <c r="A9" s="8">
        <v>8</v>
      </c>
      <c r="B9" s="14" t="s">
        <v>1344</v>
      </c>
      <c r="C9" s="256" t="s">
        <v>945</v>
      </c>
      <c r="D9" s="248"/>
      <c r="E9" s="248"/>
      <c r="F9" s="248"/>
      <c r="G9" s="15">
        <f>IF(C9="",0,(COUNTIF(C2:F17,C9)))</f>
        <v>2</v>
      </c>
      <c r="H9" s="16" t="s">
        <v>57</v>
      </c>
      <c r="I9" s="17">
        <f>IFERROR((VLOOKUP($BO$1&amp;C9,Teams!D:M,10,0)),0)</f>
        <v>2</v>
      </c>
      <c r="J9" s="18">
        <f t="shared" ref="J9:K9" si="32">IFERROR(K68,0)</f>
        <v>4</v>
      </c>
      <c r="K9" s="18">
        <f t="shared" si="32"/>
        <v>5</v>
      </c>
      <c r="L9" s="18" t="str">
        <f t="shared" ref="L9:N9" si="33">IFERROR(M68&amp;"+",0)</f>
        <v>5+</v>
      </c>
      <c r="M9" s="18" t="str">
        <f t="shared" si="33"/>
        <v>0+</v>
      </c>
      <c r="N9" s="18" t="str">
        <f t="shared" si="33"/>
        <v>9+</v>
      </c>
      <c r="O9" s="273" t="str">
        <f>IFERROR((IF(AV9="YES",(VLOOKUP($BO$1&amp;C9,Teams!D:M,7,0)&amp;BF9),AW9)),"")</f>
        <v>Dirty Player (+1), Juggernaut, Mighty Blow (+1), Really Stupid, Secret Weapon, Stand Firm, Guard</v>
      </c>
      <c r="P9" s="248"/>
      <c r="Q9" s="248"/>
      <c r="R9" s="248"/>
      <c r="S9" s="248"/>
      <c r="T9" s="248"/>
      <c r="U9" s="248"/>
      <c r="V9" s="248"/>
      <c r="W9" s="248"/>
      <c r="X9" s="248"/>
      <c r="Y9" s="249"/>
      <c r="Z9" s="19"/>
      <c r="AA9" s="19"/>
      <c r="AB9" s="20"/>
      <c r="AC9" s="20"/>
      <c r="AD9" s="20"/>
      <c r="AE9" s="21"/>
      <c r="AF9" s="21">
        <v>1</v>
      </c>
      <c r="AG9" s="21">
        <v>1</v>
      </c>
      <c r="AH9" s="21">
        <v>1</v>
      </c>
      <c r="AI9" s="21">
        <v>1</v>
      </c>
      <c r="AJ9" s="271">
        <f t="shared" si="2"/>
        <v>10</v>
      </c>
      <c r="AK9" s="249"/>
      <c r="AL9" s="271">
        <f t="shared" si="3"/>
        <v>4</v>
      </c>
      <c r="AM9" s="249"/>
      <c r="AN9" s="271">
        <f>IFERROR((VLOOKUP($BO$1&amp;C9,Teams!D:M,8,0)+AG44),0)</f>
        <v>125000</v>
      </c>
      <c r="AO9" s="249"/>
      <c r="AP9" s="240"/>
      <c r="AQ9" s="11">
        <f>IFERROR((IF(Z9&lt;&gt;"",0,((VLOOKUP($BO$1&amp;C9,Teams!D:M,9,0)+(AG44/1000))))),0)</f>
        <v>125</v>
      </c>
      <c r="AR9" s="12">
        <f>IFERROR((VLOOKUP($BO$1&amp;C9,Teams!D:N,11,0)),0)</f>
        <v>1</v>
      </c>
      <c r="AS9" s="12" t="str">
        <f t="shared" si="4"/>
        <v/>
      </c>
      <c r="AT9" s="12" t="str">
        <f t="shared" si="5"/>
        <v/>
      </c>
      <c r="AU9" s="12" t="str">
        <f t="shared" si="6"/>
        <v/>
      </c>
      <c r="AV9" s="12" t="str">
        <f t="shared" si="7"/>
        <v>YES</v>
      </c>
      <c r="AW9" s="12" t="str">
        <f t="shared" si="8"/>
        <v/>
      </c>
      <c r="AX9" s="23" t="str">
        <f t="shared" si="9"/>
        <v>, Guard</v>
      </c>
      <c r="AY9" s="23" t="str">
        <f t="shared" si="10"/>
        <v/>
      </c>
      <c r="AZ9" s="23" t="str">
        <f t="shared" si="11"/>
        <v/>
      </c>
      <c r="BA9" s="23" t="str">
        <f t="shared" si="12"/>
        <v/>
      </c>
      <c r="BB9" s="23" t="str">
        <f t="shared" si="13"/>
        <v/>
      </c>
      <c r="BC9" s="23" t="str">
        <f t="shared" si="14"/>
        <v/>
      </c>
      <c r="BD9" s="23" t="str">
        <f t="shared" si="15"/>
        <v/>
      </c>
      <c r="BE9" s="23" t="str">
        <f t="shared" si="16"/>
        <v/>
      </c>
      <c r="BF9" s="24" t="str">
        <f t="shared" si="17"/>
        <v>, Guard</v>
      </c>
      <c r="BG9" s="2" t="str">
        <f>IFERROR((IF((VLOOKUP($BO$1&amp;C9,Teams!D:M,7,0))="","",", ")),"")</f>
        <v xml:space="preserve">, </v>
      </c>
      <c r="BH9" s="2"/>
      <c r="BI9" s="12" t="str">
        <f>$BO$1&amp;8</f>
        <v>Snotling8</v>
      </c>
      <c r="BJ9" s="2" t="str">
        <f>IFERROR(IF((VLOOKUP(BI9,Teams!B:C,2,FALSE))=0,"",(VLOOKUP(BI9,Teams!B:C,2,FALSE))),"")</f>
        <v>Journey Snotling</v>
      </c>
      <c r="BK9" s="12"/>
      <c r="BL9" s="12" t="s">
        <v>109</v>
      </c>
      <c r="BM9" s="11" t="str">
        <f t="shared" si="21"/>
        <v>Dwarf</v>
      </c>
      <c r="BN9" s="12" t="s">
        <v>109</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110</v>
      </c>
      <c r="BU9" s="13"/>
      <c r="BV9" s="13"/>
      <c r="BW9" s="12"/>
      <c r="BX9" s="13"/>
      <c r="BY9" s="12" t="s">
        <v>109</v>
      </c>
      <c r="BZ9" s="12" t="s">
        <v>111</v>
      </c>
      <c r="CA9" s="13" t="s">
        <v>112</v>
      </c>
      <c r="CB9" s="12" t="s">
        <v>113</v>
      </c>
      <c r="CC9" s="12"/>
      <c r="CD9" s="11"/>
      <c r="CE9" s="11" t="s">
        <v>109</v>
      </c>
      <c r="CF9" s="11" t="s">
        <v>114</v>
      </c>
      <c r="CG9" s="11" t="s">
        <v>115</v>
      </c>
      <c r="CH9" s="11" t="s">
        <v>116</v>
      </c>
      <c r="CI9" s="12"/>
      <c r="CJ9" s="12"/>
      <c r="CK9" s="12"/>
      <c r="CL9" s="12"/>
      <c r="CM9" s="12"/>
      <c r="CN9" s="12"/>
      <c r="CO9" s="12"/>
      <c r="CP9" s="12"/>
      <c r="CQ9" s="12"/>
      <c r="CR9" s="12"/>
      <c r="CS9" s="12"/>
      <c r="CT9" s="12"/>
      <c r="CU9" s="12"/>
      <c r="CV9" s="12"/>
      <c r="CW9" s="12"/>
      <c r="CX9" s="12"/>
      <c r="CY9" s="12"/>
      <c r="CZ9" s="12"/>
      <c r="DA9" s="12"/>
      <c r="DB9" s="2"/>
    </row>
    <row r="10" spans="1:106" ht="37.5" customHeight="1">
      <c r="A10" s="8">
        <v>9</v>
      </c>
      <c r="B10" s="14" t="s">
        <v>1345</v>
      </c>
      <c r="C10" s="259" t="s">
        <v>438</v>
      </c>
      <c r="D10" s="248"/>
      <c r="E10" s="248"/>
      <c r="F10" s="248"/>
      <c r="G10" s="15">
        <f>IF(C10="",0,(COUNTIF(C2:F17,C10)))</f>
        <v>2</v>
      </c>
      <c r="H10" s="16" t="s">
        <v>57</v>
      </c>
      <c r="I10" s="17">
        <f>IFERROR((VLOOKUP($BO$1&amp;C10,Teams!D:M,10,0)),0)</f>
        <v>2</v>
      </c>
      <c r="J10" s="18">
        <f t="shared" ref="J10:K10" si="34">IFERROR(K69,0)</f>
        <v>4</v>
      </c>
      <c r="K10" s="18">
        <f t="shared" si="34"/>
        <v>5</v>
      </c>
      <c r="L10" s="18" t="str">
        <f t="shared" ref="L10:N10" si="35">IFERROR(M69&amp;"+",0)</f>
        <v>5+</v>
      </c>
      <c r="M10" s="18" t="str">
        <f t="shared" si="35"/>
        <v>5+</v>
      </c>
      <c r="N10" s="18" t="str">
        <f t="shared" si="35"/>
        <v>10+</v>
      </c>
      <c r="O10" s="273" t="str">
        <f>IFERROR((IF(AV10="YES",(VLOOKUP($BO$1&amp;C10,Teams!D:M,7,0)&amp;BF10),AW10)),"")</f>
        <v>Always Hungry, Loner (3+), Mighty Blow (+1), Projectile Vomit, Really Stupid, Regeneration, Throw Team-mate, Stand Firm</v>
      </c>
      <c r="P10" s="248"/>
      <c r="Q10" s="248"/>
      <c r="R10" s="248"/>
      <c r="S10" s="248"/>
      <c r="T10" s="248"/>
      <c r="U10" s="248"/>
      <c r="V10" s="248"/>
      <c r="W10" s="248"/>
      <c r="X10" s="248"/>
      <c r="Y10" s="249"/>
      <c r="Z10" s="19"/>
      <c r="AA10" s="19"/>
      <c r="AB10" s="20"/>
      <c r="AC10" s="20"/>
      <c r="AD10" s="20"/>
      <c r="AE10" s="21"/>
      <c r="AF10" s="21">
        <v>1</v>
      </c>
      <c r="AG10" s="21">
        <v>1</v>
      </c>
      <c r="AH10" s="21">
        <v>1</v>
      </c>
      <c r="AI10" s="21"/>
      <c r="AJ10" s="271">
        <f t="shared" si="2"/>
        <v>6</v>
      </c>
      <c r="AK10" s="249"/>
      <c r="AL10" s="271">
        <f t="shared" si="3"/>
        <v>0</v>
      </c>
      <c r="AM10" s="249"/>
      <c r="AN10" s="271">
        <f>IFERROR((VLOOKUP($BO$1&amp;C10,Teams!D:M,8,0)+AG45),0)</f>
        <v>135000</v>
      </c>
      <c r="AO10" s="249"/>
      <c r="AP10" s="240"/>
      <c r="AQ10" s="11">
        <f>IFERROR((IF(Z10&lt;&gt;"",0,((VLOOKUP($BO$1&amp;C10,Teams!D:M,9,0)+(AG45/1000))))),0)</f>
        <v>135</v>
      </c>
      <c r="AR10" s="12">
        <f>IFERROR((VLOOKUP($BO$1&amp;C10,Teams!D:N,11,0)),0)</f>
        <v>1</v>
      </c>
      <c r="AS10" s="12" t="str">
        <f t="shared" si="4"/>
        <v/>
      </c>
      <c r="AT10" s="12" t="str">
        <f t="shared" si="5"/>
        <v/>
      </c>
      <c r="AU10" s="12" t="str">
        <f t="shared" si="6"/>
        <v/>
      </c>
      <c r="AV10" s="12" t="str">
        <f t="shared" si="7"/>
        <v>YES</v>
      </c>
      <c r="AW10" s="12" t="str">
        <f t="shared" si="8"/>
        <v/>
      </c>
      <c r="AX10" s="23" t="str">
        <f t="shared" si="9"/>
        <v>, Stand Firm</v>
      </c>
      <c r="AY10" s="23" t="str">
        <f t="shared" si="10"/>
        <v/>
      </c>
      <c r="AZ10" s="23" t="str">
        <f t="shared" si="11"/>
        <v/>
      </c>
      <c r="BA10" s="23" t="str">
        <f t="shared" si="12"/>
        <v/>
      </c>
      <c r="BB10" s="23" t="str">
        <f t="shared" si="13"/>
        <v/>
      </c>
      <c r="BC10" s="23" t="str">
        <f t="shared" si="14"/>
        <v/>
      </c>
      <c r="BD10" s="23" t="str">
        <f t="shared" si="15"/>
        <v/>
      </c>
      <c r="BE10" s="23" t="str">
        <f t="shared" si="16"/>
        <v/>
      </c>
      <c r="BF10" s="24" t="str">
        <f t="shared" si="17"/>
        <v>, Stand Firm</v>
      </c>
      <c r="BG10" s="2" t="str">
        <f>IFERROR((IF((VLOOKUP($BO$1&amp;C10,Teams!D:M,7,0))="","",", ")),"")</f>
        <v xml:space="preserve">, </v>
      </c>
      <c r="BH10" s="2"/>
      <c r="BI10" s="12" t="str">
        <f>$BO$1&amp;9</f>
        <v>Snotling9</v>
      </c>
      <c r="BJ10" s="2" t="str">
        <f>IFERROR(IF((VLOOKUP(BI10,Teams!B:C,2,FALSE))=0,"",(VLOOKUP(BI10,Teams!B:C,2,FALSE))),"")</f>
        <v/>
      </c>
      <c r="BK10" s="12"/>
      <c r="BL10" s="12" t="s">
        <v>117</v>
      </c>
      <c r="BM10" s="11" t="str">
        <f t="shared" si="21"/>
        <v>Elven Union</v>
      </c>
      <c r="BN10" s="12" t="s">
        <v>118</v>
      </c>
      <c r="BO10" s="12"/>
      <c r="BP10" s="12">
        <v>50000</v>
      </c>
      <c r="BQ10" s="12">
        <v>50000</v>
      </c>
      <c r="BR10" s="12">
        <v>0</v>
      </c>
      <c r="BS10" s="13" t="str">
        <f>IF($J$25="Español","Liga de los Reinos Elfos",(IF($J$25="Deutsch","Liga der Elfenkönigreiche",(IF($J$25="Français","Ligue des Royaumes Elfiques","Elven Kingdoms League")))))</f>
        <v>Elven Kingdoms League</v>
      </c>
      <c r="BT10" s="13" t="s">
        <v>106</v>
      </c>
      <c r="BU10" s="13"/>
      <c r="BV10" s="13"/>
      <c r="BW10" s="12"/>
      <c r="BX10" s="13"/>
      <c r="BY10" s="12" t="s">
        <v>117</v>
      </c>
      <c r="BZ10" s="12" t="s">
        <v>108</v>
      </c>
      <c r="CA10" s="13" t="s">
        <v>115</v>
      </c>
      <c r="CB10" s="12" t="s">
        <v>119</v>
      </c>
      <c r="CC10" s="12"/>
      <c r="CD10" s="11"/>
      <c r="CE10" s="11" t="s">
        <v>117</v>
      </c>
      <c r="CF10" s="11" t="s">
        <v>111</v>
      </c>
      <c r="CG10" s="11" t="s">
        <v>120</v>
      </c>
      <c r="CH10" s="11" t="s">
        <v>121</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10</v>
      </c>
      <c r="B11" s="14" t="s">
        <v>1346</v>
      </c>
      <c r="C11" s="256" t="s">
        <v>438</v>
      </c>
      <c r="D11" s="248"/>
      <c r="E11" s="248"/>
      <c r="F11" s="248"/>
      <c r="G11" s="15">
        <f>IF(C11="",0,(COUNTIF(C2:F17,C11)))</f>
        <v>2</v>
      </c>
      <c r="H11" s="16" t="s">
        <v>57</v>
      </c>
      <c r="I11" s="17">
        <f>IFERROR((VLOOKUP($BO$1&amp;C11,Teams!D:M,10,0)),0)</f>
        <v>2</v>
      </c>
      <c r="J11" s="18">
        <f t="shared" ref="J11:K11" si="36">IFERROR(K70,0)</f>
        <v>4</v>
      </c>
      <c r="K11" s="18">
        <f t="shared" si="36"/>
        <v>5</v>
      </c>
      <c r="L11" s="18" t="str">
        <f t="shared" ref="L11:N11" si="37">IFERROR(M70&amp;"+",0)</f>
        <v>5+</v>
      </c>
      <c r="M11" s="18" t="str">
        <f t="shared" si="37"/>
        <v>5+</v>
      </c>
      <c r="N11" s="18" t="str">
        <f t="shared" si="37"/>
        <v>10+</v>
      </c>
      <c r="O11" s="273" t="str">
        <f>IFERROR((IF(AV11="YES",(VLOOKUP($BO$1&amp;C11,Teams!D:M,7,0)&amp;BF11),AW11)),"")</f>
        <v>Always Hungry, Loner (3+), Mighty Blow (+1), Projectile Vomit, Really Stupid, Regeneration, Throw Team-mate, Stand Firm - 1 NI</v>
      </c>
      <c r="P11" s="248"/>
      <c r="Q11" s="248"/>
      <c r="R11" s="248"/>
      <c r="S11" s="248"/>
      <c r="T11" s="248"/>
      <c r="U11" s="248"/>
      <c r="V11" s="248"/>
      <c r="W11" s="248"/>
      <c r="X11" s="248"/>
      <c r="Y11" s="249"/>
      <c r="Z11" s="19"/>
      <c r="AA11" s="19"/>
      <c r="AB11" s="20"/>
      <c r="AC11" s="20"/>
      <c r="AD11" s="20"/>
      <c r="AE11" s="21"/>
      <c r="AF11" s="21"/>
      <c r="AG11" s="21"/>
      <c r="AH11" s="21">
        <v>1</v>
      </c>
      <c r="AI11" s="21">
        <v>1</v>
      </c>
      <c r="AJ11" s="271">
        <f t="shared" si="2"/>
        <v>6</v>
      </c>
      <c r="AK11" s="249"/>
      <c r="AL11" s="271">
        <f t="shared" si="3"/>
        <v>0</v>
      </c>
      <c r="AM11" s="249"/>
      <c r="AN11" s="271">
        <f>IFERROR((VLOOKUP($BO$1&amp;C11,Teams!D:M,8,0)+AG46),0)</f>
        <v>135000</v>
      </c>
      <c r="AO11" s="249"/>
      <c r="AP11" s="240"/>
      <c r="AQ11" s="11">
        <f>IFERROR((IF(Z11&lt;&gt;"",0,((VLOOKUP($BO$1&amp;C11,Teams!D:M,9,0)+(AG46/1000))))),0)</f>
        <v>135</v>
      </c>
      <c r="AR11" s="12">
        <f>IFERROR((VLOOKUP($BO$1&amp;C11,Teams!D:N,11,0)),0)</f>
        <v>1</v>
      </c>
      <c r="AS11" s="12" t="str">
        <f t="shared" si="4"/>
        <v/>
      </c>
      <c r="AT11" s="12" t="str">
        <f t="shared" si="5"/>
        <v/>
      </c>
      <c r="AU11" s="12" t="str">
        <f t="shared" si="6"/>
        <v/>
      </c>
      <c r="AV11" s="12" t="str">
        <f t="shared" si="7"/>
        <v>YES</v>
      </c>
      <c r="AW11" s="12" t="str">
        <f t="shared" si="8"/>
        <v/>
      </c>
      <c r="AX11" s="23" t="str">
        <f t="shared" si="9"/>
        <v>, Stand Firm</v>
      </c>
      <c r="AY11" s="23" t="str">
        <f t="shared" si="10"/>
        <v/>
      </c>
      <c r="AZ11" s="23" t="str">
        <f t="shared" si="11"/>
        <v/>
      </c>
      <c r="BA11" s="23" t="str">
        <f t="shared" si="12"/>
        <v/>
      </c>
      <c r="BB11" s="23" t="str">
        <f t="shared" si="13"/>
        <v/>
      </c>
      <c r="BC11" s="23" t="str">
        <f t="shared" si="14"/>
        <v/>
      </c>
      <c r="BD11" s="23" t="str">
        <f t="shared" si="15"/>
        <v/>
      </c>
      <c r="BE11" s="23" t="str">
        <f t="shared" si="16"/>
        <v xml:space="preserve"> - 1 NI</v>
      </c>
      <c r="BF11" s="24" t="str">
        <f t="shared" si="17"/>
        <v>, Stand Firm - 1 NI</v>
      </c>
      <c r="BG11" s="2" t="str">
        <f>IFERROR((IF((VLOOKUP($BO$1&amp;C11,Teams!D:M,7,0))="","",", ")),"")</f>
        <v xml:space="preserve">, </v>
      </c>
      <c r="BH11" s="2"/>
      <c r="BI11" s="12" t="str">
        <f>$BO$1&amp;10</f>
        <v>Snotling10</v>
      </c>
      <c r="BJ11" s="2" t="str">
        <f>IFERROR(IF((VLOOKUP(BI11,Teams!B:C,2,FALSE))=0,"",(VLOOKUP(BI11,Teams!B:C,2,FALSE))),"")</f>
        <v/>
      </c>
      <c r="BK11" s="12"/>
      <c r="BL11" s="12" t="s">
        <v>122</v>
      </c>
      <c r="BM11" s="11" t="str">
        <f t="shared" si="21"/>
        <v>Goblin</v>
      </c>
      <c r="BN11" s="12" t="s">
        <v>122</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123</v>
      </c>
      <c r="BU11" s="13" t="s">
        <v>78</v>
      </c>
      <c r="BV11" s="13"/>
      <c r="BW11" s="12"/>
      <c r="BX11" s="13"/>
      <c r="BY11" s="12" t="s">
        <v>122</v>
      </c>
      <c r="BZ11" s="12" t="s">
        <v>124</v>
      </c>
      <c r="CA11" s="13" t="s">
        <v>120</v>
      </c>
      <c r="CB11" s="12" t="s">
        <v>116</v>
      </c>
      <c r="CC11" s="12"/>
      <c r="CD11" s="11"/>
      <c r="CE11" s="11" t="s">
        <v>122</v>
      </c>
      <c r="CF11" s="11" t="s">
        <v>93</v>
      </c>
      <c r="CG11" s="11" t="s">
        <v>125</v>
      </c>
      <c r="CH11" s="11" t="s">
        <v>126</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11</v>
      </c>
      <c r="B12" s="14" t="s">
        <v>1347</v>
      </c>
      <c r="C12" s="256" t="s">
        <v>204</v>
      </c>
      <c r="D12" s="248"/>
      <c r="E12" s="248"/>
      <c r="F12" s="248"/>
      <c r="G12" s="15">
        <f>IF(C12="",0,(COUNTIF(C2:F17,C12)))</f>
        <v>6</v>
      </c>
      <c r="H12" s="16" t="s">
        <v>57</v>
      </c>
      <c r="I12" s="17">
        <f>IFERROR((VLOOKUP($BO$1&amp;C12,Teams!D:M,10,0)),0)</f>
        <v>16</v>
      </c>
      <c r="J12" s="18">
        <f t="shared" ref="J12:K12" si="38">IFERROR(K71,0)</f>
        <v>5</v>
      </c>
      <c r="K12" s="18">
        <f t="shared" si="38"/>
        <v>1</v>
      </c>
      <c r="L12" s="18" t="str">
        <f t="shared" ref="L12:N12" si="39">IFERROR(M71&amp;"+",0)</f>
        <v>3+</v>
      </c>
      <c r="M12" s="18" t="str">
        <f t="shared" si="39"/>
        <v>5+</v>
      </c>
      <c r="N12" s="18" t="str">
        <f t="shared" si="39"/>
        <v>6+</v>
      </c>
      <c r="O12" s="273" t="str">
        <f>IFERROR((IF(AV12="YES",(VLOOKUP($BO$1&amp;C12,Teams!D:M,7,0)&amp;BF12),AW12)),"")</f>
        <v>Dodge, Right Stuff, Side Step, Stunty, Swarming, Titchy - 1 NI</v>
      </c>
      <c r="P12" s="248"/>
      <c r="Q12" s="248"/>
      <c r="R12" s="248"/>
      <c r="S12" s="248"/>
      <c r="T12" s="248"/>
      <c r="U12" s="248"/>
      <c r="V12" s="248"/>
      <c r="W12" s="248"/>
      <c r="X12" s="248"/>
      <c r="Y12" s="249"/>
      <c r="Z12" s="19"/>
      <c r="AA12" s="19"/>
      <c r="AB12" s="20"/>
      <c r="AC12" s="20">
        <v>1</v>
      </c>
      <c r="AD12" s="20"/>
      <c r="AE12" s="21"/>
      <c r="AF12" s="21"/>
      <c r="AG12" s="21"/>
      <c r="AH12" s="21"/>
      <c r="AI12" s="21"/>
      <c r="AJ12" s="271">
        <f t="shared" si="2"/>
        <v>3</v>
      </c>
      <c r="AK12" s="249"/>
      <c r="AL12" s="271">
        <f t="shared" si="3"/>
        <v>3</v>
      </c>
      <c r="AM12" s="249"/>
      <c r="AN12" s="271">
        <f>IFERROR((VLOOKUP($BO$1&amp;C12,Teams!D:M,8,0)+AG47),0)</f>
        <v>15000</v>
      </c>
      <c r="AO12" s="249"/>
      <c r="AP12" s="240"/>
      <c r="AQ12" s="11">
        <f>IFERROR((IF(Z12&lt;&gt;"",0,((VLOOKUP($BO$1&amp;C12,Teams!D:M,9,0)+(AG47/1000))))),0)</f>
        <v>0</v>
      </c>
      <c r="AR12" s="12">
        <f>IFERROR((VLOOKUP($BO$1&amp;C12,Teams!D:N,11,0)),0)</f>
        <v>0</v>
      </c>
      <c r="AS12" s="12" t="str">
        <f t="shared" si="4"/>
        <v/>
      </c>
      <c r="AT12" s="12" t="str">
        <f t="shared" si="5"/>
        <v/>
      </c>
      <c r="AU12" s="12" t="str">
        <f t="shared" si="6"/>
        <v/>
      </c>
      <c r="AV12" s="12" t="str">
        <f t="shared" si="7"/>
        <v>YES</v>
      </c>
      <c r="AW12" s="12" t="str">
        <f t="shared" si="8"/>
        <v/>
      </c>
      <c r="AX12" s="23" t="str">
        <f t="shared" si="9"/>
        <v/>
      </c>
      <c r="AY12" s="23" t="str">
        <f t="shared" si="10"/>
        <v/>
      </c>
      <c r="AZ12" s="23" t="str">
        <f t="shared" si="11"/>
        <v/>
      </c>
      <c r="BA12" s="23" t="str">
        <f t="shared" si="12"/>
        <v/>
      </c>
      <c r="BB12" s="23" t="str">
        <f t="shared" si="13"/>
        <v/>
      </c>
      <c r="BC12" s="23" t="str">
        <f t="shared" si="14"/>
        <v/>
      </c>
      <c r="BD12" s="23" t="str">
        <f t="shared" si="15"/>
        <v/>
      </c>
      <c r="BE12" s="23" t="str">
        <f t="shared" si="16"/>
        <v xml:space="preserve"> - 1 NI</v>
      </c>
      <c r="BF12" s="24" t="str">
        <f t="shared" si="17"/>
        <v xml:space="preserve"> - 1 NI</v>
      </c>
      <c r="BG12" s="2" t="str">
        <f>IFERROR((IF((VLOOKUP($BO$1&amp;C12,Teams!D:M,7,0))="","",", ")),"")</f>
        <v xml:space="preserve">, </v>
      </c>
      <c r="BH12" s="2"/>
      <c r="BI12" s="12" t="str">
        <f>$BO$1&amp;11</f>
        <v>Snotling11</v>
      </c>
      <c r="BJ12" s="2" t="str">
        <f>IFERROR(IF((VLOOKUP(BI12,Teams!B:C,2,FALSE))=0,"",(VLOOKUP(BI12,Teams!B:C,2,FALSE))),"")</f>
        <v/>
      </c>
      <c r="BK12" s="12"/>
      <c r="BL12" s="12" t="s">
        <v>127</v>
      </c>
      <c r="BM12" s="11" t="str">
        <f t="shared" si="21"/>
        <v>Halfling</v>
      </c>
      <c r="BN12" s="12" t="s">
        <v>127</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128</v>
      </c>
      <c r="BU12" s="13"/>
      <c r="BV12" s="13"/>
      <c r="BW12" s="13"/>
      <c r="BX12" s="13"/>
      <c r="BY12" s="12" t="s">
        <v>127</v>
      </c>
      <c r="BZ12" s="12" t="s">
        <v>129</v>
      </c>
      <c r="CA12" s="13" t="s">
        <v>125</v>
      </c>
      <c r="CB12" s="12" t="s">
        <v>121</v>
      </c>
      <c r="CC12" s="12"/>
      <c r="CD12" s="11"/>
      <c r="CE12" s="11" t="s">
        <v>127</v>
      </c>
      <c r="CF12" s="11" t="s">
        <v>124</v>
      </c>
      <c r="CG12" s="11" t="s">
        <v>130</v>
      </c>
      <c r="CH12" s="11" t="s">
        <v>131</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12</v>
      </c>
      <c r="B13" s="14" t="s">
        <v>1348</v>
      </c>
      <c r="C13" s="256" t="s">
        <v>204</v>
      </c>
      <c r="D13" s="248"/>
      <c r="E13" s="248"/>
      <c r="F13" s="248"/>
      <c r="G13" s="15">
        <f>IF(C13="",0,(COUNTIF(C2:F17,C13)))</f>
        <v>6</v>
      </c>
      <c r="H13" s="16" t="s">
        <v>57</v>
      </c>
      <c r="I13" s="17">
        <f>IFERROR((VLOOKUP($BO$1&amp;C13,Teams!D:M,10,0)),0)</f>
        <v>16</v>
      </c>
      <c r="J13" s="18">
        <f t="shared" ref="J13:K13" si="40">IFERROR(K72,0)</f>
        <v>5</v>
      </c>
      <c r="K13" s="18">
        <f t="shared" si="40"/>
        <v>1</v>
      </c>
      <c r="L13" s="18" t="str">
        <f t="shared" ref="L13:N13" si="41">IFERROR(M72&amp;"+",0)</f>
        <v>3+</v>
      </c>
      <c r="M13" s="18" t="str">
        <f t="shared" si="41"/>
        <v>5+</v>
      </c>
      <c r="N13" s="18" t="str">
        <f t="shared" si="41"/>
        <v>6+</v>
      </c>
      <c r="O13" s="273" t="str">
        <f>IFERROR((IF(AV13="YES",(VLOOKUP($BO$1&amp;C13,Teams!D:M,7,0)&amp;BF13),AW13)),"")</f>
        <v>Dodge, Right Stuff, Side Step, Stunty, Swarming, Titchy</v>
      </c>
      <c r="P13" s="248"/>
      <c r="Q13" s="248"/>
      <c r="R13" s="248"/>
      <c r="S13" s="248"/>
      <c r="T13" s="248"/>
      <c r="U13" s="248"/>
      <c r="V13" s="248"/>
      <c r="W13" s="248"/>
      <c r="X13" s="248"/>
      <c r="Y13" s="249"/>
      <c r="Z13" s="19"/>
      <c r="AA13" s="19"/>
      <c r="AB13" s="20"/>
      <c r="AC13" s="20"/>
      <c r="AD13" s="20"/>
      <c r="AE13" s="21"/>
      <c r="AF13" s="21"/>
      <c r="AG13" s="21"/>
      <c r="AH13" s="21"/>
      <c r="AI13" s="21"/>
      <c r="AJ13" s="271">
        <f t="shared" si="2"/>
        <v>0</v>
      </c>
      <c r="AK13" s="249"/>
      <c r="AL13" s="271">
        <f t="shared" si="3"/>
        <v>0</v>
      </c>
      <c r="AM13" s="249"/>
      <c r="AN13" s="271">
        <f>IFERROR((VLOOKUP($BO$1&amp;C13,Teams!D:M,8,0)+AG48),0)</f>
        <v>15000</v>
      </c>
      <c r="AO13" s="249"/>
      <c r="AP13" s="240"/>
      <c r="AQ13" s="11">
        <f>IFERROR((IF(Z13&lt;&gt;"",0,((VLOOKUP($BO$1&amp;C13,Teams!D:M,9,0)+(AG48/1000))))),0)</f>
        <v>0</v>
      </c>
      <c r="AR13" s="12">
        <f>IFERROR((VLOOKUP($BO$1&amp;C13,Teams!D:N,11,0)),0)</f>
        <v>0</v>
      </c>
      <c r="AS13" s="12" t="str">
        <f t="shared" si="4"/>
        <v/>
      </c>
      <c r="AT13" s="12" t="str">
        <f t="shared" si="5"/>
        <v/>
      </c>
      <c r="AU13" s="12" t="str">
        <f t="shared" si="6"/>
        <v/>
      </c>
      <c r="AV13" s="12" t="str">
        <f t="shared" si="7"/>
        <v>YES</v>
      </c>
      <c r="AW13" s="12" t="str">
        <f t="shared" si="8"/>
        <v/>
      </c>
      <c r="AX13" s="23" t="str">
        <f t="shared" si="9"/>
        <v/>
      </c>
      <c r="AY13" s="23" t="str">
        <f t="shared" si="10"/>
        <v/>
      </c>
      <c r="AZ13" s="23" t="str">
        <f t="shared" si="11"/>
        <v/>
      </c>
      <c r="BA13" s="23" t="str">
        <f t="shared" si="12"/>
        <v/>
      </c>
      <c r="BB13" s="23" t="str">
        <f t="shared" si="13"/>
        <v/>
      </c>
      <c r="BC13" s="23" t="str">
        <f t="shared" si="14"/>
        <v/>
      </c>
      <c r="BD13" s="23" t="str">
        <f t="shared" si="15"/>
        <v/>
      </c>
      <c r="BE13" s="23" t="str">
        <f t="shared" si="16"/>
        <v/>
      </c>
      <c r="BF13" s="24" t="str">
        <f t="shared" si="17"/>
        <v/>
      </c>
      <c r="BG13" s="2" t="str">
        <f>IFERROR((IF((VLOOKUP($BO$1&amp;C13,Teams!D:M,7,0))="","",", ")),"")</f>
        <v xml:space="preserve">, </v>
      </c>
      <c r="BH13" s="2"/>
      <c r="BI13" s="12" t="str">
        <f>$BO$1&amp;12</f>
        <v>Snotling12</v>
      </c>
      <c r="BJ13" s="2" t="str">
        <f>IFERROR(IF((VLOOKUP(BI13,Teams!B:C,2,FALSE))=0,"",(VLOOKUP(BI13,Teams!B:C,2,FALSE))),"")</f>
        <v/>
      </c>
      <c r="BK13" s="12"/>
      <c r="BL13" s="12" t="s">
        <v>132</v>
      </c>
      <c r="BM13" s="11" t="str">
        <f t="shared" si="21"/>
        <v>High Elf</v>
      </c>
      <c r="BN13" s="12" t="s">
        <v>133</v>
      </c>
      <c r="BO13" s="12"/>
      <c r="BP13" s="12">
        <v>50000</v>
      </c>
      <c r="BQ13" s="12">
        <v>50000</v>
      </c>
      <c r="BR13" s="12">
        <v>0</v>
      </c>
      <c r="BS13" s="13" t="str">
        <f>IF($J$25="Español","Liga de los Reinos Elfos",(IF($J$25="Deutsch","Liga der Elfenkönigreiche",(IF($J$25="Français","Ligue des Royaumes Elfiques","Elven Kingdoms League")))))</f>
        <v>Elven Kingdoms League</v>
      </c>
      <c r="BT13" s="13" t="s">
        <v>106</v>
      </c>
      <c r="BU13" s="13"/>
      <c r="BV13" s="13"/>
      <c r="BW13" s="13"/>
      <c r="BX13" s="13"/>
      <c r="BY13" s="12" t="s">
        <v>132</v>
      </c>
      <c r="BZ13" s="12" t="s">
        <v>82</v>
      </c>
      <c r="CA13" s="27" t="s">
        <v>130</v>
      </c>
      <c r="CB13" s="11" t="s">
        <v>126</v>
      </c>
      <c r="CC13" s="12"/>
      <c r="CD13" s="11"/>
      <c r="CE13" s="11" t="s">
        <v>132</v>
      </c>
      <c r="CF13" s="11" t="s">
        <v>129</v>
      </c>
      <c r="CG13" s="11" t="s">
        <v>134</v>
      </c>
      <c r="CH13" s="11" t="s">
        <v>135</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13</v>
      </c>
      <c r="B14" s="14" t="s">
        <v>1349</v>
      </c>
      <c r="C14" s="256" t="s">
        <v>204</v>
      </c>
      <c r="D14" s="248"/>
      <c r="E14" s="248"/>
      <c r="F14" s="248"/>
      <c r="G14" s="15">
        <f>IF(C14="",0,(COUNTIF(C2:F17,C14)))</f>
        <v>6</v>
      </c>
      <c r="H14" s="16" t="s">
        <v>57</v>
      </c>
      <c r="I14" s="17">
        <f>IFERROR((VLOOKUP($BO$1&amp;C14,Teams!D:M,10,0)),0)</f>
        <v>16</v>
      </c>
      <c r="J14" s="18">
        <f t="shared" ref="J14:K14" si="42">IFERROR(K73,0)</f>
        <v>5</v>
      </c>
      <c r="K14" s="18">
        <f t="shared" si="42"/>
        <v>1</v>
      </c>
      <c r="L14" s="18" t="str">
        <f t="shared" ref="L14:N14" si="43">IFERROR(M73&amp;"+",0)</f>
        <v>3+</v>
      </c>
      <c r="M14" s="18" t="str">
        <f t="shared" si="43"/>
        <v>5+</v>
      </c>
      <c r="N14" s="18" t="str">
        <f t="shared" si="43"/>
        <v>6+</v>
      </c>
      <c r="O14" s="273" t="str">
        <f>IFERROR((IF(AV14="YES",(VLOOKUP($BO$1&amp;C14,Teams!D:M,7,0)&amp;BF14),AW14)),"")</f>
        <v>Dodge, Right Stuff, Side Step, Stunty, Swarming, Titchy, Sneaky Git</v>
      </c>
      <c r="P14" s="248"/>
      <c r="Q14" s="248"/>
      <c r="R14" s="248"/>
      <c r="S14" s="248"/>
      <c r="T14" s="248"/>
      <c r="U14" s="248"/>
      <c r="V14" s="248"/>
      <c r="W14" s="248"/>
      <c r="X14" s="248"/>
      <c r="Y14" s="249"/>
      <c r="Z14" s="19"/>
      <c r="AA14" s="19"/>
      <c r="AB14" s="20"/>
      <c r="AC14" s="20"/>
      <c r="AD14" s="20"/>
      <c r="AE14" s="21"/>
      <c r="AF14" s="21">
        <v>1</v>
      </c>
      <c r="AG14" s="21"/>
      <c r="AH14" s="21"/>
      <c r="AI14" s="21">
        <v>1</v>
      </c>
      <c r="AJ14" s="271">
        <f t="shared" si="2"/>
        <v>6</v>
      </c>
      <c r="AK14" s="249"/>
      <c r="AL14" s="271">
        <f t="shared" si="3"/>
        <v>0</v>
      </c>
      <c r="AM14" s="249"/>
      <c r="AN14" s="271">
        <f>IFERROR((VLOOKUP($BO$1&amp;C14,Teams!D:M,8,0)+AG49),0)</f>
        <v>35000</v>
      </c>
      <c r="AO14" s="249"/>
      <c r="AP14" s="240"/>
      <c r="AQ14" s="11">
        <f>IFERROR((IF(Z14&lt;&gt;"",0,((VLOOKUP($BO$1&amp;C14,Teams!D:M,9,0)+(AG49/1000))))),0)</f>
        <v>20</v>
      </c>
      <c r="AR14" s="12">
        <f>IFERROR((VLOOKUP($BO$1&amp;C14,Teams!D:N,11,0)),0)</f>
        <v>0</v>
      </c>
      <c r="AS14" s="12" t="str">
        <f t="shared" si="4"/>
        <v/>
      </c>
      <c r="AT14" s="12" t="str">
        <f t="shared" si="5"/>
        <v/>
      </c>
      <c r="AU14" s="12" t="str">
        <f t="shared" si="6"/>
        <v/>
      </c>
      <c r="AV14" s="12" t="str">
        <f t="shared" si="7"/>
        <v>YES</v>
      </c>
      <c r="AW14" s="12" t="str">
        <f t="shared" si="8"/>
        <v/>
      </c>
      <c r="AX14" s="23" t="str">
        <f t="shared" si="9"/>
        <v>, Sneaky Git</v>
      </c>
      <c r="AY14" s="23" t="str">
        <f t="shared" si="10"/>
        <v/>
      </c>
      <c r="AZ14" s="23" t="str">
        <f t="shared" si="11"/>
        <v/>
      </c>
      <c r="BA14" s="23" t="str">
        <f t="shared" si="12"/>
        <v/>
      </c>
      <c r="BB14" s="23" t="str">
        <f t="shared" si="13"/>
        <v/>
      </c>
      <c r="BC14" s="23" t="str">
        <f t="shared" si="14"/>
        <v/>
      </c>
      <c r="BD14" s="23" t="str">
        <f t="shared" si="15"/>
        <v/>
      </c>
      <c r="BE14" s="23" t="str">
        <f t="shared" si="16"/>
        <v/>
      </c>
      <c r="BF14" s="24" t="str">
        <f t="shared" si="17"/>
        <v>, Sneaky Git</v>
      </c>
      <c r="BG14" s="2" t="str">
        <f>IFERROR((IF((VLOOKUP($BO$1&amp;C14,Teams!D:M,7,0))="","",", ")),"")</f>
        <v xml:space="preserve">, </v>
      </c>
      <c r="BH14" s="2"/>
      <c r="BI14" s="12" t="str">
        <f>$BO$1&amp;13</f>
        <v>Snotling13</v>
      </c>
      <c r="BJ14" s="2" t="str">
        <f>IFERROR(IF((VLOOKUP(BI14,Teams!B:C,2,FALSE))=0,"",(VLOOKUP(BI14,Teams!B:C,2,FALSE))),"")</f>
        <v/>
      </c>
      <c r="BK14" s="12"/>
      <c r="BL14" s="12" t="s">
        <v>136</v>
      </c>
      <c r="BM14" s="11" t="str">
        <f t="shared" si="21"/>
        <v>Human</v>
      </c>
      <c r="BN14" s="12" t="s">
        <v>136</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137</v>
      </c>
      <c r="BU14" s="13"/>
      <c r="BV14" s="13"/>
      <c r="BW14" s="13"/>
      <c r="BX14" s="13"/>
      <c r="BY14" s="12" t="s">
        <v>136</v>
      </c>
      <c r="BZ14" s="12" t="s">
        <v>138</v>
      </c>
      <c r="CA14" s="27" t="s">
        <v>139</v>
      </c>
      <c r="CB14" s="11" t="s">
        <v>140</v>
      </c>
      <c r="CC14" s="11"/>
      <c r="CD14" s="11"/>
      <c r="CE14" s="11" t="s">
        <v>136</v>
      </c>
      <c r="CF14" s="11" t="s">
        <v>138</v>
      </c>
      <c r="CG14" s="11" t="s">
        <v>141</v>
      </c>
      <c r="CH14" s="11" t="s">
        <v>140</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14</v>
      </c>
      <c r="B15" s="14" t="s">
        <v>1350</v>
      </c>
      <c r="C15" s="256" t="s">
        <v>204</v>
      </c>
      <c r="D15" s="248"/>
      <c r="E15" s="248"/>
      <c r="F15" s="248"/>
      <c r="G15" s="15">
        <f>IF(C15="",0,(COUNTIF(C2:F17,C15)))</f>
        <v>6</v>
      </c>
      <c r="H15" s="16" t="s">
        <v>57</v>
      </c>
      <c r="I15" s="17">
        <f>IFERROR((VLOOKUP($BO$1&amp;C15,Teams!D:M,10,0)),0)</f>
        <v>16</v>
      </c>
      <c r="J15" s="18">
        <f t="shared" ref="J15:K15" si="45">IFERROR(K74,0)</f>
        <v>5</v>
      </c>
      <c r="K15" s="18">
        <f t="shared" si="45"/>
        <v>1</v>
      </c>
      <c r="L15" s="18" t="str">
        <f t="shared" ref="L15:N15" si="46">IFERROR(M74&amp;"+",0)</f>
        <v>3+</v>
      </c>
      <c r="M15" s="18" t="str">
        <f t="shared" si="46"/>
        <v>5+</v>
      </c>
      <c r="N15" s="18" t="str">
        <f t="shared" si="46"/>
        <v>6+</v>
      </c>
      <c r="O15" s="273" t="str">
        <f>IFERROR((IF(AV15="YES",(VLOOKUP($BO$1&amp;C15,Teams!D:M,7,0)&amp;BF15),AW15)),"")</f>
        <v>Dodge, Right Stuff, Side Step, Stunty, Swarming, Titchy</v>
      </c>
      <c r="P15" s="248"/>
      <c r="Q15" s="248"/>
      <c r="R15" s="248"/>
      <c r="S15" s="248"/>
      <c r="T15" s="248"/>
      <c r="U15" s="248"/>
      <c r="V15" s="248"/>
      <c r="W15" s="248"/>
      <c r="X15" s="248"/>
      <c r="Y15" s="249"/>
      <c r="Z15" s="19"/>
      <c r="AA15" s="19"/>
      <c r="AB15" s="20"/>
      <c r="AC15" s="20">
        <v>1</v>
      </c>
      <c r="AD15" s="20"/>
      <c r="AE15" s="21"/>
      <c r="AF15" s="21"/>
      <c r="AG15" s="21"/>
      <c r="AH15" s="21"/>
      <c r="AI15" s="21"/>
      <c r="AJ15" s="271">
        <f t="shared" si="2"/>
        <v>3</v>
      </c>
      <c r="AK15" s="249"/>
      <c r="AL15" s="271">
        <f t="shared" si="3"/>
        <v>3</v>
      </c>
      <c r="AM15" s="249"/>
      <c r="AN15" s="271">
        <f>IFERROR((VLOOKUP($BO$1&amp;C15,Teams!D:M,8,0)+AG50),0)</f>
        <v>15000</v>
      </c>
      <c r="AO15" s="249"/>
      <c r="AP15" s="240"/>
      <c r="AQ15" s="11">
        <f>IFERROR((IF(Z15&lt;&gt;"",0,((VLOOKUP($BO$1&amp;C15,Teams!D:M,9,0)+(AG50/1000))))),0)</f>
        <v>0</v>
      </c>
      <c r="AR15" s="12">
        <f>IFERROR((VLOOKUP($BO$1&amp;C15,Teams!D:N,11,0)),0)</f>
        <v>0</v>
      </c>
      <c r="AS15" s="12" t="str">
        <f t="shared" si="4"/>
        <v/>
      </c>
      <c r="AT15" s="12" t="str">
        <f t="shared" si="5"/>
        <v/>
      </c>
      <c r="AU15" s="12" t="str">
        <f t="shared" si="6"/>
        <v/>
      </c>
      <c r="AV15" s="12" t="str">
        <f t="shared" si="7"/>
        <v>YES</v>
      </c>
      <c r="AW15" s="12" t="str">
        <f t="shared" si="8"/>
        <v/>
      </c>
      <c r="AX15" s="23" t="str">
        <f t="shared" si="9"/>
        <v/>
      </c>
      <c r="AY15" s="23" t="str">
        <f t="shared" si="10"/>
        <v/>
      </c>
      <c r="AZ15" s="23" t="str">
        <f t="shared" si="11"/>
        <v/>
      </c>
      <c r="BA15" s="23" t="str">
        <f t="shared" si="12"/>
        <v/>
      </c>
      <c r="BB15" s="23" t="str">
        <f t="shared" si="13"/>
        <v/>
      </c>
      <c r="BC15" s="23" t="str">
        <f t="shared" si="14"/>
        <v/>
      </c>
      <c r="BD15" s="23" t="str">
        <f t="shared" si="15"/>
        <v/>
      </c>
      <c r="BE15" s="23" t="str">
        <f t="shared" si="16"/>
        <v/>
      </c>
      <c r="BF15" s="24" t="str">
        <f t="shared" si="17"/>
        <v/>
      </c>
      <c r="BG15" s="2" t="str">
        <f>IFERROR((IF((VLOOKUP($BO$1&amp;C15,Teams!D:M,7,0))="","",", ")),"")</f>
        <v xml:space="preserve">, </v>
      </c>
      <c r="BH15" s="2"/>
      <c r="BI15" s="12"/>
      <c r="BJ15" s="2"/>
      <c r="BK15" s="12"/>
      <c r="BL15" s="12" t="s">
        <v>142</v>
      </c>
      <c r="BM15" s="11" t="str">
        <f t="shared" si="21"/>
        <v>Imperial Nobility</v>
      </c>
      <c r="BN15" s="12" t="s">
        <v>143</v>
      </c>
      <c r="BO15" s="12"/>
      <c r="BP15" s="12">
        <v>70000</v>
      </c>
      <c r="BQ15" s="12">
        <v>50000</v>
      </c>
      <c r="BR15" s="12">
        <v>1</v>
      </c>
      <c r="BS15" s="13" t="str">
        <f t="shared" si="44"/>
        <v>Old World Classic</v>
      </c>
      <c r="BT15" s="13" t="s">
        <v>137</v>
      </c>
      <c r="BU15" s="13"/>
      <c r="BV15" s="13"/>
      <c r="BW15" s="13"/>
      <c r="BX15" s="13"/>
      <c r="BY15" s="12" t="s">
        <v>142</v>
      </c>
      <c r="BZ15" s="12" t="s">
        <v>144</v>
      </c>
      <c r="CA15" s="27" t="s">
        <v>134</v>
      </c>
      <c r="CB15" s="11" t="s">
        <v>145</v>
      </c>
      <c r="CC15" s="11"/>
      <c r="CD15" s="11"/>
      <c r="CE15" s="11" t="s">
        <v>142</v>
      </c>
      <c r="CF15" s="11" t="s">
        <v>146</v>
      </c>
      <c r="CG15" s="11" t="s">
        <v>147</v>
      </c>
      <c r="CH15" s="11" t="s">
        <v>148</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15</v>
      </c>
      <c r="B16" s="14" t="s">
        <v>1365</v>
      </c>
      <c r="C16" s="256" t="s">
        <v>204</v>
      </c>
      <c r="D16" s="248"/>
      <c r="E16" s="248"/>
      <c r="F16" s="248"/>
      <c r="G16" s="15">
        <f t="shared" ref="G16:G17" si="47">IF(C16="",0,(COUNTIF(C2:F17,C16)))</f>
        <v>6</v>
      </c>
      <c r="H16" s="16" t="s">
        <v>57</v>
      </c>
      <c r="I16" s="17">
        <f>IFERROR((VLOOKUP($BO$1&amp;C16,Teams!D:M,10,0)),0)</f>
        <v>16</v>
      </c>
      <c r="J16" s="18">
        <f t="shared" ref="J16:K16" si="48">IFERROR(K75,0)</f>
        <v>5</v>
      </c>
      <c r="K16" s="18">
        <f t="shared" si="48"/>
        <v>1</v>
      </c>
      <c r="L16" s="18" t="str">
        <f t="shared" ref="L16:N16" si="49">IFERROR(M75&amp;"+",0)</f>
        <v>3+</v>
      </c>
      <c r="M16" s="18" t="str">
        <f t="shared" si="49"/>
        <v>5+</v>
      </c>
      <c r="N16" s="18" t="str">
        <f t="shared" si="49"/>
        <v>6+</v>
      </c>
      <c r="O16" s="273" t="str">
        <f>IFERROR((IF(AV16="YES",(VLOOKUP($BO$1&amp;C16,Teams!D:M,7,0)&amp;BF16),AW16)),"")</f>
        <v>Dodge, Right Stuff, Side Step, Stunty, Swarming, Titchy</v>
      </c>
      <c r="P16" s="248"/>
      <c r="Q16" s="248"/>
      <c r="R16" s="248"/>
      <c r="S16" s="248"/>
      <c r="T16" s="248"/>
      <c r="U16" s="248"/>
      <c r="V16" s="248"/>
      <c r="W16" s="248"/>
      <c r="X16" s="248"/>
      <c r="Y16" s="249"/>
      <c r="Z16" s="19"/>
      <c r="AA16" s="19"/>
      <c r="AB16" s="20"/>
      <c r="AC16" s="20"/>
      <c r="AD16" s="20"/>
      <c r="AE16" s="21"/>
      <c r="AF16" s="21"/>
      <c r="AG16" s="21"/>
      <c r="AH16" s="21"/>
      <c r="AI16" s="21"/>
      <c r="AJ16" s="271">
        <f t="shared" si="2"/>
        <v>0</v>
      </c>
      <c r="AK16" s="249"/>
      <c r="AL16" s="271">
        <f t="shared" si="3"/>
        <v>0</v>
      </c>
      <c r="AM16" s="249"/>
      <c r="AN16" s="271">
        <f>IFERROR((VLOOKUP($BO$1&amp;C16,Teams!D:M,8,0)+AG51),0)</f>
        <v>15000</v>
      </c>
      <c r="AO16" s="249"/>
      <c r="AP16" s="240"/>
      <c r="AQ16" s="11">
        <f>IFERROR((IF(Z16&lt;&gt;"",0,((VLOOKUP($BO$1&amp;C16,Teams!D:M,9,0)+(AG51/1000))))),0)</f>
        <v>0</v>
      </c>
      <c r="AR16" s="12">
        <f>IFERROR((VLOOKUP($BO$1&amp;C16,Teams!D:N,11,0)),0)</f>
        <v>0</v>
      </c>
      <c r="AS16" s="12" t="str">
        <f t="shared" si="4"/>
        <v/>
      </c>
      <c r="AT16" s="12" t="str">
        <f t="shared" si="5"/>
        <v/>
      </c>
      <c r="AU16" s="12" t="str">
        <f t="shared" si="6"/>
        <v/>
      </c>
      <c r="AV16" s="12" t="str">
        <f t="shared" si="7"/>
        <v>YES</v>
      </c>
      <c r="AW16" s="12" t="str">
        <f t="shared" si="8"/>
        <v/>
      </c>
      <c r="AX16" s="23" t="str">
        <f t="shared" si="9"/>
        <v/>
      </c>
      <c r="AY16" s="23" t="str">
        <f t="shared" si="10"/>
        <v/>
      </c>
      <c r="AZ16" s="23" t="str">
        <f t="shared" si="11"/>
        <v/>
      </c>
      <c r="BA16" s="23" t="str">
        <f t="shared" si="12"/>
        <v/>
      </c>
      <c r="BB16" s="23" t="str">
        <f t="shared" si="13"/>
        <v/>
      </c>
      <c r="BC16" s="23" t="str">
        <f t="shared" si="14"/>
        <v/>
      </c>
      <c r="BD16" s="23" t="str">
        <f t="shared" si="15"/>
        <v/>
      </c>
      <c r="BE16" s="23" t="str">
        <f t="shared" si="16"/>
        <v/>
      </c>
      <c r="BF16" s="24" t="str">
        <f t="shared" si="17"/>
        <v/>
      </c>
      <c r="BG16" s="2" t="str">
        <f>IFERROR((IF((VLOOKUP($BO$1&amp;C16,Teams!D:M,7,0))="","",", ")),"")</f>
        <v xml:space="preserve">, </v>
      </c>
      <c r="BH16" s="2"/>
      <c r="BI16" s="2"/>
      <c r="BJ16" s="2"/>
      <c r="BK16" s="12"/>
      <c r="BL16" s="12" t="s">
        <v>149</v>
      </c>
      <c r="BM16" s="11" t="str">
        <f t="shared" si="21"/>
        <v>Khorne</v>
      </c>
      <c r="BN16" s="12" t="s">
        <v>149</v>
      </c>
      <c r="BO16" s="12"/>
      <c r="BP16" s="12">
        <v>60000</v>
      </c>
      <c r="BQ16" s="12">
        <v>50000</v>
      </c>
      <c r="BR16" s="12">
        <v>1</v>
      </c>
      <c r="BS16" s="13" t="str">
        <f>IF($J$25="Español","Elegido de Khorne",(IF($J$25="Deutsch","Auserwählte des Khorne",(IF($J$25="Français","Favori de Khorne","Favoured of Khorne")))))</f>
        <v>Favoured of Khorne</v>
      </c>
      <c r="BT16" s="13" t="s">
        <v>85</v>
      </c>
      <c r="BU16" s="2"/>
      <c r="BV16" s="2"/>
      <c r="BW16" s="13"/>
      <c r="BX16" s="13"/>
      <c r="BY16" s="12" t="s">
        <v>149</v>
      </c>
      <c r="BZ16" s="12" t="s">
        <v>150</v>
      </c>
      <c r="CA16" s="27" t="s">
        <v>141</v>
      </c>
      <c r="CB16" s="11" t="s">
        <v>151</v>
      </c>
      <c r="CC16" s="11"/>
      <c r="CD16" s="11"/>
      <c r="CE16" s="11" t="s">
        <v>149</v>
      </c>
      <c r="CF16" s="11" t="s">
        <v>152</v>
      </c>
      <c r="CG16" s="11" t="s">
        <v>139</v>
      </c>
      <c r="CH16" s="11" t="s">
        <v>153</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14" t="s">
        <v>1363</v>
      </c>
      <c r="C17" s="301" t="s">
        <v>204</v>
      </c>
      <c r="D17" s="248"/>
      <c r="E17" s="248"/>
      <c r="F17" s="248"/>
      <c r="G17" s="15">
        <f t="shared" si="47"/>
        <v>6</v>
      </c>
      <c r="H17" s="16" t="s">
        <v>57</v>
      </c>
      <c r="I17" s="17">
        <f>IFERROR((VLOOKUP($BO$1&amp;C17,Teams!D:M,10,0)),0)</f>
        <v>16</v>
      </c>
      <c r="J17" s="18">
        <f t="shared" ref="J17:K17" si="50">IFERROR(K76,0)</f>
        <v>5</v>
      </c>
      <c r="K17" s="18">
        <f t="shared" si="50"/>
        <v>1</v>
      </c>
      <c r="L17" s="18" t="str">
        <f t="shared" ref="L17:N17" si="51">IFERROR(M76&amp;"+",0)</f>
        <v>3+</v>
      </c>
      <c r="M17" s="18" t="str">
        <f t="shared" si="51"/>
        <v>5+</v>
      </c>
      <c r="N17" s="18" t="str">
        <f t="shared" si="51"/>
        <v>6+</v>
      </c>
      <c r="O17" s="273" t="str">
        <f>IFERROR((IF(AV17="YES",(VLOOKUP($BO$1&amp;C17,Teams!D:M,7,0)&amp;BF17),AW17)),"")</f>
        <v>Dodge, Right Stuff, Side Step, Stunty, Swarming, Titchy</v>
      </c>
      <c r="P17" s="248"/>
      <c r="Q17" s="248"/>
      <c r="R17" s="248"/>
      <c r="S17" s="248"/>
      <c r="T17" s="248"/>
      <c r="U17" s="248"/>
      <c r="V17" s="248"/>
      <c r="W17" s="248"/>
      <c r="X17" s="248"/>
      <c r="Y17" s="249"/>
      <c r="Z17" s="19"/>
      <c r="AA17" s="19"/>
      <c r="AB17" s="20"/>
      <c r="AC17" s="20"/>
      <c r="AD17" s="20"/>
      <c r="AE17" s="21"/>
      <c r="AF17" s="21"/>
      <c r="AG17" s="21"/>
      <c r="AH17" s="21"/>
      <c r="AI17" s="21"/>
      <c r="AJ17" s="271">
        <f t="shared" si="2"/>
        <v>0</v>
      </c>
      <c r="AK17" s="249"/>
      <c r="AL17" s="271">
        <f t="shared" si="3"/>
        <v>0</v>
      </c>
      <c r="AM17" s="249"/>
      <c r="AN17" s="271">
        <f>IFERROR((VLOOKUP($BO$1&amp;C17,Teams!D:M,8,0)+AG52),0)</f>
        <v>15000</v>
      </c>
      <c r="AO17" s="249"/>
      <c r="AP17" s="240"/>
      <c r="AQ17" s="11">
        <f>IFERROR((IF(Z17&lt;&gt;"",0,((VLOOKUP($BO$1&amp;C17,Teams!D:M,9,0)+(AG52/1000))))),0)</f>
        <v>0</v>
      </c>
      <c r="AR17" s="12">
        <f>IFERROR((VLOOKUP($BO$1&amp;C17,Teams!D:N,11,0)),0)</f>
        <v>0</v>
      </c>
      <c r="AS17" s="12" t="str">
        <f t="shared" si="4"/>
        <v/>
      </c>
      <c r="AT17" s="12" t="str">
        <f t="shared" si="5"/>
        <v/>
      </c>
      <c r="AU17" s="12" t="str">
        <f t="shared" si="6"/>
        <v/>
      </c>
      <c r="AV17" s="12" t="str">
        <f t="shared" si="7"/>
        <v>YES</v>
      </c>
      <c r="AW17" s="12" t="str">
        <f t="shared" si="8"/>
        <v/>
      </c>
      <c r="AX17" s="23" t="str">
        <f t="shared" si="9"/>
        <v/>
      </c>
      <c r="AY17" s="23" t="str">
        <f t="shared" si="10"/>
        <v/>
      </c>
      <c r="AZ17" s="23" t="str">
        <f t="shared" si="11"/>
        <v/>
      </c>
      <c r="BA17" s="23" t="str">
        <f t="shared" si="12"/>
        <v/>
      </c>
      <c r="BB17" s="23" t="str">
        <f t="shared" si="13"/>
        <v/>
      </c>
      <c r="BC17" s="23" t="str">
        <f t="shared" si="14"/>
        <v/>
      </c>
      <c r="BD17" s="23" t="str">
        <f t="shared" si="15"/>
        <v/>
      </c>
      <c r="BE17" s="23" t="str">
        <f t="shared" si="16"/>
        <v/>
      </c>
      <c r="BF17" s="24" t="str">
        <f t="shared" si="17"/>
        <v/>
      </c>
      <c r="BG17" s="2" t="str">
        <f>IFERROR((IF((VLOOKUP($BO$1&amp;C17,Teams!D:M,7,0))="","",", ")),"")</f>
        <v xml:space="preserve">, </v>
      </c>
      <c r="BH17" s="2"/>
      <c r="BI17" s="2"/>
      <c r="BJ17" s="2"/>
      <c r="BK17" s="12"/>
      <c r="BL17" s="12" t="s">
        <v>154</v>
      </c>
      <c r="BM17" s="11" t="str">
        <f t="shared" si="21"/>
        <v>Lizardman</v>
      </c>
      <c r="BN17" s="12" t="s">
        <v>154</v>
      </c>
      <c r="BO17" s="12"/>
      <c r="BP17" s="12">
        <v>70000</v>
      </c>
      <c r="BQ17" s="12">
        <v>50000</v>
      </c>
      <c r="BR17" s="12">
        <v>1</v>
      </c>
      <c r="BS17" s="13" t="str">
        <f>IF($J$25="Español","Superliga Lustriana",(IF($J$25="Deutsch","Lustria-Superliga",(IF($J$25="Français","Super-Ligue de Lustrie","Lustrian Superleague")))))</f>
        <v>Lustrian Superleague</v>
      </c>
      <c r="BT17" s="13" t="s">
        <v>69</v>
      </c>
      <c r="BU17" s="13"/>
      <c r="BV17" s="13"/>
      <c r="BW17" s="13"/>
      <c r="BX17" s="13"/>
      <c r="BY17" s="12" t="s">
        <v>154</v>
      </c>
      <c r="BZ17" s="12" t="s">
        <v>155</v>
      </c>
      <c r="CA17" s="27" t="s">
        <v>147</v>
      </c>
      <c r="CB17" s="11" t="s">
        <v>131</v>
      </c>
      <c r="CC17" s="11"/>
      <c r="CD17" s="11"/>
      <c r="CE17" s="11" t="s">
        <v>154</v>
      </c>
      <c r="CF17" s="11" t="s">
        <v>150</v>
      </c>
      <c r="CG17" s="11" t="s">
        <v>156</v>
      </c>
      <c r="CH17" s="11" t="s">
        <v>113</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157</v>
      </c>
      <c r="B18" s="28" t="str">
        <f t="shared" ref="B18:B19" si="52">IF($J$25="Italiano","Star Player &amp; Mercenario",(IF($J$25="Español","Jugadores Estrella &amp; Mercenario",(IF($J$25="Français","Star Player &amp; Mercenaire",(IF($J$25="Deutsch","Starspielers &amp; Mercenary","Star Player &amp; Mercenary")))))))</f>
        <v>Star Player &amp; Mercenario</v>
      </c>
      <c r="C18" s="259"/>
      <c r="D18" s="248"/>
      <c r="E18" s="248"/>
      <c r="F18" s="249"/>
      <c r="G18" s="15">
        <f>IF(C18=" ",0,(COUNTIF(C18:F20,C18)))</f>
        <v>0</v>
      </c>
      <c r="H18" s="16" t="s">
        <v>57</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270">
        <f>IFERROR((IF(G18&gt;I18,AS18,VLOOKUP(C18,StarPlayers!B:K,7,0))),0)</f>
        <v>0</v>
      </c>
      <c r="P18" s="248"/>
      <c r="Q18" s="248"/>
      <c r="R18" s="248"/>
      <c r="S18" s="248"/>
      <c r="T18" s="248"/>
      <c r="U18" s="248"/>
      <c r="V18" s="248"/>
      <c r="W18" s="248"/>
      <c r="X18" s="248"/>
      <c r="Y18" s="249"/>
      <c r="Z18" s="270">
        <f>IFERROR((IF(G18&gt;I18,AS18,VLOOKUP(C18,StarPlayers!B:K,8,0))),0)</f>
        <v>0</v>
      </c>
      <c r="AA18" s="248"/>
      <c r="AB18" s="248"/>
      <c r="AC18" s="248"/>
      <c r="AD18" s="248"/>
      <c r="AE18" s="248"/>
      <c r="AF18" s="248"/>
      <c r="AG18" s="248"/>
      <c r="AH18" s="248"/>
      <c r="AI18" s="248"/>
      <c r="AJ18" s="248"/>
      <c r="AK18" s="248"/>
      <c r="AL18" s="248"/>
      <c r="AM18" s="249"/>
      <c r="AN18" s="271">
        <f>IFERROR((VLOOKUP(C18,StarPlayers!B:K,9,0)),0)</f>
        <v>0</v>
      </c>
      <c r="AO18" s="249"/>
      <c r="AP18" s="240"/>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158</v>
      </c>
      <c r="BM18" s="11" t="str">
        <f t="shared" si="21"/>
        <v>Necromantic</v>
      </c>
      <c r="BN18" s="12" t="s">
        <v>158</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159</v>
      </c>
      <c r="BU18" s="13" t="s">
        <v>160</v>
      </c>
      <c r="BV18" s="13"/>
      <c r="BW18" s="13"/>
      <c r="BX18" s="13"/>
      <c r="BY18" s="12" t="s">
        <v>158</v>
      </c>
      <c r="BZ18" s="12" t="s">
        <v>161</v>
      </c>
      <c r="CA18" s="13" t="s">
        <v>156</v>
      </c>
      <c r="CB18" s="12" t="s">
        <v>135</v>
      </c>
      <c r="CC18" s="12"/>
      <c r="CD18" s="11"/>
      <c r="CE18" s="11" t="s">
        <v>158</v>
      </c>
      <c r="CF18" s="11" t="s">
        <v>155</v>
      </c>
      <c r="CG18" s="11" t="s">
        <v>162</v>
      </c>
      <c r="CH18" s="11" t="s">
        <v>95</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29" t="s">
        <v>157</v>
      </c>
      <c r="B19" s="28" t="str">
        <f t="shared" si="52"/>
        <v>Star Player &amp; Mercenario</v>
      </c>
      <c r="C19" s="259"/>
      <c r="D19" s="248"/>
      <c r="E19" s="248"/>
      <c r="F19" s="249"/>
      <c r="G19" s="30">
        <f>IF(C19=" ",0,(COUNTIF(C18:F20,C19)))</f>
        <v>0</v>
      </c>
      <c r="H19" s="31" t="s">
        <v>57</v>
      </c>
      <c r="I19" s="32">
        <f>IFERROR((VLOOKUP(C19,StarPlayers!B:K,10,0)),0)</f>
        <v>0</v>
      </c>
      <c r="J19" s="33">
        <f>IFERROR((VLOOKUP(C19,StarPlayers!B:K,2,0)),0)</f>
        <v>0</v>
      </c>
      <c r="K19" s="33">
        <f>IFERROR((VLOOKUP(C19,StarPlayers!B:K,3,0)),0)</f>
        <v>0</v>
      </c>
      <c r="L19" s="18">
        <f>IFERROR((VLOOKUP(C19,StarPlayers!B:K,4,0)),0)</f>
        <v>0</v>
      </c>
      <c r="M19" s="18">
        <f>IFERROR((VLOOKUP(C19,StarPlayers!B:K,5,0)),0)</f>
        <v>0</v>
      </c>
      <c r="N19" s="33">
        <f>IFERROR((VLOOKUP(C19,StarPlayers!B:K,6,0)),0)</f>
        <v>0</v>
      </c>
      <c r="O19" s="270">
        <f>IFERROR((IF(G19&gt;I19,AS19,VLOOKUP(C19,StarPlayers!B:K,7,0))),0)</f>
        <v>0</v>
      </c>
      <c r="P19" s="248"/>
      <c r="Q19" s="248"/>
      <c r="R19" s="248"/>
      <c r="S19" s="248"/>
      <c r="T19" s="248"/>
      <c r="U19" s="248"/>
      <c r="V19" s="248"/>
      <c r="W19" s="248"/>
      <c r="X19" s="248"/>
      <c r="Y19" s="249"/>
      <c r="Z19" s="270">
        <f>IFERROR((IF(G19&gt;I19,AS19,VLOOKUP(C19,StarPlayers!B:K,8,0))),0)</f>
        <v>0</v>
      </c>
      <c r="AA19" s="248"/>
      <c r="AB19" s="248"/>
      <c r="AC19" s="248"/>
      <c r="AD19" s="248"/>
      <c r="AE19" s="248"/>
      <c r="AF19" s="248"/>
      <c r="AG19" s="248"/>
      <c r="AH19" s="248"/>
      <c r="AI19" s="248"/>
      <c r="AJ19" s="248"/>
      <c r="AK19" s="248"/>
      <c r="AL19" s="248"/>
      <c r="AM19" s="249"/>
      <c r="AN19" s="271">
        <f>IFERROR((VLOOKUP(C19,StarPlayers!B:K,9,0)),0)</f>
        <v>0</v>
      </c>
      <c r="AO19" s="249"/>
      <c r="AP19" s="240"/>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163</v>
      </c>
      <c r="BM19" s="11" t="str">
        <f t="shared" si="21"/>
        <v>Norse</v>
      </c>
      <c r="BN19" s="12" t="s">
        <v>163</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164</v>
      </c>
      <c r="BU19" s="13"/>
      <c r="BV19" s="13"/>
      <c r="BW19" s="13"/>
      <c r="BX19" s="13"/>
      <c r="BY19" s="12" t="s">
        <v>163</v>
      </c>
      <c r="BZ19" s="12" t="s">
        <v>165</v>
      </c>
      <c r="CA19" s="13" t="s">
        <v>162</v>
      </c>
      <c r="CB19" s="12" t="s">
        <v>166</v>
      </c>
      <c r="CC19" s="12"/>
      <c r="CD19" s="11"/>
      <c r="CE19" s="11" t="s">
        <v>163</v>
      </c>
      <c r="CF19" s="11" t="s">
        <v>161</v>
      </c>
      <c r="CG19" s="11" t="s">
        <v>167</v>
      </c>
      <c r="CH19" s="11" t="s">
        <v>145</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29" t="s">
        <v>157</v>
      </c>
      <c r="B20" s="28" t="str">
        <f>IF($J$25="Italiano","Mercenario",(IF($J$25="Español","Mercenario",(IF($J$25="Français","Mercenaire","Mercenary")))))</f>
        <v>Mercenario</v>
      </c>
      <c r="C20" s="259"/>
      <c r="D20" s="248"/>
      <c r="E20" s="248"/>
      <c r="F20" s="249"/>
      <c r="G20" s="30">
        <f>IF(C20=" ",0,(COUNTIF(C18:F20,C20)))</f>
        <v>0</v>
      </c>
      <c r="H20" s="31" t="s">
        <v>57</v>
      </c>
      <c r="I20" s="32">
        <f>IFERROR((VLOOKUP(C20,StarPlayers!B:K,10,0)),0)</f>
        <v>0</v>
      </c>
      <c r="J20" s="33">
        <f>IFERROR((VLOOKUP(C20,StarPlayers!B:K,2,0)),0)</f>
        <v>0</v>
      </c>
      <c r="K20" s="33">
        <f>IFERROR((VLOOKUP(C20,StarPlayers!B:K,3,0)),0)</f>
        <v>0</v>
      </c>
      <c r="L20" s="18">
        <f>IFERROR((VLOOKUP(C20,StarPlayers!B:K,4,0)),0)</f>
        <v>0</v>
      </c>
      <c r="M20" s="18">
        <f>IFERROR((VLOOKUP(C20,StarPlayers!B:K,5,0)),0)</f>
        <v>0</v>
      </c>
      <c r="N20" s="33">
        <f>IFERROR((VLOOKUP(C20,StarPlayers!B:K,6,0)),0)</f>
        <v>0</v>
      </c>
      <c r="O20" s="270">
        <f>IFERROR((IF(G20&gt;I20,AS20,VLOOKUP(C20,StarPlayers!B:K,7,0))),0)</f>
        <v>0</v>
      </c>
      <c r="P20" s="248"/>
      <c r="Q20" s="248"/>
      <c r="R20" s="248"/>
      <c r="S20" s="248"/>
      <c r="T20" s="248"/>
      <c r="U20" s="248"/>
      <c r="V20" s="248"/>
      <c r="W20" s="248"/>
      <c r="X20" s="248"/>
      <c r="Y20" s="249"/>
      <c r="Z20" s="270">
        <f>IFERROR((IF(G20&gt;I20,AS20,VLOOKUP(C20,StarPlayers!B:K,8,0))),0)</f>
        <v>0</v>
      </c>
      <c r="AA20" s="248"/>
      <c r="AB20" s="248"/>
      <c r="AC20" s="248"/>
      <c r="AD20" s="248"/>
      <c r="AE20" s="248"/>
      <c r="AF20" s="248"/>
      <c r="AG20" s="248"/>
      <c r="AH20" s="248"/>
      <c r="AI20" s="248"/>
      <c r="AJ20" s="248"/>
      <c r="AK20" s="248"/>
      <c r="AL20" s="248"/>
      <c r="AM20" s="249"/>
      <c r="AN20" s="271">
        <f>IFERROR((VLOOKUP(C20,StarPlayers!B:K,9,0)),0)</f>
        <v>0</v>
      </c>
      <c r="AO20" s="249"/>
      <c r="AP20" s="240"/>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168</v>
      </c>
      <c r="BM20" s="11" t="str">
        <f t="shared" si="21"/>
        <v>Nurgle</v>
      </c>
      <c r="BN20" s="12" t="s">
        <v>168</v>
      </c>
      <c r="BO20" s="12"/>
      <c r="BP20" s="12">
        <v>70000</v>
      </c>
      <c r="BQ20" s="12">
        <v>0</v>
      </c>
      <c r="BR20" s="12">
        <v>1</v>
      </c>
      <c r="BS20" s="13" t="str">
        <f>IF($J$25="Español","Elegido de Nurgle",(IF($J$25="Deutsch","Auserwählte des Nurgle",(IF($J$25="Français","Favori de Nurgle","Favoured of Nurgle")))))</f>
        <v>Favoured of Nurgle</v>
      </c>
      <c r="BT20" s="13" t="s">
        <v>85</v>
      </c>
      <c r="BU20" s="13"/>
      <c r="BV20" s="13"/>
      <c r="BW20" s="13"/>
      <c r="BX20" s="13"/>
      <c r="BY20" s="12" t="s">
        <v>168</v>
      </c>
      <c r="BZ20" s="12" t="s">
        <v>167</v>
      </c>
      <c r="CA20" s="13" t="s">
        <v>169</v>
      </c>
      <c r="CB20" s="12" t="s">
        <v>170</v>
      </c>
      <c r="CC20" s="12"/>
      <c r="CD20" s="11"/>
      <c r="CE20" s="11" t="s">
        <v>168</v>
      </c>
      <c r="CF20" s="11" t="s">
        <v>171</v>
      </c>
      <c r="CG20" s="11" t="s">
        <v>172</v>
      </c>
      <c r="CH20" s="11" t="s">
        <v>166</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309"/>
      <c r="B21" s="285"/>
      <c r="C21" s="261" t="str">
        <f>IF($J$25="Español","ESPÓNSOR","SPONSORS")</f>
        <v>SPONSORS</v>
      </c>
      <c r="D21" s="248"/>
      <c r="E21" s="248"/>
      <c r="F21" s="248"/>
      <c r="G21" s="248"/>
      <c r="H21" s="248"/>
      <c r="I21" s="249"/>
      <c r="J21" s="268" t="s">
        <v>173</v>
      </c>
      <c r="K21" s="248"/>
      <c r="L21" s="248"/>
      <c r="M21" s="248"/>
      <c r="N21" s="248"/>
      <c r="O21" s="248"/>
      <c r="P21" s="248"/>
      <c r="Q21" s="249"/>
      <c r="R21" s="267" t="str">
        <f>IF($J$25="Italiano","TIFOSI SFEGATAZI INIZIALI",(IF($J$25="Español","FANS DEVOTOS INICIALES",(IF($J$25="Deutsch","INITIAL TREUE FANS",(IF($J$25="Français","FANS DÉVOUÉS INITIAUX","INITIAL DEDICATED FANS")))))))</f>
        <v>TIFOSI SFEGATAZI INIZIALI</v>
      </c>
      <c r="S21" s="248"/>
      <c r="T21" s="248"/>
      <c r="U21" s="248"/>
      <c r="V21" s="249"/>
      <c r="W21" s="34">
        <v>1</v>
      </c>
      <c r="X21" s="35" t="s">
        <v>174</v>
      </c>
      <c r="Y21" s="262">
        <v>10000</v>
      </c>
      <c r="Z21" s="263"/>
      <c r="AA21" s="36" t="str">
        <f t="shared" ref="AA21:AA31" si="55">IF($J$25="Español","mo",(IF($J$25="Deutsch","gm",(IF($J$25="Français","po","gp")))))</f>
        <v>gp</v>
      </c>
      <c r="AB21" s="264">
        <f>IFERROR(((IF(W21=0,0,(IF(W21=1,0,W21-1))))*Y21),0)</f>
        <v>0</v>
      </c>
      <c r="AC21" s="249"/>
      <c r="AD21" s="267" t="str">
        <f>IF($J$25="Italiano","REROLLS TOTALI",(IF($J$25="Español","SEGUNDAS OPORTUNIDADES TOTALES",(IF($J$25="Deutsch","TOTAL WIEDERHOLUNGSWÜRFE",(IF($J$25="Français","RELANCES TOTALES","TOTAL REROLLS")))))))</f>
        <v>REROLLS TOTALI</v>
      </c>
      <c r="AE21" s="248"/>
      <c r="AF21" s="248"/>
      <c r="AG21" s="248"/>
      <c r="AH21" s="249"/>
      <c r="AI21" s="272">
        <f>AI22+AI23</f>
        <v>4</v>
      </c>
      <c r="AJ21" s="248"/>
      <c r="AK21" s="248"/>
      <c r="AL21" s="248"/>
      <c r="AM21" s="248"/>
      <c r="AN21" s="248"/>
      <c r="AO21" s="249"/>
      <c r="AP21" s="240"/>
      <c r="AQ21" s="11"/>
      <c r="AR21" s="12"/>
      <c r="AS21" s="11"/>
      <c r="AT21" s="11"/>
      <c r="AU21" s="11"/>
      <c r="AV21" s="11"/>
      <c r="AW21" s="11"/>
      <c r="AX21" s="12"/>
      <c r="AY21" s="12"/>
      <c r="AZ21" s="12"/>
      <c r="BA21" s="12"/>
      <c r="BB21" s="12"/>
      <c r="BC21" s="12"/>
      <c r="BD21" s="12"/>
      <c r="BE21" s="12"/>
      <c r="BF21" s="2"/>
      <c r="BG21" s="2"/>
      <c r="BH21" s="2"/>
      <c r="BI21" s="2"/>
      <c r="BJ21" s="2"/>
      <c r="BK21" s="12"/>
      <c r="BL21" s="12" t="s">
        <v>175</v>
      </c>
      <c r="BM21" s="11" t="str">
        <f t="shared" si="21"/>
        <v>Ogre</v>
      </c>
      <c r="BN21" s="12" t="s">
        <v>175</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176</v>
      </c>
      <c r="BU21" s="13"/>
      <c r="BV21" s="13" t="s">
        <v>177</v>
      </c>
      <c r="BW21" s="13"/>
      <c r="BX21" s="13"/>
      <c r="BY21" s="12" t="s">
        <v>175</v>
      </c>
      <c r="BZ21" s="12" t="s">
        <v>178</v>
      </c>
      <c r="CA21" s="13" t="s">
        <v>172</v>
      </c>
      <c r="CB21" s="12" t="s">
        <v>179</v>
      </c>
      <c r="CC21" s="12"/>
      <c r="CD21" s="11"/>
      <c r="CE21" s="11" t="s">
        <v>175</v>
      </c>
      <c r="CF21" s="11" t="s">
        <v>144</v>
      </c>
      <c r="CG21" s="11" t="s">
        <v>180</v>
      </c>
      <c r="CH21" s="11" t="s">
        <v>170</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310"/>
      <c r="B22" s="311"/>
      <c r="C22" s="267" t="str">
        <f>IF($J$25="Italiano","ALLENATORE CAPO",(IF($J$25="Español","ENTRENADOR",(IF($J$25="Deutsch","CHEFTRAINER",(IF($J$25="Français","COACH","HEAD COACH")))))))</f>
        <v>ALLENATORE CAPO</v>
      </c>
      <c r="D22" s="248"/>
      <c r="E22" s="248"/>
      <c r="F22" s="248"/>
      <c r="G22" s="248"/>
      <c r="H22" s="248"/>
      <c r="I22" s="249"/>
      <c r="J22" s="268" t="s">
        <v>1335</v>
      </c>
      <c r="K22" s="248"/>
      <c r="L22" s="248"/>
      <c r="M22" s="248"/>
      <c r="N22" s="248"/>
      <c r="O22" s="248"/>
      <c r="P22" s="248"/>
      <c r="Q22" s="249"/>
      <c r="R22" s="267"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248"/>
      <c r="T22" s="248"/>
      <c r="U22" s="248"/>
      <c r="V22" s="249"/>
      <c r="W22" s="34">
        <v>1</v>
      </c>
      <c r="X22" s="35" t="s">
        <v>174</v>
      </c>
      <c r="Y22" s="262">
        <f>IFERROR(IF(OR(BO1="Necromantic",BO1="Shambling Undead",BO1="Nurgle"),100000,(VLOOKUP(BO1,BL:BQ,6,0))),0)</f>
        <v>50000</v>
      </c>
      <c r="Z22" s="263"/>
      <c r="AA22" s="36" t="str">
        <f t="shared" si="55"/>
        <v>gp</v>
      </c>
      <c r="AB22" s="264">
        <f t="shared" ref="AB22:AB31" si="56">IFERROR(W22*Y22,0)</f>
        <v>50000</v>
      </c>
      <c r="AC22" s="249"/>
      <c r="AD22" s="267" t="str">
        <f>IF($J$25="Italiano","REROLLS INIZIALI",(IF($J$25="Español","SEGUNDAS OPORTUNIDADES INICIALES",(IF($J$25="Deutsch","INITIAL WIEDERHOLUNGSWÜRFE",(IF($J$25="Français","RELANCES INITIALES","INITIAL REROLLS")))))))</f>
        <v>REROLLS INIZIALI</v>
      </c>
      <c r="AE22" s="248"/>
      <c r="AF22" s="248"/>
      <c r="AG22" s="248"/>
      <c r="AH22" s="249"/>
      <c r="AI22" s="34">
        <v>3</v>
      </c>
      <c r="AJ22" s="35" t="s">
        <v>174</v>
      </c>
      <c r="AK22" s="262">
        <f>IFERROR(VLOOKUP(BO1,BL:BP,5,0),0)</f>
        <v>60000</v>
      </c>
      <c r="AL22" s="263"/>
      <c r="AM22" s="37" t="str">
        <f t="shared" ref="AM22:AM31" si="57">IF($J$25="Español","mo",(IF($J$25="Deutsch","gm",(IF($J$25="Français","po","gp")))))</f>
        <v>gp</v>
      </c>
      <c r="AN22" s="264">
        <f t="shared" ref="AN22:AN31" si="58">IFERROR(AI22*AK22,0)</f>
        <v>180000</v>
      </c>
      <c r="AO22" s="249"/>
      <c r="AP22" s="240"/>
      <c r="AQ22" s="11"/>
      <c r="AR22" s="12"/>
      <c r="AS22" s="11"/>
      <c r="AT22" s="11"/>
      <c r="AU22" s="11"/>
      <c r="AV22" s="11"/>
      <c r="AW22" s="11"/>
      <c r="AX22" s="12"/>
      <c r="AY22" s="12"/>
      <c r="AZ22" s="12"/>
      <c r="BA22" s="12"/>
      <c r="BB22" s="12"/>
      <c r="BC22" s="12"/>
      <c r="BD22" s="12"/>
      <c r="BE22" s="12"/>
      <c r="BF22" s="2"/>
      <c r="BG22" s="2"/>
      <c r="BH22" s="2"/>
      <c r="BI22" s="2"/>
      <c r="BJ22" s="2"/>
      <c r="BK22" s="12"/>
      <c r="BL22" s="12" t="s">
        <v>181</v>
      </c>
      <c r="BM22" s="11" t="str">
        <f t="shared" si="21"/>
        <v>Old World Alliance</v>
      </c>
      <c r="BN22" s="12" t="s">
        <v>182</v>
      </c>
      <c r="BO22" s="12"/>
      <c r="BP22" s="12">
        <v>70000</v>
      </c>
      <c r="BQ22" s="12">
        <v>50000</v>
      </c>
      <c r="BR22" s="12">
        <v>1</v>
      </c>
      <c r="BS22" s="13" t="str">
        <f>IF($J$25="Español","Clásica del Viejo Mundo",(IF($J$25="Deutsch","Alte-Welt-Klassiker",(IF($J$25="Français","Classique du Vieux Monde","Old World Classic")))))</f>
        <v>Old World Classic</v>
      </c>
      <c r="BT22" s="13" t="s">
        <v>137</v>
      </c>
      <c r="BU22" s="13"/>
      <c r="BV22" s="13"/>
      <c r="BW22" s="13"/>
      <c r="BX22" s="13"/>
      <c r="BY22" s="12" t="s">
        <v>181</v>
      </c>
      <c r="BZ22" s="12" t="s">
        <v>73</v>
      </c>
      <c r="CA22" s="13" t="s">
        <v>180</v>
      </c>
      <c r="CB22" s="12" t="s">
        <v>74</v>
      </c>
      <c r="CC22" s="12"/>
      <c r="CD22" s="11"/>
      <c r="CE22" s="11" t="s">
        <v>181</v>
      </c>
      <c r="CF22" s="11" t="s">
        <v>165</v>
      </c>
      <c r="CG22" s="11" t="s">
        <v>183</v>
      </c>
      <c r="CH22" s="11" t="s">
        <v>179</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310"/>
      <c r="B23" s="311"/>
      <c r="C23" s="261" t="str">
        <f>IF($J$25="Italiano","RAZZA",(IF($J$25="Español","RAZA",(IF($J$25="Deutsch","RASSE",(IF($J$25="Français","TYPE D’ÉQUIPE","RACE")))))))</f>
        <v>RAZZA</v>
      </c>
      <c r="D23" s="248"/>
      <c r="E23" s="248"/>
      <c r="F23" s="248"/>
      <c r="G23" s="248"/>
      <c r="H23" s="248"/>
      <c r="I23" s="249"/>
      <c r="J23" s="269" t="s">
        <v>204</v>
      </c>
      <c r="K23" s="248"/>
      <c r="L23" s="248"/>
      <c r="M23" s="248"/>
      <c r="N23" s="248"/>
      <c r="O23" s="248"/>
      <c r="P23" s="248"/>
      <c r="Q23" s="249"/>
      <c r="R23" s="267" t="str">
        <f>IF($J$25="Español","ANIMADORAS",(IF($J$25="Deutsch","CHEERLEADER","CHEERLEADERS")))</f>
        <v>CHEERLEADERS</v>
      </c>
      <c r="S23" s="248"/>
      <c r="T23" s="248"/>
      <c r="U23" s="248"/>
      <c r="V23" s="249"/>
      <c r="W23" s="34">
        <v>0</v>
      </c>
      <c r="X23" s="35" t="s">
        <v>174</v>
      </c>
      <c r="Y23" s="262">
        <v>10000</v>
      </c>
      <c r="Z23" s="263"/>
      <c r="AA23" s="36" t="str">
        <f t="shared" si="55"/>
        <v>gp</v>
      </c>
      <c r="AB23" s="264">
        <f t="shared" si="56"/>
        <v>0</v>
      </c>
      <c r="AC23" s="249"/>
      <c r="AD23" s="267" t="str">
        <f>IF($J$25="Italiano","REROLLS ACQUISITI",(IF($J$25="Español","SEGUNDAS OPORTUNIDADES ADQUIRIDAS",(IF($J$25="Deutsch","GEKAUFTE WIEDERHOLUNGSWÜRFE",(IF($J$25="Français","RELANCES ACHETÉES","ACQUIRED REROLLS")))))))</f>
        <v>REROLLS ACQUISITI</v>
      </c>
      <c r="AE23" s="248"/>
      <c r="AF23" s="248"/>
      <c r="AG23" s="248"/>
      <c r="AH23" s="249"/>
      <c r="AI23" s="34">
        <v>1</v>
      </c>
      <c r="AJ23" s="35" t="s">
        <v>174</v>
      </c>
      <c r="AK23" s="262">
        <f>IFERROR((VLOOKUP(BO1,BL:BP,5,0))*2,0)</f>
        <v>120000</v>
      </c>
      <c r="AL23" s="263"/>
      <c r="AM23" s="37" t="str">
        <f t="shared" si="57"/>
        <v>gp</v>
      </c>
      <c r="AN23" s="264">
        <f t="shared" si="58"/>
        <v>120000</v>
      </c>
      <c r="AO23" s="249"/>
      <c r="AP23" s="240"/>
      <c r="AQ23" s="12"/>
      <c r="AR23" s="12"/>
      <c r="AS23" s="11"/>
      <c r="AT23" s="11"/>
      <c r="AU23" s="11"/>
      <c r="AV23" s="11"/>
      <c r="AW23" s="11"/>
      <c r="AX23" s="12"/>
      <c r="AY23" s="12"/>
      <c r="AZ23" s="12"/>
      <c r="BA23" s="12"/>
      <c r="BB23" s="12"/>
      <c r="BC23" s="12"/>
      <c r="BD23" s="12"/>
      <c r="BE23" s="12"/>
      <c r="BF23" s="2"/>
      <c r="BG23" s="2"/>
      <c r="BH23" s="2"/>
      <c r="BI23" s="2"/>
      <c r="BJ23" s="2"/>
      <c r="BK23" s="12"/>
      <c r="BL23" s="12" t="s">
        <v>184</v>
      </c>
      <c r="BM23" s="11" t="str">
        <f t="shared" si="21"/>
        <v>Orc</v>
      </c>
      <c r="BN23" s="12" t="s">
        <v>184</v>
      </c>
      <c r="BO23" s="12"/>
      <c r="BP23" s="12">
        <v>60000</v>
      </c>
      <c r="BQ23" s="12">
        <v>50000</v>
      </c>
      <c r="BR23" s="12">
        <v>1</v>
      </c>
      <c r="BS23" s="13" t="str">
        <f>IF($J$25="Español","Reyerta en las Yermas",(IF($J$25="Deutsch","Düsterland-Rauferei",(IF($J$25="Français","Bagarre des Terres Arides","Badlands Brawl")))))</f>
        <v>Badlands Brawl</v>
      </c>
      <c r="BT23" s="13" t="s">
        <v>77</v>
      </c>
      <c r="BU23" s="13"/>
      <c r="BV23" s="13"/>
      <c r="BW23" s="13"/>
      <c r="BX23" s="13"/>
      <c r="BY23" s="12" t="s">
        <v>184</v>
      </c>
      <c r="BZ23" s="12" t="s">
        <v>185</v>
      </c>
      <c r="CA23" s="13" t="s">
        <v>183</v>
      </c>
      <c r="CB23" s="12" t="s">
        <v>186</v>
      </c>
      <c r="CC23" s="12"/>
      <c r="CD23" s="39"/>
      <c r="CE23" s="11" t="s">
        <v>184</v>
      </c>
      <c r="CF23" s="11" t="s">
        <v>167</v>
      </c>
      <c r="CG23" s="11" t="s">
        <v>187</v>
      </c>
      <c r="CH23" s="11" t="s">
        <v>186</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310"/>
      <c r="B24" s="311"/>
      <c r="C24" s="261" t="str">
        <f>IF($J$25="Italiano","NOME SQUADRA",(IF($J$25="Español","NOMBRE DEL EQUIPO",(IF($J$25="Français","NOM D’ÉQUIPE","TEAM NAME")))))</f>
        <v>NOME SQUADRA</v>
      </c>
      <c r="D24" s="248"/>
      <c r="E24" s="248"/>
      <c r="F24" s="248"/>
      <c r="G24" s="248"/>
      <c r="H24" s="248"/>
      <c r="I24" s="249"/>
      <c r="J24" s="268" t="s">
        <v>1336</v>
      </c>
      <c r="K24" s="248"/>
      <c r="L24" s="248"/>
      <c r="M24" s="248"/>
      <c r="N24" s="248"/>
      <c r="O24" s="248"/>
      <c r="P24" s="248"/>
      <c r="Q24" s="249"/>
      <c r="R24" s="267" t="str">
        <f>IF($J$25="Italiano","ASSISTENTI ALLENATORI",(IF($J$25="Español","AYUDANTES ENTRENADOR",(IF($J$25="Deutsch","TRAINERASSISTENTEN",(IF($J$25="Français","COACHS ASSIST","ASSISTANT COACHES")))))))</f>
        <v>ASSISTENTI ALLENATORI</v>
      </c>
      <c r="S24" s="248"/>
      <c r="T24" s="248"/>
      <c r="U24" s="248"/>
      <c r="V24" s="249"/>
      <c r="W24" s="34">
        <v>0</v>
      </c>
      <c r="X24" s="35" t="s">
        <v>174</v>
      </c>
      <c r="Y24" s="262">
        <v>10000</v>
      </c>
      <c r="Z24" s="263"/>
      <c r="AA24" s="36" t="str">
        <f t="shared" si="55"/>
        <v>gp</v>
      </c>
      <c r="AB24" s="264">
        <f t="shared" si="56"/>
        <v>0</v>
      </c>
      <c r="AC24" s="249"/>
      <c r="AD24" s="261" t="str">
        <f>IF($J$25="Italiano","MAGO DEL CLIMA",(IF($J$25="Español","MAGO DEL TIEMPO",(IF($J$25="Deutsch","WETTERMAGIER",(IF($J$25="Français","MAGE MÉTÉO","WEATHER MAGE")))))))</f>
        <v>MAGO DEL CLIMA</v>
      </c>
      <c r="AE24" s="248"/>
      <c r="AF24" s="248"/>
      <c r="AG24" s="248"/>
      <c r="AH24" s="249"/>
      <c r="AI24" s="34">
        <v>0</v>
      </c>
      <c r="AJ24" s="35" t="s">
        <v>174</v>
      </c>
      <c r="AK24" s="262">
        <v>30000</v>
      </c>
      <c r="AL24" s="263"/>
      <c r="AM24" s="36" t="str">
        <f t="shared" si="57"/>
        <v>gp</v>
      </c>
      <c r="AN24" s="264">
        <f t="shared" si="58"/>
        <v>0</v>
      </c>
      <c r="AO24" s="249"/>
      <c r="AP24" s="240"/>
      <c r="AQ24" s="11"/>
      <c r="AR24" s="12"/>
      <c r="AS24" s="11"/>
      <c r="AT24" s="11"/>
      <c r="AU24" s="11"/>
      <c r="AV24" s="11"/>
      <c r="AW24" s="11"/>
      <c r="AX24" s="12"/>
      <c r="AY24" s="12"/>
      <c r="AZ24" s="12"/>
      <c r="BA24" s="12"/>
      <c r="BB24" s="12"/>
      <c r="BC24" s="12"/>
      <c r="BD24" s="12"/>
      <c r="BE24" s="12"/>
      <c r="BF24" s="2"/>
      <c r="BG24" s="2"/>
      <c r="BH24" s="2"/>
      <c r="BI24" s="2"/>
      <c r="BJ24" s="2"/>
      <c r="BK24" s="12"/>
      <c r="BL24" s="12" t="s">
        <v>188</v>
      </c>
      <c r="BM24" s="11" t="str">
        <f t="shared" si="21"/>
        <v>Shambling Undead</v>
      </c>
      <c r="BN24" s="12" t="s">
        <v>189</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159</v>
      </c>
      <c r="BU24" s="13" t="s">
        <v>160</v>
      </c>
      <c r="BV24" s="13"/>
      <c r="BW24" s="13"/>
      <c r="BX24" s="13"/>
      <c r="BY24" s="12" t="s">
        <v>188</v>
      </c>
      <c r="BZ24" s="12" t="s">
        <v>171</v>
      </c>
      <c r="CA24" s="13" t="s">
        <v>187</v>
      </c>
      <c r="CB24" s="12" t="s">
        <v>153</v>
      </c>
      <c r="CC24" s="12"/>
      <c r="CD24" s="11"/>
      <c r="CE24" s="11" t="s">
        <v>188</v>
      </c>
      <c r="CF24" s="11" t="s">
        <v>178</v>
      </c>
      <c r="CG24" s="11" t="s">
        <v>190</v>
      </c>
      <c r="CH24" s="11" t="s">
        <v>81</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310"/>
      <c r="B25" s="311"/>
      <c r="C25" s="261" t="str">
        <f>IF($J$25="Italiano","LINGUA",(IF($J$25="Español","IDIOMA",(IF($J$25="Deutsch","SPRACHE",(IF($J$25="Français","LANGUE","LANGUAGE")))))))</f>
        <v>LINGUA</v>
      </c>
      <c r="D25" s="248"/>
      <c r="E25" s="248"/>
      <c r="F25" s="248"/>
      <c r="G25" s="248"/>
      <c r="H25" s="248"/>
      <c r="I25" s="249"/>
      <c r="J25" s="260" t="s">
        <v>301</v>
      </c>
      <c r="K25" s="248"/>
      <c r="L25" s="248"/>
      <c r="M25" s="248"/>
      <c r="N25" s="248"/>
      <c r="O25" s="248"/>
      <c r="P25" s="248"/>
      <c r="Q25" s="249"/>
      <c r="R25" s="261" t="str">
        <f>IF($J$25="Italiano","FUSTI DI BLOODWEISER",(IF($J$25="Español","BARRILES BLOODWEISER",(IF($J$25="Français","FÛTS DE BLOODWEISER","BLOODWEISER KEGS")))))</f>
        <v>FUSTI DI BLOODWEISER</v>
      </c>
      <c r="S25" s="248"/>
      <c r="T25" s="248"/>
      <c r="U25" s="248"/>
      <c r="V25" s="249"/>
      <c r="W25" s="34">
        <v>0</v>
      </c>
      <c r="X25" s="35" t="s">
        <v>174</v>
      </c>
      <c r="Y25" s="262">
        <v>50000</v>
      </c>
      <c r="Z25" s="263"/>
      <c r="AA25" s="36" t="str">
        <f t="shared" si="55"/>
        <v>gp</v>
      </c>
      <c r="AB25" s="264">
        <f t="shared" si="56"/>
        <v>0</v>
      </c>
      <c r="AC25" s="249"/>
      <c r="AD25" s="265" t="s">
        <v>192</v>
      </c>
      <c r="AE25" s="248"/>
      <c r="AF25" s="248"/>
      <c r="AG25" s="248"/>
      <c r="AH25" s="249"/>
      <c r="AI25" s="34">
        <v>0</v>
      </c>
      <c r="AJ25" s="35" t="s">
        <v>174</v>
      </c>
      <c r="AK25" s="262">
        <f>IFERROR((VLOOKUP(AD25,BH59:BI85,2,FALSE)),0)</f>
        <v>0</v>
      </c>
      <c r="AL25" s="263"/>
      <c r="AM25" s="36" t="str">
        <f t="shared" si="57"/>
        <v>gp</v>
      </c>
      <c r="AN25" s="264">
        <f t="shared" si="58"/>
        <v>0</v>
      </c>
      <c r="AO25" s="249"/>
      <c r="AP25" s="240"/>
      <c r="AQ25" s="11"/>
      <c r="AR25" s="11"/>
      <c r="AS25" s="12"/>
      <c r="AT25" s="11"/>
      <c r="AU25" s="11"/>
      <c r="AV25" s="11"/>
      <c r="AW25" s="11"/>
      <c r="AX25" s="12"/>
      <c r="AY25" s="12"/>
      <c r="AZ25" s="12"/>
      <c r="BA25" s="12"/>
      <c r="BB25" s="12"/>
      <c r="BC25" s="12"/>
      <c r="BD25" s="12"/>
      <c r="BE25" s="2"/>
      <c r="BF25" s="2"/>
      <c r="BG25" s="2"/>
      <c r="BH25" s="2"/>
      <c r="BI25" s="2"/>
      <c r="BJ25" s="2"/>
      <c r="BK25" s="12"/>
      <c r="BL25" s="12" t="s">
        <v>193</v>
      </c>
      <c r="BM25" s="11" t="str">
        <f t="shared" si="21"/>
        <v>Slann</v>
      </c>
      <c r="BN25" s="12" t="s">
        <v>193</v>
      </c>
      <c r="BO25" s="12"/>
      <c r="BP25" s="12">
        <v>50000</v>
      </c>
      <c r="BQ25" s="12">
        <v>50000</v>
      </c>
      <c r="BR25" s="12">
        <v>1</v>
      </c>
      <c r="BS25" s="13" t="str">
        <f>IF($J$25="Español","Superliga Lustriana",(IF($J$25="Deutsch","Lustria-Superliga",(IF($J$25="Français","Super-Ligue de Lustrie","Lustrian Superleague")))))</f>
        <v>Lustrian Superleague</v>
      </c>
      <c r="BT25" s="13" t="s">
        <v>69</v>
      </c>
      <c r="BU25" s="13"/>
      <c r="BV25" s="13"/>
      <c r="BW25" s="13"/>
      <c r="BX25" s="13"/>
      <c r="BY25" s="12" t="s">
        <v>193</v>
      </c>
      <c r="BZ25" s="12" t="s">
        <v>194</v>
      </c>
      <c r="CA25" s="13" t="s">
        <v>190</v>
      </c>
      <c r="CB25" s="12" t="s">
        <v>195</v>
      </c>
      <c r="CC25" s="12"/>
      <c r="CD25" s="11"/>
      <c r="CE25" s="11" t="s">
        <v>193</v>
      </c>
      <c r="CF25" s="11" t="s">
        <v>185</v>
      </c>
      <c r="CG25" s="11" t="s">
        <v>196</v>
      </c>
      <c r="CH25" s="11" t="s">
        <v>101</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310"/>
      <c r="B26" s="311"/>
      <c r="C26" s="261" t="str">
        <f>IF($J$25="Italiano","TIFOSI SFEGATATI",(IF($J$25="Español","FANS DEDICADOS",(IF($J$25="Deutsch","TREUE FANS",(IF($J$25="Français","FANS DÉVOUÉS","DEDICATED FANS")))))))</f>
        <v>TIFOSI SFEGATATI</v>
      </c>
      <c r="D26" s="248"/>
      <c r="E26" s="248"/>
      <c r="F26" s="248"/>
      <c r="G26" s="248"/>
      <c r="H26" s="248"/>
      <c r="I26" s="249"/>
      <c r="J26" s="266">
        <f>(W21+Games!AB2+Games!X2)</f>
        <v>2</v>
      </c>
      <c r="K26" s="248"/>
      <c r="L26" s="248"/>
      <c r="M26" s="248"/>
      <c r="N26" s="248"/>
      <c r="O26" s="248"/>
      <c r="P26" s="248"/>
      <c r="Q26" s="249"/>
      <c r="R26" s="267" t="str">
        <f>IF($J$25="Italiano","CARTE SPECIALI",(IF($J$25="Español","CARTA ESPECIAL",(IF($J$25="Deutsch","SONDERKARTEN",(IF($J$25="Français","CARTE SPECIALE","SPECIAL CARD")))))))</f>
        <v>CARTE SPECIALI</v>
      </c>
      <c r="S26" s="248"/>
      <c r="T26" s="248"/>
      <c r="U26" s="248"/>
      <c r="V26" s="249"/>
      <c r="W26" s="34">
        <v>0</v>
      </c>
      <c r="X26" s="35" t="s">
        <v>174</v>
      </c>
      <c r="Y26" s="262">
        <v>100000</v>
      </c>
      <c r="Z26" s="263"/>
      <c r="AA26" s="36" t="str">
        <f t="shared" si="55"/>
        <v>gp</v>
      </c>
      <c r="AB26" s="264">
        <f t="shared" si="56"/>
        <v>0</v>
      </c>
      <c r="AC26" s="249"/>
      <c r="AD26" s="265" t="s">
        <v>197</v>
      </c>
      <c r="AE26" s="248"/>
      <c r="AF26" s="248"/>
      <c r="AG26" s="248"/>
      <c r="AH26" s="249"/>
      <c r="AI26" s="34">
        <v>0</v>
      </c>
      <c r="AJ26" s="35" t="s">
        <v>174</v>
      </c>
      <c r="AK26" s="262">
        <f>IFERROR(VLOOKUP(AD26,BD59:BE85,2,FALSE),0)</f>
        <v>0</v>
      </c>
      <c r="AL26" s="263"/>
      <c r="AM26" s="36" t="str">
        <f t="shared" si="57"/>
        <v>gp</v>
      </c>
      <c r="AN26" s="264">
        <f t="shared" si="58"/>
        <v>0</v>
      </c>
      <c r="AO26" s="249"/>
      <c r="AP26" s="240"/>
      <c r="AQ26" s="11"/>
      <c r="AR26" s="11"/>
      <c r="AS26" s="12"/>
      <c r="AT26" s="12"/>
      <c r="AU26" s="12"/>
      <c r="AV26" s="12"/>
      <c r="AW26" s="12"/>
      <c r="AX26" s="12"/>
      <c r="AY26" s="12"/>
      <c r="AZ26" s="12"/>
      <c r="BA26" s="12"/>
      <c r="BB26" s="12"/>
      <c r="BC26" s="12"/>
      <c r="BD26" s="12"/>
      <c r="BE26" s="12"/>
      <c r="BF26" s="12"/>
      <c r="BG26" s="12"/>
      <c r="BH26" s="2"/>
      <c r="BI26" s="2"/>
      <c r="BJ26" s="2"/>
      <c r="BK26" s="12"/>
      <c r="BL26" s="12" t="s">
        <v>198</v>
      </c>
      <c r="BM26" s="11" t="str">
        <f t="shared" si="21"/>
        <v>Skaven</v>
      </c>
      <c r="BN26" s="12" t="s">
        <v>198</v>
      </c>
      <c r="BO26" s="12"/>
      <c r="BP26" s="12">
        <v>50000</v>
      </c>
      <c r="BQ26" s="12">
        <v>50000</v>
      </c>
      <c r="BR26" s="12">
        <v>1</v>
      </c>
      <c r="BS26" s="13" t="str">
        <f>IF($J$25="Español","Reto del Inframundo",(IF($J$25="Deutsch","Unterwelt-Herausforderung",(IF($J$25="Français","Défi des Bas-Fonds","Underworld Challenge")))))</f>
        <v>Underworld Challenge</v>
      </c>
      <c r="BT26" s="13" t="s">
        <v>199</v>
      </c>
      <c r="BU26" s="13"/>
      <c r="BV26" s="13"/>
      <c r="BW26" s="13"/>
      <c r="BX26" s="13"/>
      <c r="BY26" s="12" t="s">
        <v>198</v>
      </c>
      <c r="BZ26" s="12" t="s">
        <v>200</v>
      </c>
      <c r="CA26" s="13" t="s">
        <v>196</v>
      </c>
      <c r="CB26" s="12" t="s">
        <v>201</v>
      </c>
      <c r="CC26" s="12"/>
      <c r="CD26" s="11"/>
      <c r="CE26" s="11" t="s">
        <v>198</v>
      </c>
      <c r="CF26" s="11" t="s">
        <v>79</v>
      </c>
      <c r="CG26" s="11" t="s">
        <v>202</v>
      </c>
      <c r="CH26" s="11" t="s">
        <v>203</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310"/>
      <c r="B27" s="311"/>
      <c r="C27" s="261" t="str">
        <f>IF($J$25="Italiano","COSTI INCENTIVI &amp; EXTRA",(IF($J$25="Español","COSTE INCENTIVOS Y EXTRAS",(IF($J$25="Deutsch","GESAMTER TEAMWERT &amp; EXTRAS",(IF($J$25="Français","COUPS DE POUCES &amp; STAFF","COST INDUCEMENTS &amp; EXTRAS")))))))</f>
        <v>COSTI INCENTIVI &amp; EXTRA</v>
      </c>
      <c r="D27" s="248"/>
      <c r="E27" s="248"/>
      <c r="F27" s="248"/>
      <c r="G27" s="248"/>
      <c r="H27" s="248"/>
      <c r="I27" s="249"/>
      <c r="J27" s="280">
        <f>(SUM(AB21:AC31,AN22:AO31,AN18:AO20))/1000</f>
        <v>350</v>
      </c>
      <c r="K27" s="248"/>
      <c r="L27" s="248"/>
      <c r="M27" s="263"/>
      <c r="N27" s="281" t="str">
        <f t="shared" ref="N27:N31" si="59">IF($J$25="Español","k mo",(IF($J$25="Deutsch","k gm",(IF($J$25="Français","k po","k gp")))))</f>
        <v>k gp</v>
      </c>
      <c r="O27" s="248"/>
      <c r="P27" s="248"/>
      <c r="Q27" s="249"/>
      <c r="R27" s="299" t="str">
        <f>IF($J$25="Italiano","CHEERLEADERS AG. INT.",(IF($J$25="Español","ANIMADORAS TEMP.",(IF($J$25="Deutsch","ZEITARBEITS-CHEERLEADER",(IF($J$25="Français","CHEERLEADERS INTERIM.","TEMP. CHEERLEADERS")))))))</f>
        <v>CHEERLEADERS AG. INT.</v>
      </c>
      <c r="S27" s="252"/>
      <c r="T27" s="252"/>
      <c r="U27" s="252"/>
      <c r="V27" s="300"/>
      <c r="W27" s="40">
        <v>0</v>
      </c>
      <c r="X27" s="41" t="s">
        <v>174</v>
      </c>
      <c r="Y27" s="298">
        <v>20000</v>
      </c>
      <c r="Z27" s="253"/>
      <c r="AA27" s="42" t="str">
        <f t="shared" si="55"/>
        <v>gp</v>
      </c>
      <c r="AB27" s="264">
        <f t="shared" si="56"/>
        <v>0</v>
      </c>
      <c r="AC27" s="249"/>
      <c r="AD27" s="282" t="str">
        <f>BD59</f>
        <v>(IN)FAMOUS COACHES</v>
      </c>
      <c r="AE27" s="248"/>
      <c r="AF27" s="248"/>
      <c r="AG27" s="248"/>
      <c r="AH27" s="249"/>
      <c r="AI27" s="34">
        <v>0</v>
      </c>
      <c r="AJ27" s="35" t="s">
        <v>174</v>
      </c>
      <c r="AK27" s="262">
        <f>IFERROR(VLOOKUP(AD27,BD59:BE85,2,FALSE),0)</f>
        <v>0</v>
      </c>
      <c r="AL27" s="263"/>
      <c r="AM27" s="36" t="str">
        <f t="shared" si="57"/>
        <v>gp</v>
      </c>
      <c r="AN27" s="264">
        <f t="shared" si="58"/>
        <v>0</v>
      </c>
      <c r="AO27" s="249"/>
      <c r="AP27" s="240"/>
      <c r="AQ27" s="11"/>
      <c r="AR27" s="11"/>
      <c r="AS27" s="12"/>
      <c r="AT27" s="11"/>
      <c r="AU27" s="11"/>
      <c r="AV27" s="11"/>
      <c r="AW27" s="11"/>
      <c r="AX27" s="12"/>
      <c r="AY27" s="12"/>
      <c r="AZ27" s="2"/>
      <c r="BA27" s="12"/>
      <c r="BB27" s="12"/>
      <c r="BC27" s="12"/>
      <c r="BD27" s="12"/>
      <c r="BE27" s="2"/>
      <c r="BF27" s="2"/>
      <c r="BG27" s="2"/>
      <c r="BH27" s="2"/>
      <c r="BI27" s="2"/>
      <c r="BJ27" s="2"/>
      <c r="BK27" s="12"/>
      <c r="BL27" s="12" t="s">
        <v>204</v>
      </c>
      <c r="BM27" s="11" t="str">
        <f t="shared" si="21"/>
        <v>Snotling</v>
      </c>
      <c r="BN27" s="12" t="s">
        <v>204</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199</v>
      </c>
      <c r="BU27" s="13" t="s">
        <v>78</v>
      </c>
      <c r="BV27" s="13" t="s">
        <v>177</v>
      </c>
      <c r="BW27" s="13"/>
      <c r="BX27" s="13"/>
      <c r="BY27" s="12" t="s">
        <v>204</v>
      </c>
      <c r="BZ27" s="12" t="s">
        <v>205</v>
      </c>
      <c r="CA27" s="27" t="s">
        <v>202</v>
      </c>
      <c r="CB27" s="11" t="s">
        <v>206</v>
      </c>
      <c r="CC27" s="11"/>
      <c r="CD27" s="11"/>
      <c r="CE27" s="11" t="s">
        <v>204</v>
      </c>
      <c r="CF27" s="11" t="s">
        <v>100</v>
      </c>
      <c r="CG27" s="11" t="s">
        <v>207</v>
      </c>
      <c r="CH27" s="11" t="s">
        <v>201</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310"/>
      <c r="B28" s="311"/>
      <c r="C28" s="267" t="str">
        <f>IF($J$25="Italiano","COSTO GIOCATORI",(IF($J$25="Español","PRECIO JUGADORES",(IF($J$25="Deutsch","WERT SPIELER",(IF($J$25="Français","VALEUR DES JOUEURS","COST PLAYERS")))))))</f>
        <v>COSTO GIOCATORI</v>
      </c>
      <c r="D28" s="248"/>
      <c r="E28" s="248"/>
      <c r="F28" s="248"/>
      <c r="G28" s="248"/>
      <c r="H28" s="248"/>
      <c r="I28" s="249"/>
      <c r="J28" s="280">
        <f>(SUM(AN2:AO17))/1000</f>
        <v>760</v>
      </c>
      <c r="K28" s="248"/>
      <c r="L28" s="248"/>
      <c r="M28" s="263"/>
      <c r="N28" s="43" t="str">
        <f t="shared" si="59"/>
        <v>k gp</v>
      </c>
      <c r="O28" s="43"/>
      <c r="P28" s="43"/>
      <c r="Q28" s="44"/>
      <c r="R28" s="267" t="str">
        <f>IF($J$25="Italiano","ASSISTENTI ALLENATORI P.T.",(IF($J$25="Español","AYUDANTES ENTRENADOR T.P.",(IF($J$25="Deutsch","TEILZEIT-TRAINERASSISTENTEN",(IF($J$25="Français","COACHS ASSIST INTERIM.","P.T. ASSISTANT COACHES")))))))</f>
        <v>ASSISTENTI ALLENATORI P.T.</v>
      </c>
      <c r="S28" s="248"/>
      <c r="T28" s="248"/>
      <c r="U28" s="248"/>
      <c r="V28" s="249"/>
      <c r="W28" s="34">
        <v>0</v>
      </c>
      <c r="X28" s="35" t="s">
        <v>174</v>
      </c>
      <c r="Y28" s="262">
        <v>20000</v>
      </c>
      <c r="Z28" s="263"/>
      <c r="AA28" s="36" t="str">
        <f t="shared" si="55"/>
        <v>gp</v>
      </c>
      <c r="AB28" s="264">
        <f t="shared" si="56"/>
        <v>0</v>
      </c>
      <c r="AC28" s="249"/>
      <c r="AD28" s="282" t="s">
        <v>208</v>
      </c>
      <c r="AE28" s="248"/>
      <c r="AF28" s="248"/>
      <c r="AG28" s="248"/>
      <c r="AH28" s="249"/>
      <c r="AI28" s="34">
        <v>0</v>
      </c>
      <c r="AJ28" s="35" t="s">
        <v>174</v>
      </c>
      <c r="AK28" s="262">
        <f>IFERROR(VLOOKUP(AD28,BL59:BM85,2,FALSE),0)</f>
        <v>0</v>
      </c>
      <c r="AL28" s="263"/>
      <c r="AM28" s="36" t="str">
        <f t="shared" si="57"/>
        <v>gp</v>
      </c>
      <c r="AN28" s="264">
        <f t="shared" si="58"/>
        <v>0</v>
      </c>
      <c r="AO28" s="249"/>
      <c r="AP28" s="240"/>
      <c r="AQ28" s="11"/>
      <c r="AR28" s="11"/>
      <c r="AS28" s="12"/>
      <c r="AT28" s="11"/>
      <c r="AU28" s="11"/>
      <c r="AV28" s="11"/>
      <c r="AW28" s="11"/>
      <c r="AX28" s="12"/>
      <c r="AY28" s="12"/>
      <c r="AZ28" s="2"/>
      <c r="BA28" s="12"/>
      <c r="BB28" s="12"/>
      <c r="BC28" s="12"/>
      <c r="BD28" s="12"/>
      <c r="BE28" s="2"/>
      <c r="BF28" s="2"/>
      <c r="BG28" s="2"/>
      <c r="BH28" s="2"/>
      <c r="BI28" s="2"/>
      <c r="BJ28" s="2"/>
      <c r="BK28" s="12"/>
      <c r="BL28" s="12" t="s">
        <v>209</v>
      </c>
      <c r="BM28" s="11" t="str">
        <f t="shared" si="21"/>
        <v>Tomb King</v>
      </c>
      <c r="BN28" s="12" t="s">
        <v>210</v>
      </c>
      <c r="BO28" s="12"/>
      <c r="BP28" s="12">
        <v>70000</v>
      </c>
      <c r="BQ28" s="12">
        <v>0</v>
      </c>
      <c r="BR28" s="12">
        <v>0</v>
      </c>
      <c r="BS28" s="13" t="str">
        <f>IF($J$25="Español","Selectiva de Sylvania",(IF($J$25="Deutsch","Sylvanisches Rampenlicht",(IF($J$25="Français","Spot de Sylvanie","Sylvanian Spotlight")))))</f>
        <v>Sylvanian Spotlight</v>
      </c>
      <c r="BT28" s="13" t="s">
        <v>159</v>
      </c>
      <c r="BU28" s="13" t="s">
        <v>160</v>
      </c>
      <c r="BV28" s="13"/>
      <c r="BW28" s="13"/>
      <c r="BX28" s="13"/>
      <c r="BY28" s="12" t="s">
        <v>209</v>
      </c>
      <c r="BZ28" s="12" t="s">
        <v>152</v>
      </c>
      <c r="CA28" s="27" t="s">
        <v>207</v>
      </c>
      <c r="CB28" s="11" t="s">
        <v>203</v>
      </c>
      <c r="CC28" s="11"/>
      <c r="CD28" s="11"/>
      <c r="CE28" s="11" t="s">
        <v>209</v>
      </c>
      <c r="CF28" s="11" t="s">
        <v>200</v>
      </c>
      <c r="CG28" s="11" t="s">
        <v>211</v>
      </c>
      <c r="CH28" s="11" t="s">
        <v>195</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310"/>
      <c r="B29" s="311"/>
      <c r="C29" s="261" t="str">
        <f>IF($J$25="Italiano","COSTO TOTALE SQUADRA",(IF($J$25="Español","PRECIO TOTAL EQUIPO",(IF($J$25="Deutsch","GESAMTER TEAMWERT",(IF($J$25="Français","VALEUR D’ÉQUIPE","TOTAL TEAM COST")))))))</f>
        <v>COSTO TOTALE SQUADRA</v>
      </c>
      <c r="D29" s="248"/>
      <c r="E29" s="248"/>
      <c r="F29" s="248"/>
      <c r="G29" s="248"/>
      <c r="H29" s="248"/>
      <c r="I29" s="249"/>
      <c r="J29" s="280">
        <f>J27+J28</f>
        <v>1110</v>
      </c>
      <c r="K29" s="248"/>
      <c r="L29" s="248"/>
      <c r="M29" s="263"/>
      <c r="N29" s="281" t="str">
        <f t="shared" si="59"/>
        <v>k gp</v>
      </c>
      <c r="O29" s="248"/>
      <c r="P29" s="248"/>
      <c r="Q29" s="249"/>
      <c r="R29" s="267" t="str">
        <f>IF($J$25="Italiano","MAZZETTE",(IF($J$25="Español","SOBORNOS",(IF($J$25="Deutsch","BESTECHUNGEN",(IF($J$25="Français","POTS-DE-VIN","BRIBES")))))))</f>
        <v>MAZZETTE</v>
      </c>
      <c r="S29" s="248"/>
      <c r="T29" s="248"/>
      <c r="U29" s="248"/>
      <c r="V29" s="249"/>
      <c r="W29" s="34">
        <v>0</v>
      </c>
      <c r="X29" s="35" t="s">
        <v>174</v>
      </c>
      <c r="Y29" s="262">
        <f>IFERROR(IF(BV2="Bribery and Corruption",50000,100000),100000)</f>
        <v>50000</v>
      </c>
      <c r="Z29" s="263"/>
      <c r="AA29" s="36" t="str">
        <f t="shared" si="55"/>
        <v>gp</v>
      </c>
      <c r="AB29" s="264">
        <f t="shared" si="56"/>
        <v>0</v>
      </c>
      <c r="AC29" s="249"/>
      <c r="AD29" s="282" t="s">
        <v>212</v>
      </c>
      <c r="AE29" s="248"/>
      <c r="AF29" s="248"/>
      <c r="AG29" s="248"/>
      <c r="AH29" s="249"/>
      <c r="AI29" s="34">
        <v>0</v>
      </c>
      <c r="AJ29" s="35" t="s">
        <v>174</v>
      </c>
      <c r="AK29" s="262">
        <f>IFERROR(VLOOKUP(AD29,BO60:BP86,2,FALSE),0)</f>
        <v>0</v>
      </c>
      <c r="AL29" s="263"/>
      <c r="AM29" s="36" t="str">
        <f t="shared" si="57"/>
        <v>gp</v>
      </c>
      <c r="AN29" s="264">
        <f t="shared" si="58"/>
        <v>0</v>
      </c>
      <c r="AO29" s="249"/>
      <c r="AP29" s="240"/>
      <c r="AQ29" s="11"/>
      <c r="AR29" s="11"/>
      <c r="AS29" s="12"/>
      <c r="AT29" s="11"/>
      <c r="AU29" s="11"/>
      <c r="AV29" s="11"/>
      <c r="AW29" s="11"/>
      <c r="AX29" s="12"/>
      <c r="AY29" s="12"/>
      <c r="AZ29" s="2"/>
      <c r="BA29" s="12"/>
      <c r="BB29" s="12"/>
      <c r="BC29" s="12"/>
      <c r="BD29" s="12"/>
      <c r="BE29" s="2"/>
      <c r="BF29" s="2"/>
      <c r="BG29" s="2"/>
      <c r="BH29" s="2"/>
      <c r="BI29" s="2"/>
      <c r="BJ29" s="2"/>
      <c r="BK29" s="12"/>
      <c r="BL29" s="12" t="s">
        <v>213</v>
      </c>
      <c r="BM29" s="11" t="str">
        <f t="shared" si="21"/>
        <v>Underworld Denizens</v>
      </c>
      <c r="BN29" s="12" t="s">
        <v>214</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199</v>
      </c>
      <c r="BU29" s="13" t="s">
        <v>78</v>
      </c>
      <c r="BV29" s="13"/>
      <c r="BW29" s="13"/>
      <c r="BX29" s="13"/>
      <c r="BY29" s="12" t="s">
        <v>213</v>
      </c>
      <c r="BZ29" s="12" t="s">
        <v>146</v>
      </c>
      <c r="CA29" s="27" t="s">
        <v>211</v>
      </c>
      <c r="CB29" s="11" t="s">
        <v>89</v>
      </c>
      <c r="CC29" s="11"/>
      <c r="CD29" s="11"/>
      <c r="CE29" s="11" t="s">
        <v>213</v>
      </c>
      <c r="CF29" s="11" t="s">
        <v>194</v>
      </c>
      <c r="CG29" s="11" t="s">
        <v>215</v>
      </c>
      <c r="CH29" s="11" t="s">
        <v>206</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310"/>
      <c r="B30" s="311"/>
      <c r="C30" s="261" t="str">
        <f>IF($J$25="Italiano","COSTO AVANZAMENTI",(IF($J$25="Español","PRECIO SUBIDAS",(IF($J$25="Deutsch","WERT DER VERBESSERUNG",(IF($J$25="Français","VALEUR AMÉLIORATION","COST UPGRADES")))))))</f>
        <v>COSTO AVANZAMENTI</v>
      </c>
      <c r="D30" s="248"/>
      <c r="E30" s="248"/>
      <c r="F30" s="248"/>
      <c r="G30" s="248"/>
      <c r="H30" s="248"/>
      <c r="I30" s="249"/>
      <c r="J30" s="280">
        <f>(SUM(AG37:AH52))/1000</f>
        <v>90</v>
      </c>
      <c r="K30" s="248"/>
      <c r="L30" s="248"/>
      <c r="M30" s="263"/>
      <c r="N30" s="281" t="str">
        <f t="shared" si="59"/>
        <v>k gp</v>
      </c>
      <c r="O30" s="248"/>
      <c r="P30" s="248"/>
      <c r="Q30" s="249"/>
      <c r="R30" s="267" t="str">
        <f>IF($J$25="Italiano","CAPOCUOCO",(IF($J$25="Español","MASTER CHEF",(IF($J$25="Deutsch","HALBLING-MEISTERKOCH",(IF($J$25="Français","CHEF CUISTOT","MASTER CHEF")))))))</f>
        <v>CAPOCUOCO</v>
      </c>
      <c r="S30" s="248"/>
      <c r="T30" s="248"/>
      <c r="U30" s="248"/>
      <c r="V30" s="249"/>
      <c r="W30" s="34">
        <v>0</v>
      </c>
      <c r="X30" s="35" t="s">
        <v>174</v>
      </c>
      <c r="Y30" s="262">
        <f>IFERROR(IF(OR(BO1="Halfling",BO1="Halflings",BO1="Halflinge"),100000,300000),300000)</f>
        <v>300000</v>
      </c>
      <c r="Z30" s="263"/>
      <c r="AA30" s="37" t="str">
        <f t="shared" si="55"/>
        <v>gp</v>
      </c>
      <c r="AB30" s="264">
        <f t="shared" si="56"/>
        <v>0</v>
      </c>
      <c r="AC30" s="249"/>
      <c r="AD30" s="267" t="str">
        <f>IF($J$25="Italiano","ALLENAMIENTO INTENSIVO",(IF($J$25="Español","ENTRENAMIENTO EXTRA",(IF($J$25="Deutsch","ZUSÄTZLICHES TRAINING",(IF($J$25="Français","ENTRAÎNEMENT SUPP.","EXTRA TEAM TRAINING")))))))</f>
        <v>ALLENAMIENTO INTENSIVO</v>
      </c>
      <c r="AE30" s="248"/>
      <c r="AF30" s="248"/>
      <c r="AG30" s="248"/>
      <c r="AH30" s="249"/>
      <c r="AI30" s="34">
        <v>0</v>
      </c>
      <c r="AJ30" s="35" t="s">
        <v>174</v>
      </c>
      <c r="AK30" s="262">
        <v>100000</v>
      </c>
      <c r="AL30" s="263"/>
      <c r="AM30" s="37" t="str">
        <f t="shared" si="57"/>
        <v>gp</v>
      </c>
      <c r="AN30" s="264">
        <f t="shared" si="58"/>
        <v>0</v>
      </c>
      <c r="AO30" s="249"/>
      <c r="AP30" s="240"/>
      <c r="AQ30" s="11"/>
      <c r="AR30" s="12"/>
      <c r="AS30" s="12"/>
      <c r="AT30" s="12"/>
      <c r="AU30" s="12"/>
      <c r="AV30" s="12"/>
      <c r="AW30" s="12"/>
      <c r="AX30" s="12"/>
      <c r="AY30" s="12"/>
      <c r="AZ30" s="2"/>
      <c r="BA30" s="12"/>
      <c r="BB30" s="12"/>
      <c r="BC30" s="12"/>
      <c r="BD30" s="12"/>
      <c r="BE30" s="2"/>
      <c r="BF30" s="2"/>
      <c r="BG30" s="2"/>
      <c r="BH30" s="2"/>
      <c r="BI30" s="2"/>
      <c r="BJ30" s="2"/>
      <c r="BK30" s="12"/>
      <c r="BL30" s="12" t="s">
        <v>216</v>
      </c>
      <c r="BM30" s="11" t="str">
        <f t="shared" si="21"/>
        <v>Vampire</v>
      </c>
      <c r="BN30" s="12" t="s">
        <v>216</v>
      </c>
      <c r="BO30" s="12"/>
      <c r="BP30" s="12">
        <v>70000</v>
      </c>
      <c r="BQ30" s="12">
        <v>50000</v>
      </c>
      <c r="BR30" s="12">
        <v>0</v>
      </c>
      <c r="BS30" s="13" t="str">
        <f>IF($J$25="Español","Selectiva de Sylvania",(IF($J$25="Deutsch","Sylvanisches Rampenlicht",(IF($J$25="Français","Spot de Sylvanie","Sylvanian Spotlight")))))</f>
        <v>Sylvanian Spotlight</v>
      </c>
      <c r="BT30" s="13" t="s">
        <v>159</v>
      </c>
      <c r="BU30" s="13" t="s">
        <v>160</v>
      </c>
      <c r="BV30" s="13"/>
      <c r="BW30" s="13"/>
      <c r="BX30" s="13"/>
      <c r="BY30" s="12" t="s">
        <v>216</v>
      </c>
      <c r="BZ30" s="12" t="s">
        <v>217</v>
      </c>
      <c r="CA30" s="27" t="s">
        <v>215</v>
      </c>
      <c r="CB30" s="11" t="s">
        <v>218</v>
      </c>
      <c r="CC30" s="11"/>
      <c r="CD30" s="11"/>
      <c r="CE30" s="11" t="s">
        <v>216</v>
      </c>
      <c r="CF30" s="11" t="s">
        <v>205</v>
      </c>
      <c r="CG30" s="11" t="s">
        <v>219</v>
      </c>
      <c r="CH30" s="11" t="s">
        <v>119</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310"/>
      <c r="B31" s="311"/>
      <c r="C31" s="261" t="str">
        <f>IF($J$25="Italiano","TESORERIA",(IF($J$25="Español","TESORERÍA",(IF($J$25="Deutsch","TEAMKASSE",(IF($J$25="Français","TRÉSORERIE","TREASURY")))))))</f>
        <v>TESORERIA</v>
      </c>
      <c r="D31" s="248"/>
      <c r="E31" s="248"/>
      <c r="F31" s="248"/>
      <c r="G31" s="248"/>
      <c r="H31" s="248"/>
      <c r="I31" s="249"/>
      <c r="J31" s="280">
        <f>(((Games!AB3+Games!Y2)-(SUM('Dead &amp; Retired Players'!AJ3:AK32)))/1000)-J29+J30</f>
        <v>90</v>
      </c>
      <c r="K31" s="248"/>
      <c r="L31" s="248"/>
      <c r="M31" s="263"/>
      <c r="N31" s="281" t="str">
        <f t="shared" si="59"/>
        <v>k gp</v>
      </c>
      <c r="O31" s="248"/>
      <c r="P31" s="248"/>
      <c r="Q31" s="249"/>
      <c r="R31" s="292" t="str">
        <f>IF($J$25="Italiano","ESORDIENTI RIBELLI",(IF($J$25="Español","NOVATOS ALBOROTADORES",(IF($J$25="Deutsch","RANDALIERENDE NEULINGE",(IF($J$25="Français","DÉBUTANTS DÉCHAINÉS","RIOTOUS ROOKIES")))))))</f>
        <v>ESORDIENTI RIBELLI</v>
      </c>
      <c r="S31" s="248"/>
      <c r="T31" s="248"/>
      <c r="U31" s="248"/>
      <c r="V31" s="249"/>
      <c r="W31" s="34">
        <v>0</v>
      </c>
      <c r="X31" s="35" t="s">
        <v>174</v>
      </c>
      <c r="Y31" s="262">
        <f>IFERROR(IF(BW2="LowCost",100000,0),0)</f>
        <v>100000</v>
      </c>
      <c r="Z31" s="263"/>
      <c r="AA31" s="37" t="str">
        <f t="shared" si="55"/>
        <v>gp</v>
      </c>
      <c r="AB31" s="264">
        <f t="shared" si="56"/>
        <v>0</v>
      </c>
      <c r="AC31" s="249"/>
      <c r="AD31" s="267" t="str">
        <f>IF($J$25="Italiano","MEDICI VAGABONDI",(IF($J$25="Español","MÉDICO ERRANTE",(IF($J$25="Deutsch","WANDERNDER SANITÄTER",(IF($J$25="Français","APO ITINÉRANT","WANDERING APO")))))))</f>
        <v>MEDICI VAGABONDI</v>
      </c>
      <c r="AE31" s="248"/>
      <c r="AF31" s="248"/>
      <c r="AG31" s="248"/>
      <c r="AH31" s="249"/>
      <c r="AI31" s="34">
        <v>0</v>
      </c>
      <c r="AJ31" s="35" t="s">
        <v>174</v>
      </c>
      <c r="AK31" s="262">
        <f>IFERROR(IF(Y22=0,0,100000),0)</f>
        <v>100000</v>
      </c>
      <c r="AL31" s="263"/>
      <c r="AM31" s="37" t="str">
        <f t="shared" si="57"/>
        <v>gp</v>
      </c>
      <c r="AN31" s="264">
        <f t="shared" si="58"/>
        <v>0</v>
      </c>
      <c r="AO31" s="249"/>
      <c r="AP31" s="240"/>
      <c r="AQ31" s="11"/>
      <c r="AR31" s="11"/>
      <c r="AS31" s="12"/>
      <c r="AT31" s="11"/>
      <c r="AU31" s="11"/>
      <c r="AV31" s="11"/>
      <c r="AW31" s="11"/>
      <c r="AX31" s="12"/>
      <c r="AY31" s="12"/>
      <c r="AZ31" s="2"/>
      <c r="BA31" s="2"/>
      <c r="BB31" s="2"/>
      <c r="BC31" s="12"/>
      <c r="BD31" s="12"/>
      <c r="BE31" s="2"/>
      <c r="BF31" s="2"/>
      <c r="BG31" s="2"/>
      <c r="BH31" s="2"/>
      <c r="BI31" s="2"/>
      <c r="BJ31" s="2"/>
      <c r="BK31" s="12"/>
      <c r="BL31" s="12" t="s">
        <v>220</v>
      </c>
      <c r="BM31" s="11" t="str">
        <f t="shared" si="21"/>
        <v>Wood Elf</v>
      </c>
      <c r="BN31" s="12" t="s">
        <v>221</v>
      </c>
      <c r="BO31" s="12"/>
      <c r="BP31" s="12">
        <v>50000</v>
      </c>
      <c r="BQ31" s="12">
        <v>50000</v>
      </c>
      <c r="BR31" s="12">
        <v>1</v>
      </c>
      <c r="BS31" s="13" t="str">
        <f>IF($J$25="Español","Liga de los Reinos Elfos",(IF($J$25="Deutsch","Liga der Elfenkönigreiche",(IF($J$25="Français","Ligue des Royaumes Elfiques","Elven Kingdoms League")))))</f>
        <v>Elven Kingdoms League</v>
      </c>
      <c r="BT31" s="13" t="s">
        <v>106</v>
      </c>
      <c r="BU31" s="13"/>
      <c r="BV31" s="13"/>
      <c r="BW31" s="13"/>
      <c r="BX31" s="13"/>
      <c r="BY31" s="12" t="s">
        <v>220</v>
      </c>
      <c r="BZ31" s="12" t="s">
        <v>114</v>
      </c>
      <c r="CA31" s="27" t="s">
        <v>219</v>
      </c>
      <c r="CB31" s="11" t="s">
        <v>103</v>
      </c>
      <c r="CC31" s="11"/>
      <c r="CD31" s="11"/>
      <c r="CE31" s="11" t="s">
        <v>220</v>
      </c>
      <c r="CF31" s="11" t="s">
        <v>217</v>
      </c>
      <c r="CG31" s="11" t="s">
        <v>112</v>
      </c>
      <c r="CH31" s="11" t="s">
        <v>218</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286"/>
      <c r="B32" s="288"/>
      <c r="C32" s="261" t="str">
        <f>IF($J$25="Italiano","VALORE SQUADRA",(IF($J$25="Español","VALOR DEL EQUIPO",(IF($J$25="Deutsch","TEAMWERT",(IF($J$25="Français","VALEUR D’ÉQUIPE ACTUELLE","TEAM VALUE")))))))</f>
        <v>VALORE SQUADRA</v>
      </c>
      <c r="D32" s="248"/>
      <c r="E32" s="248"/>
      <c r="F32" s="248"/>
      <c r="G32" s="248"/>
      <c r="H32" s="248"/>
      <c r="I32" s="249"/>
      <c r="J32" s="271">
        <f>(J27-(AB21/1000)+(SUM(AQ2:AQ17))-(AN23/2000))</f>
        <v>960</v>
      </c>
      <c r="K32" s="248"/>
      <c r="L32" s="248"/>
      <c r="M32" s="248"/>
      <c r="N32" s="248"/>
      <c r="O32" s="248"/>
      <c r="P32" s="248"/>
      <c r="Q32" s="249"/>
      <c r="R32" s="292" t="str">
        <f>IF($J$25="Italiano","REGOLE SPECIALI",(IF($J$25="Español","REGLA ESPECIAL",(IF($J$25="Deutsch","SONDERREGELN",(IF($J$25="Français","RÈGLES SPÉCIALES","SPECIAL RULES")))))))</f>
        <v>REGOLE SPECIALI</v>
      </c>
      <c r="S32" s="248"/>
      <c r="T32" s="248"/>
      <c r="U32" s="248"/>
      <c r="V32" s="249"/>
      <c r="W32" s="296" t="str">
        <f>IFERROR(VLOOKUP(BO1,BL:BU,8,0),"")</f>
        <v>Underworld Challenge, Bribery and Corruption and Low Cost Linemen</v>
      </c>
      <c r="X32" s="248"/>
      <c r="Y32" s="248"/>
      <c r="Z32" s="248"/>
      <c r="AA32" s="248"/>
      <c r="AB32" s="248"/>
      <c r="AC32" s="248"/>
      <c r="AD32" s="248"/>
      <c r="AE32" s="248"/>
      <c r="AF32" s="248"/>
      <c r="AG32" s="248"/>
      <c r="AH32" s="248"/>
      <c r="AI32" s="263"/>
      <c r="AJ32" s="297" t="s">
        <v>222</v>
      </c>
      <c r="AK32" s="248"/>
      <c r="AL32" s="263"/>
      <c r="AM32" s="295"/>
      <c r="AN32" s="248"/>
      <c r="AO32" s="249"/>
      <c r="AP32" s="240"/>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2"/>
      <c r="BZ32" s="2"/>
      <c r="CA32" s="2"/>
      <c r="CB32" s="2"/>
      <c r="CC32" s="12"/>
      <c r="CD32" s="11"/>
      <c r="CE32" s="11" t="s">
        <v>222</v>
      </c>
      <c r="CF32" s="11"/>
      <c r="CG32" s="45"/>
      <c r="CH32" s="45"/>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312" t="str">
        <f>IF(J25="Italiano","v4.3 - Creato da dreamscreator",(IF(J25="Español","v4.3 - Creado por dreamscreator",(IF(J25="Deutsch","v4.3 - Erstellt von dreamscreator",(IF(J25="Français","v4.3 Créé par dreamscreator","v4.3 - Created by dreamscreator")))))))</f>
        <v>v4.3 - Creato da dreamscreator</v>
      </c>
      <c r="B33" s="313"/>
      <c r="C33" s="313"/>
      <c r="D33" s="313"/>
      <c r="E33" s="314"/>
      <c r="F33" s="315" t="str">
        <f>B60&amp;B61&amp;B62&amp;B63&amp;B64&amp;B65&amp;B66</f>
        <v/>
      </c>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4"/>
      <c r="AP33" s="240"/>
      <c r="AQ33" s="11"/>
      <c r="AR33" s="46"/>
      <c r="AS33" s="12"/>
      <c r="AT33" s="46"/>
      <c r="AU33" s="46"/>
      <c r="AV33" s="46"/>
      <c r="AW33" s="46"/>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5"/>
      <c r="CF33" s="45"/>
      <c r="CG33" s="45"/>
      <c r="CH33" s="45"/>
      <c r="CI33" s="2"/>
      <c r="CJ33" s="2"/>
      <c r="CK33" s="2"/>
      <c r="CL33" s="2"/>
      <c r="CM33" s="2"/>
      <c r="CN33" s="2"/>
      <c r="CO33" s="2"/>
      <c r="CP33" s="2"/>
      <c r="CQ33" s="2"/>
      <c r="CR33" s="2"/>
      <c r="CS33" s="2"/>
      <c r="CT33" s="2"/>
      <c r="CU33" s="2"/>
      <c r="CV33" s="2"/>
      <c r="CW33" s="2"/>
      <c r="CX33" s="2"/>
      <c r="CY33" s="2"/>
      <c r="CZ33" s="2"/>
      <c r="DA33" s="2"/>
      <c r="DB33" s="2"/>
    </row>
    <row r="34" spans="1:106" ht="23.25" customHeight="1">
      <c r="A34" s="305"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252"/>
      <c r="C34" s="252"/>
      <c r="D34" s="252"/>
      <c r="E34" s="253"/>
      <c r="F34" s="304" t="str">
        <f>IF(J25="Italiano","AVANZAMENTO GIOCATORI",(IF(J25="Español","MEJORAS DE LOS JUGADORES",(IF(J25="Deutsch","SPIELERVERBESSERUNGEN",(IF(J25="Français","AMÉLIORATIONS DE JOUEURS","PLAYERS UPGRADES")))))))</f>
        <v>AVANZAMENTO GIOCATORI</v>
      </c>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3"/>
      <c r="AK34" s="47"/>
      <c r="AL34" s="47"/>
      <c r="AM34" s="47"/>
      <c r="AN34" s="47"/>
      <c r="AO34" s="47"/>
      <c r="AP34" s="240"/>
      <c r="AQ34" s="11"/>
      <c r="AR34" s="46"/>
      <c r="AS34" s="12"/>
      <c r="AT34" s="46"/>
      <c r="AU34" s="46"/>
      <c r="AV34" s="46"/>
      <c r="AW34" s="46"/>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306" t="s">
        <v>51</v>
      </c>
      <c r="B35" s="308" t="str">
        <f>IF($J$25="Italiano","TIPO",(IF($J$25="Español","TIPO",(IF($J$25="Deutsch","POSITION",(IF($J$25="Français","POSTE","TYPE")))))))</f>
        <v>TIPO</v>
      </c>
      <c r="C35" s="283" t="str">
        <f>IF($J$25="Italiano","Avanzamento 1",(IF($J$25="Español","Mejora 1",(IF($J$25="Deutsch","Verbes- serung 1",(IF($J$25="Français","Amélioration 1","Upgrade 1")))))))</f>
        <v>Avanzamento 1</v>
      </c>
      <c r="D35" s="285"/>
      <c r="E35" s="283" t="str">
        <f>IF($J$25="Italiano","Scelto o Casuale",(IF($J$25="Español","Elegida o Aleatoria",(IF($J$25="Deutsch","Ausge- wählt oder zufällig",(IF($J$25="Français","Choisie ou Aléatoire ","Chosen or Random")))))))</f>
        <v>Scelto o Casuale</v>
      </c>
      <c r="F35" s="285"/>
      <c r="G35" s="283" t="str">
        <f>IF($J$25="Italiano","Avanzamento 2",(IF($J$25="Español","Mejora 2",(IF($J$25="Deutsch","Verbes- serung 2",(IF($J$25="Français","Amélioration 2","Upgrade 2")))))))</f>
        <v>Avanzamento 2</v>
      </c>
      <c r="H35" s="284"/>
      <c r="I35" s="284"/>
      <c r="J35" s="285"/>
      <c r="K35" s="283" t="str">
        <f>IF($J$25="Italiano","Scelto o Casuale",(IF($J$25="Español","Elegida o Aleatoria",(IF($J$25="Deutsch","Ausge- wählt oder zufällig",(IF($J$25="Français","Choisie ou Aléatoire ","Chosen or Random")))))))</f>
        <v>Scelto o Casuale</v>
      </c>
      <c r="L35" s="285"/>
      <c r="M35" s="283" t="str">
        <f>IF($J$25="Italiano","Avanzamento 3",(IF($J$25="Español","Mejora 3",(IF($J$25="Deutsch","Verbes- serung 3",(IF($J$25="Français","Amélioration 3","Upgrade 3")))))))</f>
        <v>Avanzamento 3</v>
      </c>
      <c r="N35" s="285"/>
      <c r="O35" s="283" t="str">
        <f>IF($J$25="Italiano","Scelto o Casuale",(IF($J$25="Español","Elegida o Aleatoria",(IF($J$25="Deutsch","Ausge- wählt oder zufällig",(IF($J$25="Français","Choisie ou Aléatoire ","Chosen or Random")))))))</f>
        <v>Scelto o Casuale</v>
      </c>
      <c r="P35" s="285"/>
      <c r="Q35" s="283" t="str">
        <f>IF($J$25="Italiano","Avanzamento 4",(IF($J$25="Español","Mejora 4",(IF($J$25="Deutsch","Verbes- serung 4",(IF($J$25="Français","Amélioration 4","Upgrade 4")))))))</f>
        <v>Avanzamento 4</v>
      </c>
      <c r="R35" s="285"/>
      <c r="S35" s="283" t="str">
        <f>IF($J$25="Italiano","Scelto o Casuale",(IF($J$25="Español","Elegida o Aleatoria",(IF($J$25="Deutsch","Ausge- wählt oder zufällig",(IF($J$25="Français","Choisie ou Aléatoire ","Chosen or Random")))))))</f>
        <v>Scelto o Casuale</v>
      </c>
      <c r="T35" s="285"/>
      <c r="U35" s="283" t="str">
        <f>IF($J$25="Italiano","Avanzamento 5",(IF($J$25="Español","Mejora 5",(IF($J$25="Deutsch","Verbes- serung 5",(IF($J$25="Français","Amélioration 5","Upgrade 5")))))))</f>
        <v>Avanzamento 5</v>
      </c>
      <c r="V35" s="285"/>
      <c r="W35" s="283" t="str">
        <f>IF($J$25="Italiano","Scelto o Casuale",(IF($J$25="Español","Elegida o Aleatoria",(IF($J$25="Deutsch","Ausge- wählt oder zufällig",(IF($J$25="Français","Choisie ou Aléatoire ","Chosen or Random")))))))</f>
        <v>Scelto o Casuale</v>
      </c>
      <c r="X35" s="285"/>
      <c r="Y35" s="283" t="str">
        <f>IF($J$25="Italiano","Avanzamento 6",(IF($J$25="Español","Mejora 6",(IF($J$25="Deutsch","Verbes- serung 6",(IF($J$25="Français","Amélioration 6","Upgrade 6")))))))</f>
        <v>Avanzamento 6</v>
      </c>
      <c r="Z35" s="285"/>
      <c r="AA35" s="283" t="str">
        <f>IF($J$25="Italiano","Scelto o Casuale",(IF($J$25="Español","Elegida o Aleatoria",(IF($J$25="Deutsch","Ausge- wählt oder zufällig",(IF($J$25="Français","Choisie ou Aléatoire ","Chosen or Random")))))))</f>
        <v>Scelto o Casuale</v>
      </c>
      <c r="AB35" s="285"/>
      <c r="AC35" s="283" t="str">
        <f>IF($J$25="Italiano","Modifica Manuale Valore",(IF($J$25="Español","Modificar valor manual",(IF($J$25="Deutsch","Manuelle Wertän- derung",(IF($J$25="Français","Modif. manuelle de Valeur","Manual Modify Value")))))))</f>
        <v>Modifica Manuale Valore</v>
      </c>
      <c r="AD35" s="285"/>
      <c r="AE35" s="283" t="str">
        <f>IF($J$25="Italiano","Modifica Manuale SPP",(IF($J$25="Español","Modificar SPP manual",(IF($J$25="Deutsch","Manuelle SPP derung",(IF($J$25="Français","Modif. manuelle de SPP","Manual Modify SPP")))))))</f>
        <v>Modifica Manuale SPP</v>
      </c>
      <c r="AF35" s="285"/>
      <c r="AG35" s="283" t="str">
        <f>IF($J$25="Italiano","Valore Extra",(IF($J$25="Español","Valor extra",(IF($J$25="Deutsch","Extra Wert",(IF($J$25="Français","Hausse de Valeur","Value Extra")))))))</f>
        <v>Valore Extra</v>
      </c>
      <c r="AH35" s="285"/>
      <c r="AI35" s="289" t="str">
        <f>IF($J$25="Italiano","Costo SPP",(IF($J$25="Español","Coste",(IF($J$25="Deutsch","Σ SPP",(IF($J$25="Français","Coût en PSP","SPP Cost")))))))</f>
        <v>Costo SPP</v>
      </c>
      <c r="AJ35" s="291" t="str">
        <f>IF($J$25="Italiano","Infortuni",(IF($J$25="Español","Lesiones",(IF($J$25="Deutsch","Verletzungen",(IF($J$25="Français","Blessures","Injuries")))))))</f>
        <v>Infortuni</v>
      </c>
      <c r="AK35" s="248"/>
      <c r="AL35" s="248"/>
      <c r="AM35" s="248"/>
      <c r="AN35" s="248"/>
      <c r="AO35" s="249"/>
      <c r="AP35" s="240"/>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9"/>
      <c r="CF35" s="49"/>
      <c r="CG35" s="49"/>
      <c r="CH35" s="49"/>
      <c r="CI35" s="48"/>
      <c r="CJ35" s="48"/>
      <c r="CK35" s="48"/>
      <c r="CL35" s="48"/>
      <c r="CM35" s="48"/>
      <c r="CN35" s="48"/>
      <c r="CO35" s="48"/>
      <c r="CP35" s="48"/>
      <c r="CQ35" s="48"/>
      <c r="CR35" s="48"/>
      <c r="CS35" s="48"/>
      <c r="CT35" s="48"/>
      <c r="CU35" s="48"/>
      <c r="CV35" s="48"/>
      <c r="CW35" s="48"/>
      <c r="CX35" s="48"/>
      <c r="CY35" s="48"/>
      <c r="CZ35" s="48"/>
      <c r="DA35" s="48"/>
      <c r="DB35" s="48"/>
    </row>
    <row r="36" spans="1:106" ht="26.25" customHeight="1">
      <c r="A36" s="307"/>
      <c r="B36" s="290"/>
      <c r="C36" s="286"/>
      <c r="D36" s="288"/>
      <c r="E36" s="286"/>
      <c r="F36" s="288"/>
      <c r="G36" s="286"/>
      <c r="H36" s="287"/>
      <c r="I36" s="287"/>
      <c r="J36" s="288"/>
      <c r="K36" s="286"/>
      <c r="L36" s="288"/>
      <c r="M36" s="286"/>
      <c r="N36" s="288"/>
      <c r="O36" s="286"/>
      <c r="P36" s="288"/>
      <c r="Q36" s="286"/>
      <c r="R36" s="288"/>
      <c r="S36" s="286"/>
      <c r="T36" s="288"/>
      <c r="U36" s="286"/>
      <c r="V36" s="288"/>
      <c r="W36" s="286"/>
      <c r="X36" s="288"/>
      <c r="Y36" s="286"/>
      <c r="Z36" s="288"/>
      <c r="AA36" s="286"/>
      <c r="AB36" s="288"/>
      <c r="AC36" s="286"/>
      <c r="AD36" s="288"/>
      <c r="AE36" s="286"/>
      <c r="AF36" s="288"/>
      <c r="AG36" s="286"/>
      <c r="AH36" s="288"/>
      <c r="AI36" s="290"/>
      <c r="AJ36" s="50" t="str">
        <f>IF($J$25="Español","LP",(IF($J$25="Deutsch","HV",(IF($J$25="Français","BP","NI")))))</f>
        <v>NI</v>
      </c>
      <c r="AK36" s="50" t="str">
        <f>IF($J$25="Español","MO",(IF($J$25="Deutsch","BE",(IF($J$25="Français","M","MA")))))</f>
        <v>MA</v>
      </c>
      <c r="AL36" s="50" t="str">
        <f>IF($J$25="Español","FU",IF($J$25="Français","F","ST"))</f>
        <v>ST</v>
      </c>
      <c r="AM36" s="50" t="str">
        <f>IF($J$25="Deutsch","WG",(IF($J$25="Français","CP","PA")))</f>
        <v>PA</v>
      </c>
      <c r="AN36" s="50" t="str">
        <f>IF($J$25="Deutsch","GE","AG")</f>
        <v>AG</v>
      </c>
      <c r="AO36" s="50" t="str">
        <f>IF($J$25="Español","AR",(IF($J$25="Deutsch","RW",(IF($J$25="Français","AR","AV")))))</f>
        <v>AV</v>
      </c>
      <c r="AP36" s="240"/>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9"/>
      <c r="CF36" s="49"/>
      <c r="CG36" s="49"/>
      <c r="CH36" s="49"/>
      <c r="CI36" s="48"/>
      <c r="CJ36" s="48"/>
      <c r="CK36" s="48"/>
      <c r="CL36" s="48"/>
      <c r="CM36" s="48"/>
      <c r="CN36" s="48"/>
      <c r="CO36" s="48"/>
      <c r="CP36" s="48"/>
      <c r="CQ36" s="48"/>
      <c r="CR36" s="48"/>
      <c r="CS36" s="48"/>
      <c r="CT36" s="48"/>
      <c r="CU36" s="48"/>
      <c r="CV36" s="48"/>
      <c r="CW36" s="48"/>
      <c r="CX36" s="48"/>
      <c r="CY36" s="48"/>
      <c r="CZ36" s="48"/>
      <c r="DA36" s="48"/>
      <c r="DB36" s="48"/>
    </row>
    <row r="37" spans="1:106" ht="22.5" customHeight="1">
      <c r="A37" s="8">
        <v>1</v>
      </c>
      <c r="B37" s="51" t="str">
        <f t="shared" ref="B37:B52" si="60">C2</f>
        <v>Fungus Flinga</v>
      </c>
      <c r="C37" s="259" t="s">
        <v>222</v>
      </c>
      <c r="D37" s="249"/>
      <c r="E37" s="259"/>
      <c r="F37" s="249"/>
      <c r="G37" s="259"/>
      <c r="H37" s="248"/>
      <c r="I37" s="248"/>
      <c r="J37" s="249"/>
      <c r="K37" s="256"/>
      <c r="L37" s="249"/>
      <c r="M37" s="259"/>
      <c r="N37" s="249"/>
      <c r="O37" s="256"/>
      <c r="P37" s="249"/>
      <c r="Q37" s="259"/>
      <c r="R37" s="249"/>
      <c r="S37" s="256"/>
      <c r="T37" s="249"/>
      <c r="U37" s="259"/>
      <c r="V37" s="249"/>
      <c r="W37" s="256"/>
      <c r="X37" s="249"/>
      <c r="Y37" s="259"/>
      <c r="Z37" s="249"/>
      <c r="AA37" s="256"/>
      <c r="AB37" s="249"/>
      <c r="AC37" s="257"/>
      <c r="AD37" s="249"/>
      <c r="AE37" s="279"/>
      <c r="AF37" s="249"/>
      <c r="AG37" s="258">
        <f t="shared" ref="AG37:AG52" si="61">IFERROR(BI40+AC37,0)</f>
        <v>0</v>
      </c>
      <c r="AH37" s="249"/>
      <c r="AI37" s="52">
        <f t="shared" ref="AI37:AI52" si="62">IFERROR(SUM(CU40:CZ40)+AE37,0)</f>
        <v>0</v>
      </c>
      <c r="AJ37" s="53">
        <v>0</v>
      </c>
      <c r="AK37" s="54">
        <v>0</v>
      </c>
      <c r="AL37" s="54">
        <v>0</v>
      </c>
      <c r="AM37" s="54">
        <v>0</v>
      </c>
      <c r="AN37" s="54">
        <v>0</v>
      </c>
      <c r="AO37" s="54">
        <v>0</v>
      </c>
      <c r="AP37" s="240"/>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9"/>
      <c r="CF37" s="49"/>
      <c r="CG37" s="49"/>
      <c r="CH37" s="49"/>
      <c r="CI37" s="48"/>
      <c r="CJ37" s="48"/>
      <c r="CK37" s="48"/>
      <c r="CL37" s="48"/>
      <c r="CM37" s="48"/>
      <c r="CN37" s="48"/>
      <c r="CO37" s="48"/>
      <c r="CP37" s="48"/>
      <c r="CQ37" s="48"/>
      <c r="CR37" s="48"/>
      <c r="CS37" s="48"/>
      <c r="CT37" s="48"/>
      <c r="CU37" s="48"/>
      <c r="CV37" s="48"/>
      <c r="CW37" s="48"/>
      <c r="CX37" s="48"/>
      <c r="CY37" s="48"/>
      <c r="CZ37" s="48"/>
      <c r="DA37" s="48"/>
      <c r="DB37" s="48"/>
    </row>
    <row r="38" spans="1:106" ht="22.5" customHeight="1">
      <c r="A38" s="8">
        <v>2</v>
      </c>
      <c r="B38" s="51" t="str">
        <f t="shared" si="60"/>
        <v>Fungus Flinga</v>
      </c>
      <c r="C38" s="256"/>
      <c r="D38" s="249"/>
      <c r="E38" s="256"/>
      <c r="F38" s="249"/>
      <c r="G38" s="256"/>
      <c r="H38" s="248"/>
      <c r="I38" s="248"/>
      <c r="J38" s="249"/>
      <c r="K38" s="256"/>
      <c r="L38" s="249"/>
      <c r="M38" s="256"/>
      <c r="N38" s="249"/>
      <c r="O38" s="256"/>
      <c r="P38" s="249"/>
      <c r="Q38" s="256"/>
      <c r="R38" s="249"/>
      <c r="S38" s="256"/>
      <c r="T38" s="249"/>
      <c r="U38" s="256"/>
      <c r="V38" s="249"/>
      <c r="W38" s="256"/>
      <c r="X38" s="249"/>
      <c r="Y38" s="256"/>
      <c r="Z38" s="249"/>
      <c r="AA38" s="256"/>
      <c r="AB38" s="249"/>
      <c r="AC38" s="257"/>
      <c r="AD38" s="249"/>
      <c r="AE38" s="279"/>
      <c r="AF38" s="249"/>
      <c r="AG38" s="258">
        <f t="shared" si="61"/>
        <v>0</v>
      </c>
      <c r="AH38" s="249"/>
      <c r="AI38" s="52">
        <f t="shared" si="62"/>
        <v>0</v>
      </c>
      <c r="AJ38" s="53">
        <v>0</v>
      </c>
      <c r="AK38" s="54">
        <v>0</v>
      </c>
      <c r="AL38" s="54">
        <v>0</v>
      </c>
      <c r="AM38" s="54">
        <v>0</v>
      </c>
      <c r="AN38" s="54">
        <v>0</v>
      </c>
      <c r="AO38" s="54">
        <v>0</v>
      </c>
      <c r="AP38" s="240"/>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9"/>
      <c r="CF38" s="49"/>
      <c r="CG38" s="49"/>
      <c r="CH38" s="49"/>
      <c r="CI38" s="48"/>
      <c r="CJ38" s="48"/>
      <c r="CK38" s="48"/>
      <c r="CL38" s="48"/>
      <c r="CM38" s="48"/>
      <c r="CN38" s="48"/>
      <c r="CO38" s="48"/>
      <c r="CP38" s="48"/>
      <c r="CQ38" s="48"/>
      <c r="CR38" s="48"/>
      <c r="CS38" s="48"/>
      <c r="CT38" s="48"/>
      <c r="CU38" s="48"/>
      <c r="CV38" s="48"/>
      <c r="CW38" s="48"/>
      <c r="CX38" s="48"/>
      <c r="CY38" s="48"/>
      <c r="CZ38" s="48"/>
      <c r="DA38" s="48"/>
      <c r="DB38" s="48"/>
    </row>
    <row r="39" spans="1:106" ht="22.5" customHeight="1">
      <c r="A39" s="8">
        <v>3</v>
      </c>
      <c r="B39" s="55" t="str">
        <f t="shared" si="60"/>
        <v>Fun-hoppa</v>
      </c>
      <c r="C39" s="259" t="s">
        <v>1353</v>
      </c>
      <c r="D39" s="249"/>
      <c r="E39" s="259" t="s">
        <v>1354</v>
      </c>
      <c r="F39" s="249"/>
      <c r="G39" s="259"/>
      <c r="H39" s="248"/>
      <c r="I39" s="248"/>
      <c r="J39" s="249"/>
      <c r="K39" s="256"/>
      <c r="L39" s="249"/>
      <c r="M39" s="259"/>
      <c r="N39" s="249"/>
      <c r="O39" s="256"/>
      <c r="P39" s="249"/>
      <c r="Q39" s="259"/>
      <c r="R39" s="249"/>
      <c r="S39" s="256"/>
      <c r="T39" s="249"/>
      <c r="U39" s="259"/>
      <c r="V39" s="249"/>
      <c r="W39" s="256"/>
      <c r="X39" s="249"/>
      <c r="Y39" s="259"/>
      <c r="Z39" s="249"/>
      <c r="AA39" s="256"/>
      <c r="AB39" s="249"/>
      <c r="AC39" s="257"/>
      <c r="AD39" s="249"/>
      <c r="AE39" s="279"/>
      <c r="AF39" s="249"/>
      <c r="AG39" s="258">
        <f t="shared" si="61"/>
        <v>10000</v>
      </c>
      <c r="AH39" s="249"/>
      <c r="AI39" s="52">
        <f t="shared" si="62"/>
        <v>3</v>
      </c>
      <c r="AJ39" s="53">
        <v>0</v>
      </c>
      <c r="AK39" s="54">
        <v>0</v>
      </c>
      <c r="AL39" s="54">
        <v>0</v>
      </c>
      <c r="AM39" s="54">
        <v>0</v>
      </c>
      <c r="AN39" s="54">
        <v>0</v>
      </c>
      <c r="AO39" s="54">
        <v>0</v>
      </c>
      <c r="AP39" s="240"/>
      <c r="AQ39" s="48"/>
      <c r="AR39" s="48"/>
      <c r="AS39" s="48"/>
      <c r="AT39" s="48"/>
      <c r="AU39" s="48"/>
      <c r="AV39" s="48"/>
      <c r="AW39" s="48"/>
      <c r="AX39" s="49" t="s">
        <v>223</v>
      </c>
      <c r="AY39" s="25" t="s">
        <v>224</v>
      </c>
      <c r="AZ39" s="25" t="s">
        <v>225</v>
      </c>
      <c r="BA39" s="25" t="s">
        <v>226</v>
      </c>
      <c r="BB39" s="25" t="s">
        <v>227</v>
      </c>
      <c r="BC39" s="25" t="s">
        <v>228</v>
      </c>
      <c r="BD39" s="25" t="s">
        <v>229</v>
      </c>
      <c r="BE39" s="25" t="s">
        <v>230</v>
      </c>
      <c r="BF39" s="25" t="s">
        <v>231</v>
      </c>
      <c r="BG39" s="25" t="s">
        <v>232</v>
      </c>
      <c r="BH39" s="25" t="s">
        <v>233</v>
      </c>
      <c r="BI39" s="25" t="s">
        <v>234</v>
      </c>
      <c r="BJ39" s="12"/>
      <c r="BK39" s="278" t="s">
        <v>235</v>
      </c>
      <c r="BL39" s="277"/>
      <c r="BM39" s="277"/>
      <c r="BN39" s="277"/>
      <c r="BO39" s="277"/>
      <c r="BP39" s="277"/>
      <c r="BQ39" s="12"/>
      <c r="BR39" s="12"/>
      <c r="BS39" s="278" t="s">
        <v>236</v>
      </c>
      <c r="BT39" s="277"/>
      <c r="BU39" s="277"/>
      <c r="BV39" s="277"/>
      <c r="BW39" s="277"/>
      <c r="BX39" s="277"/>
      <c r="BY39" s="12"/>
      <c r="BZ39" s="278" t="s">
        <v>237</v>
      </c>
      <c r="CA39" s="277"/>
      <c r="CB39" s="277"/>
      <c r="CC39" s="277"/>
      <c r="CD39" s="277"/>
      <c r="CE39" s="277"/>
      <c r="CF39" s="12"/>
      <c r="CG39" s="278" t="s">
        <v>238</v>
      </c>
      <c r="CH39" s="277"/>
      <c r="CI39" s="277"/>
      <c r="CJ39" s="277"/>
      <c r="CK39" s="277"/>
      <c r="CL39" s="277"/>
      <c r="CM39" s="12"/>
      <c r="CN39" s="278" t="s">
        <v>239</v>
      </c>
      <c r="CO39" s="277"/>
      <c r="CP39" s="277"/>
      <c r="CQ39" s="277"/>
      <c r="CR39" s="277"/>
      <c r="CS39" s="277"/>
      <c r="CT39" s="12"/>
      <c r="CU39" s="278" t="s">
        <v>240</v>
      </c>
      <c r="CV39" s="277"/>
      <c r="CW39" s="277"/>
      <c r="CX39" s="277"/>
      <c r="CY39" s="277"/>
      <c r="CZ39" s="277"/>
      <c r="DA39" s="48"/>
      <c r="DB39" s="48"/>
    </row>
    <row r="40" spans="1:106" ht="22.5" customHeight="1">
      <c r="A40" s="8">
        <v>4</v>
      </c>
      <c r="B40" s="51" t="str">
        <f t="shared" si="60"/>
        <v>Fun-hoppa</v>
      </c>
      <c r="C40" s="256"/>
      <c r="D40" s="249"/>
      <c r="E40" s="256"/>
      <c r="F40" s="249"/>
      <c r="G40" s="256"/>
      <c r="H40" s="248"/>
      <c r="I40" s="248"/>
      <c r="J40" s="249"/>
      <c r="K40" s="256"/>
      <c r="L40" s="249"/>
      <c r="M40" s="256"/>
      <c r="N40" s="249"/>
      <c r="O40" s="256"/>
      <c r="P40" s="249"/>
      <c r="Q40" s="256"/>
      <c r="R40" s="249"/>
      <c r="S40" s="256"/>
      <c r="T40" s="249"/>
      <c r="U40" s="256"/>
      <c r="V40" s="249"/>
      <c r="W40" s="256"/>
      <c r="X40" s="249"/>
      <c r="Y40" s="256"/>
      <c r="Z40" s="249"/>
      <c r="AA40" s="256"/>
      <c r="AB40" s="249"/>
      <c r="AC40" s="257"/>
      <c r="AD40" s="249"/>
      <c r="AE40" s="279"/>
      <c r="AF40" s="249"/>
      <c r="AG40" s="258">
        <f t="shared" si="61"/>
        <v>0</v>
      </c>
      <c r="AH40" s="249"/>
      <c r="AI40" s="52">
        <f t="shared" si="62"/>
        <v>0</v>
      </c>
      <c r="AJ40" s="53">
        <v>0</v>
      </c>
      <c r="AK40" s="54">
        <v>-1</v>
      </c>
      <c r="AL40" s="54">
        <v>0</v>
      </c>
      <c r="AM40" s="54">
        <v>0</v>
      </c>
      <c r="AN40" s="54">
        <v>0</v>
      </c>
      <c r="AO40" s="54">
        <v>0</v>
      </c>
      <c r="AP40" s="240"/>
      <c r="AQ40" s="48"/>
      <c r="AR40" s="48"/>
      <c r="AS40" s="48"/>
      <c r="AT40" s="48"/>
      <c r="AU40" s="48"/>
      <c r="AV40" s="48"/>
      <c r="AW40" s="48"/>
      <c r="AX40" s="12" t="str">
        <f t="shared" ref="AX40:AX55" si="63">B37</f>
        <v>Fungus Flinga</v>
      </c>
      <c r="AY40" s="12" t="str">
        <f>IFERROR((VLOOKUP($BO$1&amp;B37,Teams!D:S,12,0)),0)</f>
        <v>S</v>
      </c>
      <c r="AZ40" s="12" t="str">
        <f>IFERROR((VLOOKUP($BO$1&amp;B37,Teams!D:S,13,0)),0)</f>
        <v>P</v>
      </c>
      <c r="BA40" s="12" t="str">
        <f>IFERROR((VLOOKUP($BO$1&amp;B37,Teams!D:S,14,0)),0)</f>
        <v>S</v>
      </c>
      <c r="BB40" s="12" t="str">
        <f>IFERROR((VLOOKUP($BO$1&amp;B37,Teams!D:S,15,0)),0)</f>
        <v>P</v>
      </c>
      <c r="BC40" s="12">
        <f>IFERROR((VLOOKUP($BO$1&amp;B37,Teams!D:S,16,0)),0)</f>
        <v>0</v>
      </c>
      <c r="BD40" s="12">
        <v>20000</v>
      </c>
      <c r="BE40" s="12">
        <v>10000</v>
      </c>
      <c r="BF40" s="12">
        <v>40000</v>
      </c>
      <c r="BG40" s="12">
        <v>20000</v>
      </c>
      <c r="BH40" s="12">
        <v>80000</v>
      </c>
      <c r="BI40" s="12">
        <f t="shared" ref="BI40:BI55" si="64">SUM(CG40:CS40)</f>
        <v>0</v>
      </c>
      <c r="BJ40" s="2"/>
      <c r="BK40" s="12">
        <f t="shared" ref="BK40:BK55" si="65">IF(C37="",0,(VLOOKUP(C37,$CB$59:$CD$159,2,0)))</f>
        <v>0</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f t="shared" ref="BS40:BS55" si="71">(IF(BK40="G",AY40,IF(BK40="A",AZ40,IF(BK40="S",BA40,IF(BK40="P",BB40,IF(BK40="M",BC40,IF(BK40="X",0,IF(OR(BK40="MA",BK40="AV",BK40="ST",BK40="PA",BK40="AG"),"STAT",0))))))))</f>
        <v>0</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f t="shared" ref="BZ40:BZ55" si="77">IF(E37="Chosen","Chosen",(IF(E37="Scelto","Chosen",(IF(E37="Elegida","Chosen",(IF(E37="Gewählt","Chosen",(IF(E37="Choisie","Chosen",(IF(E37="Random","Random",(IF(E37="Casuale","Random",(IF(E37="Aleatoria","Random",(IF(E37="Zufällig","Random",(IF(E37="Aléatoire","Random",0)))))))))))))))))))</f>
        <v>0</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0</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48"/>
      <c r="DB40" s="48"/>
    </row>
    <row r="41" spans="1:106" ht="22.5" customHeight="1">
      <c r="A41" s="8">
        <v>5</v>
      </c>
      <c r="B41" s="51" t="str">
        <f t="shared" si="60"/>
        <v>Stilty Runna</v>
      </c>
      <c r="C41" s="256" t="s">
        <v>222</v>
      </c>
      <c r="D41" s="249"/>
      <c r="E41" s="256"/>
      <c r="F41" s="249"/>
      <c r="G41" s="256"/>
      <c r="H41" s="248"/>
      <c r="I41" s="248"/>
      <c r="J41" s="249"/>
      <c r="K41" s="256"/>
      <c r="L41" s="249"/>
      <c r="M41" s="256"/>
      <c r="N41" s="249"/>
      <c r="O41" s="256"/>
      <c r="P41" s="249"/>
      <c r="Q41" s="256"/>
      <c r="R41" s="249"/>
      <c r="S41" s="256"/>
      <c r="T41" s="249"/>
      <c r="U41" s="256"/>
      <c r="V41" s="249"/>
      <c r="W41" s="256"/>
      <c r="X41" s="249"/>
      <c r="Y41" s="256"/>
      <c r="Z41" s="249"/>
      <c r="AA41" s="256"/>
      <c r="AB41" s="249"/>
      <c r="AC41" s="257"/>
      <c r="AD41" s="249"/>
      <c r="AE41" s="257"/>
      <c r="AF41" s="249"/>
      <c r="AG41" s="258">
        <f t="shared" si="61"/>
        <v>0</v>
      </c>
      <c r="AH41" s="249"/>
      <c r="AI41" s="52">
        <f t="shared" si="62"/>
        <v>0</v>
      </c>
      <c r="AJ41" s="53">
        <v>0</v>
      </c>
      <c r="AK41" s="54">
        <v>0</v>
      </c>
      <c r="AL41" s="54">
        <v>0</v>
      </c>
      <c r="AM41" s="54">
        <v>0</v>
      </c>
      <c r="AN41" s="54">
        <v>0</v>
      </c>
      <c r="AO41" s="54">
        <v>0</v>
      </c>
      <c r="AP41" s="240"/>
      <c r="AQ41" s="48"/>
      <c r="AR41" s="48"/>
      <c r="AS41" s="48"/>
      <c r="AT41" s="48"/>
      <c r="AU41" s="48"/>
      <c r="AV41" s="48"/>
      <c r="AW41" s="48"/>
      <c r="AX41" s="12" t="str">
        <f t="shared" si="63"/>
        <v>Fungus Flinga</v>
      </c>
      <c r="AY41" s="12" t="str">
        <f>IFERROR((VLOOKUP($BO$1&amp;B38,Teams!D:S,12,0)),0)</f>
        <v>S</v>
      </c>
      <c r="AZ41" s="12" t="str">
        <f>IFERROR((VLOOKUP($BO$1&amp;B38,Teams!D:S,13,0)),0)</f>
        <v>P</v>
      </c>
      <c r="BA41" s="12" t="str">
        <f>IFERROR((VLOOKUP($BO$1&amp;B38,Teams!D:S,14,0)),0)</f>
        <v>S</v>
      </c>
      <c r="BB41" s="12" t="str">
        <f>IFERROR((VLOOKUP($BO$1&amp;B38,Teams!D:S,15,0)),0)</f>
        <v>P</v>
      </c>
      <c r="BC41" s="12">
        <f>IFERROR((VLOOKUP($BO$1&amp;B38,Teams!D:S,16,0)),0)</f>
        <v>0</v>
      </c>
      <c r="BD41" s="12">
        <v>20000</v>
      </c>
      <c r="BE41" s="12">
        <v>10000</v>
      </c>
      <c r="BF41" s="12">
        <v>40000</v>
      </c>
      <c r="BG41" s="12">
        <v>20000</v>
      </c>
      <c r="BH41" s="12">
        <v>80000</v>
      </c>
      <c r="BI41" s="12">
        <f t="shared" si="64"/>
        <v>0</v>
      </c>
      <c r="BJ41" s="2"/>
      <c r="BK41" s="12">
        <f t="shared" si="65"/>
        <v>0</v>
      </c>
      <c r="BL41" s="12">
        <f t="shared" si="66"/>
        <v>0</v>
      </c>
      <c r="BM41" s="12">
        <f t="shared" si="67"/>
        <v>0</v>
      </c>
      <c r="BN41" s="12">
        <f t="shared" si="68"/>
        <v>0</v>
      </c>
      <c r="BO41" s="12">
        <f t="shared" si="69"/>
        <v>0</v>
      </c>
      <c r="BP41" s="12">
        <f t="shared" si="70"/>
        <v>0</v>
      </c>
      <c r="BQ41" s="2"/>
      <c r="BR41" s="2"/>
      <c r="BS41" s="12">
        <f t="shared" si="71"/>
        <v>0</v>
      </c>
      <c r="BT41" s="12">
        <f t="shared" si="72"/>
        <v>0</v>
      </c>
      <c r="BU41" s="12">
        <f t="shared" si="73"/>
        <v>0</v>
      </c>
      <c r="BV41" s="12">
        <f t="shared" si="74"/>
        <v>0</v>
      </c>
      <c r="BW41" s="12">
        <f t="shared" si="75"/>
        <v>0</v>
      </c>
      <c r="BX41" s="12">
        <f t="shared" si="76"/>
        <v>0</v>
      </c>
      <c r="BY41" s="12"/>
      <c r="BZ41" s="12">
        <f t="shared" si="77"/>
        <v>0</v>
      </c>
      <c r="CA41" s="12">
        <f t="shared" si="78"/>
        <v>0</v>
      </c>
      <c r="CB41" s="12">
        <f t="shared" si="79"/>
        <v>0</v>
      </c>
      <c r="CC41" s="12">
        <f t="shared" si="80"/>
        <v>0</v>
      </c>
      <c r="CD41" s="12">
        <f t="shared" si="81"/>
        <v>0</v>
      </c>
      <c r="CE41" s="12">
        <f t="shared" si="82"/>
        <v>0</v>
      </c>
      <c r="CF41" s="12"/>
      <c r="CG41" s="12">
        <f t="shared" ref="CG41:CL41" si="91">IF(AND(BS41="P",BZ41="Random"),10000,IF(AND(BS41="P",BZ41="Chosen"),20000,IF(AND(BS41="S",BZ41="Random"),20000,IF(AND(BS41="S",BZ41="Chosen"),40000,0))))</f>
        <v>0</v>
      </c>
      <c r="CH41" s="12">
        <f t="shared" si="91"/>
        <v>0</v>
      </c>
      <c r="CI41" s="12">
        <f t="shared" si="91"/>
        <v>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0</v>
      </c>
      <c r="CV41" s="12">
        <f t="shared" si="86"/>
        <v>0</v>
      </c>
      <c r="CW41" s="12">
        <f t="shared" si="87"/>
        <v>0</v>
      </c>
      <c r="CX41" s="12">
        <f t="shared" si="88"/>
        <v>0</v>
      </c>
      <c r="CY41" s="12">
        <f t="shared" si="89"/>
        <v>0</v>
      </c>
      <c r="CZ41" s="12">
        <f t="shared" si="90"/>
        <v>0</v>
      </c>
      <c r="DA41" s="48"/>
      <c r="DB41" s="48"/>
    </row>
    <row r="42" spans="1:106" ht="22.5" customHeight="1">
      <c r="A42" s="8">
        <v>6</v>
      </c>
      <c r="B42" s="51" t="str">
        <f t="shared" si="60"/>
        <v>Stilty Runna</v>
      </c>
      <c r="C42" s="256"/>
      <c r="D42" s="249"/>
      <c r="E42" s="256"/>
      <c r="F42" s="249"/>
      <c r="G42" s="256"/>
      <c r="H42" s="248"/>
      <c r="I42" s="248"/>
      <c r="J42" s="249"/>
      <c r="K42" s="256"/>
      <c r="L42" s="249"/>
      <c r="M42" s="256"/>
      <c r="N42" s="249"/>
      <c r="O42" s="256"/>
      <c r="P42" s="249"/>
      <c r="Q42" s="256"/>
      <c r="R42" s="249"/>
      <c r="S42" s="256"/>
      <c r="T42" s="249"/>
      <c r="U42" s="256"/>
      <c r="V42" s="249"/>
      <c r="W42" s="256"/>
      <c r="X42" s="249"/>
      <c r="Y42" s="256"/>
      <c r="Z42" s="249"/>
      <c r="AA42" s="256"/>
      <c r="AB42" s="249"/>
      <c r="AC42" s="257"/>
      <c r="AD42" s="249"/>
      <c r="AE42" s="257"/>
      <c r="AF42" s="249"/>
      <c r="AG42" s="258">
        <f t="shared" si="61"/>
        <v>0</v>
      </c>
      <c r="AH42" s="249"/>
      <c r="AI42" s="52">
        <f t="shared" si="62"/>
        <v>0</v>
      </c>
      <c r="AJ42" s="53">
        <v>0</v>
      </c>
      <c r="AK42" s="54">
        <v>0</v>
      </c>
      <c r="AL42" s="54">
        <v>0</v>
      </c>
      <c r="AM42" s="54">
        <v>0</v>
      </c>
      <c r="AN42" s="54">
        <v>0</v>
      </c>
      <c r="AO42" s="54">
        <v>0</v>
      </c>
      <c r="AP42" s="240"/>
      <c r="AQ42" s="48"/>
      <c r="AR42" s="48"/>
      <c r="AS42" s="48"/>
      <c r="AT42" s="48"/>
      <c r="AU42" s="48"/>
      <c r="AV42" s="48"/>
      <c r="AW42" s="48"/>
      <c r="AX42" s="12" t="str">
        <f t="shared" si="63"/>
        <v>Fun-hoppa</v>
      </c>
      <c r="AY42" s="12" t="str">
        <f>IFERROR((VLOOKUP($BO$1&amp;B39,Teams!D:S,12,0)),0)</f>
        <v>S</v>
      </c>
      <c r="AZ42" s="12" t="str">
        <f>IFERROR((VLOOKUP($BO$1&amp;B39,Teams!D:S,13,0)),0)</f>
        <v>P</v>
      </c>
      <c r="BA42" s="12" t="str">
        <f>IFERROR((VLOOKUP($BO$1&amp;B39,Teams!D:S,14,0)),0)</f>
        <v>S</v>
      </c>
      <c r="BB42" s="12">
        <f>IFERROR((VLOOKUP($BO$1&amp;B39,Teams!D:S,15,0)),0)</f>
        <v>0</v>
      </c>
      <c r="BC42" s="12">
        <f>IFERROR((VLOOKUP($BO$1&amp;B39,Teams!D:S,16,0)),0)</f>
        <v>0</v>
      </c>
      <c r="BD42" s="12">
        <v>20000</v>
      </c>
      <c r="BE42" s="12">
        <v>10000</v>
      </c>
      <c r="BF42" s="12">
        <v>40000</v>
      </c>
      <c r="BG42" s="12">
        <v>20000</v>
      </c>
      <c r="BH42" s="12">
        <v>80000</v>
      </c>
      <c r="BI42" s="12">
        <f t="shared" si="64"/>
        <v>10000</v>
      </c>
      <c r="BJ42" s="2"/>
      <c r="BK42" s="12" t="str">
        <f t="shared" si="65"/>
        <v>A</v>
      </c>
      <c r="BL42" s="12">
        <f t="shared" si="66"/>
        <v>0</v>
      </c>
      <c r="BM42" s="12">
        <f t="shared" si="67"/>
        <v>0</v>
      </c>
      <c r="BN42" s="12">
        <f t="shared" si="68"/>
        <v>0</v>
      </c>
      <c r="BO42" s="12">
        <f t="shared" si="69"/>
        <v>0</v>
      </c>
      <c r="BP42" s="12">
        <f t="shared" si="70"/>
        <v>0</v>
      </c>
      <c r="BQ42" s="2"/>
      <c r="BR42" s="2"/>
      <c r="BS42" s="12" t="str">
        <f t="shared" si="71"/>
        <v>P</v>
      </c>
      <c r="BT42" s="12">
        <f t="shared" si="72"/>
        <v>0</v>
      </c>
      <c r="BU42" s="12">
        <f t="shared" si="73"/>
        <v>0</v>
      </c>
      <c r="BV42" s="12">
        <f t="shared" si="74"/>
        <v>0</v>
      </c>
      <c r="BW42" s="12">
        <f t="shared" si="75"/>
        <v>0</v>
      </c>
      <c r="BX42" s="12">
        <f t="shared" si="76"/>
        <v>0</v>
      </c>
      <c r="BY42" s="12"/>
      <c r="BZ42" s="12" t="str">
        <f t="shared" si="77"/>
        <v>Random</v>
      </c>
      <c r="CA42" s="12">
        <f t="shared" si="78"/>
        <v>0</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10000</v>
      </c>
      <c r="CH42" s="12">
        <f t="shared" si="93"/>
        <v>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3</v>
      </c>
      <c r="CV42" s="12">
        <f t="shared" si="86"/>
        <v>0</v>
      </c>
      <c r="CW42" s="12">
        <f t="shared" si="87"/>
        <v>0</v>
      </c>
      <c r="CX42" s="12">
        <f t="shared" si="88"/>
        <v>0</v>
      </c>
      <c r="CY42" s="12">
        <f t="shared" si="89"/>
        <v>0</v>
      </c>
      <c r="CZ42" s="12">
        <f t="shared" si="90"/>
        <v>0</v>
      </c>
      <c r="DA42" s="48"/>
      <c r="DB42" s="48"/>
    </row>
    <row r="43" spans="1:106" ht="22.5" customHeight="1">
      <c r="A43" s="8">
        <v>7</v>
      </c>
      <c r="B43" s="51" t="str">
        <f t="shared" si="60"/>
        <v>Pump Wagon</v>
      </c>
      <c r="C43" s="256"/>
      <c r="D43" s="249"/>
      <c r="E43" s="256"/>
      <c r="F43" s="249"/>
      <c r="G43" s="256"/>
      <c r="H43" s="248"/>
      <c r="I43" s="248"/>
      <c r="J43" s="249"/>
      <c r="K43" s="256"/>
      <c r="L43" s="249"/>
      <c r="M43" s="256"/>
      <c r="N43" s="249"/>
      <c r="O43" s="256"/>
      <c r="P43" s="249"/>
      <c r="Q43" s="256"/>
      <c r="R43" s="249"/>
      <c r="S43" s="256"/>
      <c r="T43" s="249"/>
      <c r="U43" s="256"/>
      <c r="V43" s="249"/>
      <c r="W43" s="256"/>
      <c r="X43" s="249"/>
      <c r="Y43" s="256"/>
      <c r="Z43" s="249"/>
      <c r="AA43" s="256"/>
      <c r="AB43" s="249"/>
      <c r="AC43" s="257"/>
      <c r="AD43" s="249"/>
      <c r="AE43" s="257"/>
      <c r="AF43" s="249"/>
      <c r="AG43" s="258">
        <f t="shared" si="61"/>
        <v>0</v>
      </c>
      <c r="AH43" s="249"/>
      <c r="AI43" s="52">
        <f t="shared" si="62"/>
        <v>0</v>
      </c>
      <c r="AJ43" s="53">
        <v>0</v>
      </c>
      <c r="AK43" s="54">
        <v>0</v>
      </c>
      <c r="AL43" s="54">
        <v>0</v>
      </c>
      <c r="AM43" s="54">
        <v>0</v>
      </c>
      <c r="AN43" s="54">
        <v>0</v>
      </c>
      <c r="AO43" s="54">
        <v>0</v>
      </c>
      <c r="AP43" s="240"/>
      <c r="AQ43" s="48"/>
      <c r="AR43" s="48"/>
      <c r="AS43" s="48"/>
      <c r="AT43" s="48"/>
      <c r="AU43" s="48"/>
      <c r="AV43" s="48"/>
      <c r="AW43" s="48"/>
      <c r="AX43" s="12" t="str">
        <f t="shared" si="63"/>
        <v>Fun-hoppa</v>
      </c>
      <c r="AY43" s="12" t="str">
        <f>IFERROR((VLOOKUP($BO$1&amp;B40,Teams!D:S,12,0)),0)</f>
        <v>S</v>
      </c>
      <c r="AZ43" s="12" t="str">
        <f>IFERROR((VLOOKUP($BO$1&amp;B40,Teams!D:S,13,0)),0)</f>
        <v>P</v>
      </c>
      <c r="BA43" s="12" t="str">
        <f>IFERROR((VLOOKUP($BO$1&amp;B40,Teams!D:S,14,0)),0)</f>
        <v>S</v>
      </c>
      <c r="BB43" s="12">
        <f>IFERROR((VLOOKUP($BO$1&amp;B40,Teams!D:S,15,0)),0)</f>
        <v>0</v>
      </c>
      <c r="BC43" s="12">
        <f>IFERROR((VLOOKUP($BO$1&amp;B40,Teams!D:S,16,0)),0)</f>
        <v>0</v>
      </c>
      <c r="BD43" s="12">
        <v>20000</v>
      </c>
      <c r="BE43" s="12">
        <v>10000</v>
      </c>
      <c r="BF43" s="12">
        <v>40000</v>
      </c>
      <c r="BG43" s="12">
        <v>20000</v>
      </c>
      <c r="BH43" s="12">
        <v>80000</v>
      </c>
      <c r="BI43" s="12">
        <f t="shared" si="64"/>
        <v>0</v>
      </c>
      <c r="BJ43" s="2"/>
      <c r="BK43" s="12">
        <f t="shared" si="65"/>
        <v>0</v>
      </c>
      <c r="BL43" s="12">
        <f t="shared" si="66"/>
        <v>0</v>
      </c>
      <c r="BM43" s="12">
        <f t="shared" si="67"/>
        <v>0</v>
      </c>
      <c r="BN43" s="12">
        <f t="shared" si="68"/>
        <v>0</v>
      </c>
      <c r="BO43" s="12">
        <f t="shared" si="69"/>
        <v>0</v>
      </c>
      <c r="BP43" s="12">
        <f t="shared" si="70"/>
        <v>0</v>
      </c>
      <c r="BQ43" s="2"/>
      <c r="BR43" s="2"/>
      <c r="BS43" s="12">
        <f t="shared" si="71"/>
        <v>0</v>
      </c>
      <c r="BT43" s="12">
        <f t="shared" si="72"/>
        <v>0</v>
      </c>
      <c r="BU43" s="12">
        <f t="shared" si="73"/>
        <v>0</v>
      </c>
      <c r="BV43" s="12">
        <f t="shared" si="74"/>
        <v>0</v>
      </c>
      <c r="BW43" s="12">
        <f t="shared" si="75"/>
        <v>0</v>
      </c>
      <c r="BX43" s="12">
        <f t="shared" si="76"/>
        <v>0</v>
      </c>
      <c r="BY43" s="12"/>
      <c r="BZ43" s="12">
        <f t="shared" si="77"/>
        <v>0</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0</v>
      </c>
      <c r="CV43" s="12">
        <f t="shared" si="86"/>
        <v>0</v>
      </c>
      <c r="CW43" s="12">
        <f t="shared" si="87"/>
        <v>0</v>
      </c>
      <c r="CX43" s="12">
        <f t="shared" si="88"/>
        <v>0</v>
      </c>
      <c r="CY43" s="12">
        <f t="shared" si="89"/>
        <v>0</v>
      </c>
      <c r="CZ43" s="12">
        <f t="shared" si="90"/>
        <v>0</v>
      </c>
      <c r="DA43" s="48"/>
      <c r="DB43" s="48"/>
    </row>
    <row r="44" spans="1:106" ht="22.5" customHeight="1">
      <c r="A44" s="8">
        <v>8</v>
      </c>
      <c r="B44" s="51" t="str">
        <f t="shared" si="60"/>
        <v>Pump Wagon</v>
      </c>
      <c r="C44" s="256" t="s">
        <v>1368</v>
      </c>
      <c r="D44" s="249"/>
      <c r="E44" s="256" t="s">
        <v>1367</v>
      </c>
      <c r="F44" s="249"/>
      <c r="G44" s="256"/>
      <c r="H44" s="248"/>
      <c r="I44" s="248"/>
      <c r="J44" s="249"/>
      <c r="K44" s="256"/>
      <c r="L44" s="249"/>
      <c r="M44" s="256"/>
      <c r="N44" s="249"/>
      <c r="O44" s="256"/>
      <c r="P44" s="249"/>
      <c r="Q44" s="256"/>
      <c r="R44" s="249"/>
      <c r="S44" s="256"/>
      <c r="T44" s="249"/>
      <c r="U44" s="256"/>
      <c r="V44" s="249"/>
      <c r="W44" s="256"/>
      <c r="X44" s="249"/>
      <c r="Y44" s="256"/>
      <c r="Z44" s="249"/>
      <c r="AA44" s="256"/>
      <c r="AB44" s="249"/>
      <c r="AC44" s="257"/>
      <c r="AD44" s="249"/>
      <c r="AE44" s="257"/>
      <c r="AF44" s="249"/>
      <c r="AG44" s="258">
        <f t="shared" si="61"/>
        <v>20000</v>
      </c>
      <c r="AH44" s="249"/>
      <c r="AI44" s="52">
        <f t="shared" si="62"/>
        <v>6</v>
      </c>
      <c r="AJ44" s="53">
        <v>0</v>
      </c>
      <c r="AK44" s="54">
        <v>0</v>
      </c>
      <c r="AL44" s="54">
        <v>0</v>
      </c>
      <c r="AM44" s="54">
        <v>0</v>
      </c>
      <c r="AN44" s="54">
        <v>0</v>
      </c>
      <c r="AO44" s="54">
        <v>0</v>
      </c>
      <c r="AP44" s="240"/>
      <c r="AQ44" s="48"/>
      <c r="AR44" s="48"/>
      <c r="AS44" s="48"/>
      <c r="AT44" s="48"/>
      <c r="AU44" s="48"/>
      <c r="AV44" s="48"/>
      <c r="AW44" s="48"/>
      <c r="AX44" s="12" t="str">
        <f t="shared" si="63"/>
        <v>Stilty Runna</v>
      </c>
      <c r="AY44" s="12" t="str">
        <f>IFERROR((VLOOKUP($BO$1&amp;B41,Teams!D:S,12,0)),0)</f>
        <v>S</v>
      </c>
      <c r="AZ44" s="12" t="str">
        <f>IFERROR((VLOOKUP($BO$1&amp;B41,Teams!D:S,13,0)),0)</f>
        <v>P</v>
      </c>
      <c r="BA44" s="12" t="str">
        <f>IFERROR((VLOOKUP($BO$1&amp;B41,Teams!D:S,14,0)),0)</f>
        <v>S</v>
      </c>
      <c r="BB44" s="12">
        <f>IFERROR((VLOOKUP($BO$1&amp;B41,Teams!D:S,15,0)),0)</f>
        <v>0</v>
      </c>
      <c r="BC44" s="12">
        <f>IFERROR((VLOOKUP($BO$1&amp;B41,Teams!D:S,16,0)),0)</f>
        <v>0</v>
      </c>
      <c r="BD44" s="12">
        <v>20000</v>
      </c>
      <c r="BE44" s="12">
        <v>10000</v>
      </c>
      <c r="BF44" s="12">
        <v>40000</v>
      </c>
      <c r="BG44" s="12">
        <v>20000</v>
      </c>
      <c r="BH44" s="12">
        <v>80000</v>
      </c>
      <c r="BI44" s="12">
        <f t="shared" si="64"/>
        <v>0</v>
      </c>
      <c r="BJ44" s="2"/>
      <c r="BK44" s="12">
        <f t="shared" si="65"/>
        <v>0</v>
      </c>
      <c r="BL44" s="12">
        <f t="shared" si="66"/>
        <v>0</v>
      </c>
      <c r="BM44" s="12">
        <f t="shared" si="67"/>
        <v>0</v>
      </c>
      <c r="BN44" s="12">
        <f t="shared" si="68"/>
        <v>0</v>
      </c>
      <c r="BO44" s="12">
        <f t="shared" si="69"/>
        <v>0</v>
      </c>
      <c r="BP44" s="12">
        <f t="shared" si="70"/>
        <v>0</v>
      </c>
      <c r="BQ44" s="2"/>
      <c r="BR44" s="2"/>
      <c r="BS44" s="12">
        <f t="shared" si="71"/>
        <v>0</v>
      </c>
      <c r="BT44" s="12">
        <f t="shared" si="72"/>
        <v>0</v>
      </c>
      <c r="BU44" s="12">
        <f t="shared" si="73"/>
        <v>0</v>
      </c>
      <c r="BV44" s="12">
        <f t="shared" si="74"/>
        <v>0</v>
      </c>
      <c r="BW44" s="12">
        <f t="shared" si="75"/>
        <v>0</v>
      </c>
      <c r="BX44" s="12">
        <f t="shared" si="76"/>
        <v>0</v>
      </c>
      <c r="BY44" s="12"/>
      <c r="BZ44" s="12">
        <f t="shared" si="77"/>
        <v>0</v>
      </c>
      <c r="CA44" s="12">
        <f t="shared" si="78"/>
        <v>0</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0</v>
      </c>
      <c r="CH44" s="12">
        <f t="shared" si="97"/>
        <v>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0</v>
      </c>
      <c r="CV44" s="12">
        <f t="shared" si="86"/>
        <v>0</v>
      </c>
      <c r="CW44" s="12">
        <f t="shared" si="87"/>
        <v>0</v>
      </c>
      <c r="CX44" s="12">
        <f t="shared" si="88"/>
        <v>0</v>
      </c>
      <c r="CY44" s="12">
        <f t="shared" si="89"/>
        <v>0</v>
      </c>
      <c r="CZ44" s="12">
        <f t="shared" si="90"/>
        <v>0</v>
      </c>
      <c r="DA44" s="48"/>
      <c r="DB44" s="48"/>
    </row>
    <row r="45" spans="1:106" ht="22.5" customHeight="1">
      <c r="A45" s="8">
        <v>9</v>
      </c>
      <c r="B45" s="51" t="str">
        <f t="shared" si="60"/>
        <v>Trained Troll</v>
      </c>
      <c r="C45" s="256" t="s">
        <v>1369</v>
      </c>
      <c r="D45" s="249"/>
      <c r="E45" s="256" t="s">
        <v>1367</v>
      </c>
      <c r="F45" s="249"/>
      <c r="G45" s="256"/>
      <c r="H45" s="248"/>
      <c r="I45" s="248"/>
      <c r="J45" s="249"/>
      <c r="K45" s="256"/>
      <c r="L45" s="249"/>
      <c r="M45" s="256"/>
      <c r="N45" s="249"/>
      <c r="O45" s="256"/>
      <c r="P45" s="249"/>
      <c r="Q45" s="256"/>
      <c r="R45" s="249"/>
      <c r="S45" s="256"/>
      <c r="T45" s="249"/>
      <c r="U45" s="256"/>
      <c r="V45" s="249"/>
      <c r="W45" s="256"/>
      <c r="X45" s="249"/>
      <c r="Y45" s="256"/>
      <c r="Z45" s="249"/>
      <c r="AA45" s="256"/>
      <c r="AB45" s="249"/>
      <c r="AC45" s="257"/>
      <c r="AD45" s="249"/>
      <c r="AE45" s="257"/>
      <c r="AF45" s="249"/>
      <c r="AG45" s="258">
        <f t="shared" si="61"/>
        <v>20000</v>
      </c>
      <c r="AH45" s="249"/>
      <c r="AI45" s="52">
        <f t="shared" si="62"/>
        <v>6</v>
      </c>
      <c r="AJ45" s="53">
        <v>0</v>
      </c>
      <c r="AK45" s="54">
        <v>0</v>
      </c>
      <c r="AL45" s="54">
        <v>0</v>
      </c>
      <c r="AM45" s="54">
        <v>0</v>
      </c>
      <c r="AN45" s="54">
        <v>0</v>
      </c>
      <c r="AO45" s="54">
        <v>0</v>
      </c>
      <c r="AP45" s="240"/>
      <c r="AQ45" s="48"/>
      <c r="AR45" s="48"/>
      <c r="AS45" s="48"/>
      <c r="AT45" s="48"/>
      <c r="AU45" s="48"/>
      <c r="AV45" s="48"/>
      <c r="AW45" s="48"/>
      <c r="AX45" s="12" t="str">
        <f t="shared" si="63"/>
        <v>Stilty Runna</v>
      </c>
      <c r="AY45" s="12" t="str">
        <f>IFERROR((VLOOKUP($BO$1&amp;B42,Teams!D:S,12,0)),0)</f>
        <v>S</v>
      </c>
      <c r="AZ45" s="12" t="str">
        <f>IFERROR((VLOOKUP($BO$1&amp;B42,Teams!D:S,13,0)),0)</f>
        <v>P</v>
      </c>
      <c r="BA45" s="12" t="str">
        <f>IFERROR((VLOOKUP($BO$1&amp;B42,Teams!D:S,14,0)),0)</f>
        <v>S</v>
      </c>
      <c r="BB45" s="12">
        <f>IFERROR((VLOOKUP($BO$1&amp;B42,Teams!D:S,15,0)),0)</f>
        <v>0</v>
      </c>
      <c r="BC45" s="12">
        <f>IFERROR((VLOOKUP($BO$1&amp;B42,Teams!D:S,16,0)),0)</f>
        <v>0</v>
      </c>
      <c r="BD45" s="12">
        <v>20000</v>
      </c>
      <c r="BE45" s="12">
        <v>10000</v>
      </c>
      <c r="BF45" s="12">
        <v>40000</v>
      </c>
      <c r="BG45" s="12">
        <v>20000</v>
      </c>
      <c r="BH45" s="12">
        <v>80000</v>
      </c>
      <c r="BI45" s="12">
        <f t="shared" si="64"/>
        <v>0</v>
      </c>
      <c r="BJ45" s="12"/>
      <c r="BK45" s="12">
        <f t="shared" si="65"/>
        <v>0</v>
      </c>
      <c r="BL45" s="12">
        <f t="shared" si="66"/>
        <v>0</v>
      </c>
      <c r="BM45" s="12">
        <f t="shared" si="67"/>
        <v>0</v>
      </c>
      <c r="BN45" s="12">
        <f t="shared" si="68"/>
        <v>0</v>
      </c>
      <c r="BO45" s="12">
        <f t="shared" si="69"/>
        <v>0</v>
      </c>
      <c r="BP45" s="12">
        <f t="shared" si="70"/>
        <v>0</v>
      </c>
      <c r="BQ45" s="2"/>
      <c r="BR45" s="2"/>
      <c r="BS45" s="12">
        <f t="shared" si="71"/>
        <v>0</v>
      </c>
      <c r="BT45" s="12">
        <f t="shared" si="72"/>
        <v>0</v>
      </c>
      <c r="BU45" s="12">
        <f t="shared" si="73"/>
        <v>0</v>
      </c>
      <c r="BV45" s="12">
        <f t="shared" si="74"/>
        <v>0</v>
      </c>
      <c r="BW45" s="12">
        <f t="shared" si="75"/>
        <v>0</v>
      </c>
      <c r="BX45" s="12">
        <f t="shared" si="76"/>
        <v>0</v>
      </c>
      <c r="BY45" s="12"/>
      <c r="BZ45" s="12">
        <f t="shared" si="77"/>
        <v>0</v>
      </c>
      <c r="CA45" s="12">
        <f t="shared" si="78"/>
        <v>0</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0</v>
      </c>
      <c r="CH45" s="12">
        <f t="shared" si="99"/>
        <v>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0</v>
      </c>
      <c r="CV45" s="12">
        <f t="shared" si="86"/>
        <v>0</v>
      </c>
      <c r="CW45" s="12">
        <f t="shared" si="87"/>
        <v>0</v>
      </c>
      <c r="CX45" s="12">
        <f t="shared" si="88"/>
        <v>0</v>
      </c>
      <c r="CY45" s="12">
        <f t="shared" si="89"/>
        <v>0</v>
      </c>
      <c r="CZ45" s="12">
        <f t="shared" si="90"/>
        <v>0</v>
      </c>
      <c r="DA45" s="48"/>
      <c r="DB45" s="48"/>
    </row>
    <row r="46" spans="1:106" ht="22.5" customHeight="1">
      <c r="A46" s="8">
        <v>10</v>
      </c>
      <c r="B46" s="51" t="str">
        <f t="shared" si="60"/>
        <v>Trained Troll</v>
      </c>
      <c r="C46" s="256" t="s">
        <v>1369</v>
      </c>
      <c r="D46" s="249"/>
      <c r="E46" s="256" t="s">
        <v>1367</v>
      </c>
      <c r="F46" s="249"/>
      <c r="G46" s="256"/>
      <c r="H46" s="248"/>
      <c r="I46" s="248"/>
      <c r="J46" s="249"/>
      <c r="K46" s="256"/>
      <c r="L46" s="249"/>
      <c r="M46" s="256"/>
      <c r="N46" s="249"/>
      <c r="O46" s="256"/>
      <c r="P46" s="249"/>
      <c r="Q46" s="256"/>
      <c r="R46" s="249"/>
      <c r="S46" s="256"/>
      <c r="T46" s="249"/>
      <c r="U46" s="256"/>
      <c r="V46" s="249"/>
      <c r="W46" s="256"/>
      <c r="X46" s="249"/>
      <c r="Y46" s="256"/>
      <c r="Z46" s="249"/>
      <c r="AA46" s="256"/>
      <c r="AB46" s="249"/>
      <c r="AC46" s="257"/>
      <c r="AD46" s="249"/>
      <c r="AE46" s="257"/>
      <c r="AF46" s="249"/>
      <c r="AG46" s="258">
        <f t="shared" si="61"/>
        <v>20000</v>
      </c>
      <c r="AH46" s="249"/>
      <c r="AI46" s="52">
        <f t="shared" si="62"/>
        <v>6</v>
      </c>
      <c r="AJ46" s="53">
        <v>1</v>
      </c>
      <c r="AK46" s="54">
        <v>0</v>
      </c>
      <c r="AL46" s="54">
        <v>0</v>
      </c>
      <c r="AM46" s="54">
        <v>0</v>
      </c>
      <c r="AN46" s="54">
        <v>0</v>
      </c>
      <c r="AO46" s="54">
        <v>0</v>
      </c>
      <c r="AP46" s="240"/>
      <c r="AQ46" s="48"/>
      <c r="AR46" s="48"/>
      <c r="AS46" s="48"/>
      <c r="AT46" s="48"/>
      <c r="AU46" s="48"/>
      <c r="AV46" s="48"/>
      <c r="AW46" s="48"/>
      <c r="AX46" s="12" t="str">
        <f t="shared" si="63"/>
        <v>Pump Wagon</v>
      </c>
      <c r="AY46" s="12" t="str">
        <f>IFERROR((VLOOKUP($BO$1&amp;B43,Teams!D:S,12,0)),0)</f>
        <v>S</v>
      </c>
      <c r="AZ46" s="12" t="str">
        <f>IFERROR((VLOOKUP($BO$1&amp;B43,Teams!D:S,13,0)),0)</f>
        <v>S</v>
      </c>
      <c r="BA46" s="12" t="str">
        <f>IFERROR((VLOOKUP($BO$1&amp;B43,Teams!D:S,14,0)),0)</f>
        <v>P</v>
      </c>
      <c r="BB46" s="12">
        <f>IFERROR((VLOOKUP($BO$1&amp;B43,Teams!D:S,15,0)),0)</f>
        <v>0</v>
      </c>
      <c r="BC46" s="12">
        <f>IFERROR((VLOOKUP($BO$1&amp;B43,Teams!D:S,16,0)),0)</f>
        <v>0</v>
      </c>
      <c r="BD46" s="12">
        <v>20000</v>
      </c>
      <c r="BE46" s="12">
        <v>10000</v>
      </c>
      <c r="BF46" s="12">
        <v>40000</v>
      </c>
      <c r="BG46" s="12">
        <v>20000</v>
      </c>
      <c r="BH46" s="12">
        <v>80000</v>
      </c>
      <c r="BI46" s="12">
        <f t="shared" si="64"/>
        <v>0</v>
      </c>
      <c r="BJ46" s="12"/>
      <c r="BK46" s="12">
        <f t="shared" si="65"/>
        <v>0</v>
      </c>
      <c r="BL46" s="12">
        <f t="shared" si="66"/>
        <v>0</v>
      </c>
      <c r="BM46" s="12">
        <f t="shared" si="67"/>
        <v>0</v>
      </c>
      <c r="BN46" s="12">
        <f t="shared" si="68"/>
        <v>0</v>
      </c>
      <c r="BO46" s="12">
        <f t="shared" si="69"/>
        <v>0</v>
      </c>
      <c r="BP46" s="12">
        <f t="shared" si="70"/>
        <v>0</v>
      </c>
      <c r="BQ46" s="2"/>
      <c r="BR46" s="2"/>
      <c r="BS46" s="12">
        <f t="shared" si="71"/>
        <v>0</v>
      </c>
      <c r="BT46" s="12">
        <f t="shared" si="72"/>
        <v>0</v>
      </c>
      <c r="BU46" s="12">
        <f t="shared" si="73"/>
        <v>0</v>
      </c>
      <c r="BV46" s="12">
        <f t="shared" si="74"/>
        <v>0</v>
      </c>
      <c r="BW46" s="12">
        <f t="shared" si="75"/>
        <v>0</v>
      </c>
      <c r="BX46" s="12">
        <f t="shared" si="76"/>
        <v>0</v>
      </c>
      <c r="BY46" s="12"/>
      <c r="BZ46" s="12">
        <f t="shared" si="77"/>
        <v>0</v>
      </c>
      <c r="CA46" s="12">
        <f t="shared" si="78"/>
        <v>0</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0</v>
      </c>
      <c r="CH46" s="12">
        <f t="shared" si="101"/>
        <v>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0</v>
      </c>
      <c r="CV46" s="12">
        <f t="shared" si="86"/>
        <v>0</v>
      </c>
      <c r="CW46" s="12">
        <f t="shared" si="87"/>
        <v>0</v>
      </c>
      <c r="CX46" s="12">
        <f t="shared" si="88"/>
        <v>0</v>
      </c>
      <c r="CY46" s="12">
        <f t="shared" si="89"/>
        <v>0</v>
      </c>
      <c r="CZ46" s="12">
        <f t="shared" si="90"/>
        <v>0</v>
      </c>
      <c r="DA46" s="48"/>
      <c r="DB46" s="48"/>
    </row>
    <row r="47" spans="1:106" ht="22.5" customHeight="1">
      <c r="A47" s="8">
        <v>11</v>
      </c>
      <c r="B47" s="51" t="str">
        <f t="shared" si="60"/>
        <v>Snotling</v>
      </c>
      <c r="C47" s="256"/>
      <c r="D47" s="249"/>
      <c r="E47" s="256"/>
      <c r="F47" s="249"/>
      <c r="G47" s="256"/>
      <c r="H47" s="248"/>
      <c r="I47" s="248"/>
      <c r="J47" s="249"/>
      <c r="K47" s="256"/>
      <c r="L47" s="249"/>
      <c r="M47" s="256"/>
      <c r="N47" s="249"/>
      <c r="O47" s="256"/>
      <c r="P47" s="249"/>
      <c r="Q47" s="256"/>
      <c r="R47" s="249"/>
      <c r="S47" s="256"/>
      <c r="T47" s="249"/>
      <c r="U47" s="256"/>
      <c r="V47" s="249"/>
      <c r="W47" s="256"/>
      <c r="X47" s="249"/>
      <c r="Y47" s="256"/>
      <c r="Z47" s="249"/>
      <c r="AA47" s="256"/>
      <c r="AB47" s="249"/>
      <c r="AC47" s="257"/>
      <c r="AD47" s="249"/>
      <c r="AE47" s="257"/>
      <c r="AF47" s="249"/>
      <c r="AG47" s="258">
        <f t="shared" si="61"/>
        <v>0</v>
      </c>
      <c r="AH47" s="249"/>
      <c r="AI47" s="52">
        <f t="shared" si="62"/>
        <v>0</v>
      </c>
      <c r="AJ47" s="53">
        <v>1</v>
      </c>
      <c r="AK47" s="54">
        <v>0</v>
      </c>
      <c r="AL47" s="54">
        <v>0</v>
      </c>
      <c r="AM47" s="54">
        <v>0</v>
      </c>
      <c r="AN47" s="54">
        <v>0</v>
      </c>
      <c r="AO47" s="54">
        <v>0</v>
      </c>
      <c r="AP47" s="240"/>
      <c r="AQ47" s="48"/>
      <c r="AR47" s="48"/>
      <c r="AS47" s="48"/>
      <c r="AT47" s="48"/>
      <c r="AU47" s="48"/>
      <c r="AV47" s="48"/>
      <c r="AW47" s="48"/>
      <c r="AX47" s="12" t="str">
        <f t="shared" si="63"/>
        <v>Pump Wagon</v>
      </c>
      <c r="AY47" s="12" t="str">
        <f>IFERROR((VLOOKUP($BO$1&amp;B44,Teams!D:S,12,0)),0)</f>
        <v>S</v>
      </c>
      <c r="AZ47" s="12" t="str">
        <f>IFERROR((VLOOKUP($BO$1&amp;B44,Teams!D:S,13,0)),0)</f>
        <v>S</v>
      </c>
      <c r="BA47" s="12" t="str">
        <f>IFERROR((VLOOKUP($BO$1&amp;B44,Teams!D:S,14,0)),0)</f>
        <v>P</v>
      </c>
      <c r="BB47" s="12">
        <f>IFERROR((VLOOKUP($BO$1&amp;B44,Teams!D:S,15,0)),0)</f>
        <v>0</v>
      </c>
      <c r="BC47" s="12">
        <f>IFERROR((VLOOKUP($BO$1&amp;B44,Teams!D:S,16,0)),0)</f>
        <v>0</v>
      </c>
      <c r="BD47" s="12">
        <v>20000</v>
      </c>
      <c r="BE47" s="12">
        <v>10000</v>
      </c>
      <c r="BF47" s="12">
        <v>40000</v>
      </c>
      <c r="BG47" s="12">
        <v>20000</v>
      </c>
      <c r="BH47" s="12">
        <v>80000</v>
      </c>
      <c r="BI47" s="12">
        <f t="shared" si="64"/>
        <v>20000</v>
      </c>
      <c r="BJ47" s="12"/>
      <c r="BK47" s="12" t="str">
        <f t="shared" si="65"/>
        <v>S</v>
      </c>
      <c r="BL47" s="12">
        <f t="shared" si="66"/>
        <v>0</v>
      </c>
      <c r="BM47" s="12">
        <f t="shared" si="67"/>
        <v>0</v>
      </c>
      <c r="BN47" s="12">
        <f t="shared" si="68"/>
        <v>0</v>
      </c>
      <c r="BO47" s="12">
        <f t="shared" si="69"/>
        <v>0</v>
      </c>
      <c r="BP47" s="12">
        <f t="shared" si="70"/>
        <v>0</v>
      </c>
      <c r="BQ47" s="2"/>
      <c r="BR47" s="2"/>
      <c r="BS47" s="12" t="str">
        <f t="shared" si="71"/>
        <v>P</v>
      </c>
      <c r="BT47" s="12">
        <f t="shared" si="72"/>
        <v>0</v>
      </c>
      <c r="BU47" s="12">
        <f t="shared" si="73"/>
        <v>0</v>
      </c>
      <c r="BV47" s="12">
        <f t="shared" si="74"/>
        <v>0</v>
      </c>
      <c r="BW47" s="12">
        <f t="shared" si="75"/>
        <v>0</v>
      </c>
      <c r="BX47" s="12">
        <f t="shared" si="76"/>
        <v>0</v>
      </c>
      <c r="BY47" s="12"/>
      <c r="BZ47" s="12" t="str">
        <f t="shared" si="77"/>
        <v>Chosen</v>
      </c>
      <c r="CA47" s="12">
        <f t="shared" si="78"/>
        <v>0</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20000</v>
      </c>
      <c r="CH47" s="12">
        <f t="shared" si="103"/>
        <v>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6</v>
      </c>
      <c r="CV47" s="12">
        <f t="shared" si="86"/>
        <v>0</v>
      </c>
      <c r="CW47" s="12">
        <f t="shared" si="87"/>
        <v>0</v>
      </c>
      <c r="CX47" s="12">
        <f t="shared" si="88"/>
        <v>0</v>
      </c>
      <c r="CY47" s="12">
        <f t="shared" si="89"/>
        <v>0</v>
      </c>
      <c r="CZ47" s="12">
        <f t="shared" si="90"/>
        <v>0</v>
      </c>
      <c r="DA47" s="48"/>
      <c r="DB47" s="48"/>
    </row>
    <row r="48" spans="1:106" ht="22.5" customHeight="1">
      <c r="A48" s="8">
        <v>12</v>
      </c>
      <c r="B48" s="51" t="str">
        <f t="shared" si="60"/>
        <v>Snotling</v>
      </c>
      <c r="C48" s="256"/>
      <c r="D48" s="249"/>
      <c r="E48" s="256"/>
      <c r="F48" s="249"/>
      <c r="G48" s="256"/>
      <c r="H48" s="248"/>
      <c r="I48" s="248"/>
      <c r="J48" s="249"/>
      <c r="K48" s="256"/>
      <c r="L48" s="249"/>
      <c r="M48" s="256"/>
      <c r="N48" s="249"/>
      <c r="O48" s="256"/>
      <c r="P48" s="249"/>
      <c r="Q48" s="256"/>
      <c r="R48" s="249"/>
      <c r="S48" s="256"/>
      <c r="T48" s="249"/>
      <c r="U48" s="256"/>
      <c r="V48" s="249"/>
      <c r="W48" s="256"/>
      <c r="X48" s="249"/>
      <c r="Y48" s="256"/>
      <c r="Z48" s="249"/>
      <c r="AA48" s="256"/>
      <c r="AB48" s="249"/>
      <c r="AC48" s="257"/>
      <c r="AD48" s="249"/>
      <c r="AE48" s="257"/>
      <c r="AF48" s="249"/>
      <c r="AG48" s="258">
        <f t="shared" si="61"/>
        <v>0</v>
      </c>
      <c r="AH48" s="249"/>
      <c r="AI48" s="52">
        <f t="shared" si="62"/>
        <v>0</v>
      </c>
      <c r="AJ48" s="53">
        <v>0</v>
      </c>
      <c r="AK48" s="54">
        <v>0</v>
      </c>
      <c r="AL48" s="54">
        <v>0</v>
      </c>
      <c r="AM48" s="54">
        <v>0</v>
      </c>
      <c r="AN48" s="54">
        <v>0</v>
      </c>
      <c r="AO48" s="54">
        <v>0</v>
      </c>
      <c r="AP48" s="240"/>
      <c r="AQ48" s="48"/>
      <c r="AR48" s="48"/>
      <c r="AS48" s="48"/>
      <c r="AT48" s="48"/>
      <c r="AU48" s="48"/>
      <c r="AV48" s="48"/>
      <c r="AW48" s="48"/>
      <c r="AX48" s="12" t="str">
        <f t="shared" si="63"/>
        <v>Trained Troll</v>
      </c>
      <c r="AY48" s="12" t="str">
        <f>IFERROR((VLOOKUP($BO$1&amp;B45,Teams!D:S,12,0)),0)</f>
        <v>S</v>
      </c>
      <c r="AZ48" s="12" t="str">
        <f>IFERROR((VLOOKUP($BO$1&amp;B45,Teams!D:S,13,0)),0)</f>
        <v>S</v>
      </c>
      <c r="BA48" s="12" t="str">
        <f>IFERROR((VLOOKUP($BO$1&amp;B45,Teams!D:S,14,0)),0)</f>
        <v>P</v>
      </c>
      <c r="BB48" s="12" t="str">
        <f>IFERROR((VLOOKUP($BO$1&amp;B45,Teams!D:S,15,0)),0)</f>
        <v>S</v>
      </c>
      <c r="BC48" s="12">
        <f>IFERROR((VLOOKUP($BO$1&amp;B45,Teams!D:S,16,0)),0)</f>
        <v>0</v>
      </c>
      <c r="BD48" s="12">
        <v>20000</v>
      </c>
      <c r="BE48" s="12">
        <v>10000</v>
      </c>
      <c r="BF48" s="12">
        <v>40000</v>
      </c>
      <c r="BG48" s="12">
        <v>20000</v>
      </c>
      <c r="BH48" s="12">
        <v>80000</v>
      </c>
      <c r="BI48" s="12">
        <f t="shared" si="64"/>
        <v>20000</v>
      </c>
      <c r="BJ48" s="12"/>
      <c r="BK48" s="12" t="str">
        <f t="shared" si="65"/>
        <v>S</v>
      </c>
      <c r="BL48" s="12">
        <f t="shared" si="66"/>
        <v>0</v>
      </c>
      <c r="BM48" s="12">
        <f t="shared" si="67"/>
        <v>0</v>
      </c>
      <c r="BN48" s="12">
        <f t="shared" si="68"/>
        <v>0</v>
      </c>
      <c r="BO48" s="12">
        <f t="shared" si="69"/>
        <v>0</v>
      </c>
      <c r="BP48" s="12">
        <f t="shared" si="70"/>
        <v>0</v>
      </c>
      <c r="BQ48" s="2"/>
      <c r="BR48" s="2"/>
      <c r="BS48" s="12" t="str">
        <f t="shared" si="71"/>
        <v>P</v>
      </c>
      <c r="BT48" s="12">
        <f t="shared" si="72"/>
        <v>0</v>
      </c>
      <c r="BU48" s="12">
        <f t="shared" si="73"/>
        <v>0</v>
      </c>
      <c r="BV48" s="12">
        <f t="shared" si="74"/>
        <v>0</v>
      </c>
      <c r="BW48" s="12">
        <f t="shared" si="75"/>
        <v>0</v>
      </c>
      <c r="BX48" s="12">
        <f t="shared" si="76"/>
        <v>0</v>
      </c>
      <c r="BY48" s="12"/>
      <c r="BZ48" s="12" t="str">
        <f t="shared" si="77"/>
        <v>Chosen</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20000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6</v>
      </c>
      <c r="CV48" s="12">
        <f t="shared" si="86"/>
        <v>0</v>
      </c>
      <c r="CW48" s="12">
        <f t="shared" si="87"/>
        <v>0</v>
      </c>
      <c r="CX48" s="12">
        <f t="shared" si="88"/>
        <v>0</v>
      </c>
      <c r="CY48" s="12">
        <f t="shared" si="89"/>
        <v>0</v>
      </c>
      <c r="CZ48" s="12">
        <f t="shared" si="90"/>
        <v>0</v>
      </c>
      <c r="DA48" s="48"/>
      <c r="DB48" s="48"/>
    </row>
    <row r="49" spans="1:106" ht="22.5" customHeight="1">
      <c r="A49" s="8">
        <v>13</v>
      </c>
      <c r="B49" s="51" t="str">
        <f t="shared" si="60"/>
        <v>Snotling</v>
      </c>
      <c r="C49" s="256" t="s">
        <v>346</v>
      </c>
      <c r="D49" s="249"/>
      <c r="E49" s="256" t="s">
        <v>1367</v>
      </c>
      <c r="F49" s="249"/>
      <c r="G49" s="256"/>
      <c r="H49" s="248"/>
      <c r="I49" s="248"/>
      <c r="J49" s="249"/>
      <c r="K49" s="256"/>
      <c r="L49" s="249"/>
      <c r="M49" s="256"/>
      <c r="N49" s="249"/>
      <c r="O49" s="256"/>
      <c r="P49" s="249"/>
      <c r="Q49" s="256"/>
      <c r="R49" s="249"/>
      <c r="S49" s="256"/>
      <c r="T49" s="249"/>
      <c r="U49" s="256"/>
      <c r="V49" s="249"/>
      <c r="W49" s="256"/>
      <c r="X49" s="249"/>
      <c r="Y49" s="256"/>
      <c r="Z49" s="249"/>
      <c r="AA49" s="256"/>
      <c r="AB49" s="249"/>
      <c r="AC49" s="257"/>
      <c r="AD49" s="249"/>
      <c r="AE49" s="257"/>
      <c r="AF49" s="249"/>
      <c r="AG49" s="258">
        <f t="shared" si="61"/>
        <v>20000</v>
      </c>
      <c r="AH49" s="249"/>
      <c r="AI49" s="52">
        <f t="shared" si="62"/>
        <v>6</v>
      </c>
      <c r="AJ49" s="53">
        <v>0</v>
      </c>
      <c r="AK49" s="54">
        <v>0</v>
      </c>
      <c r="AL49" s="54">
        <v>0</v>
      </c>
      <c r="AM49" s="54">
        <v>0</v>
      </c>
      <c r="AN49" s="54">
        <v>0</v>
      </c>
      <c r="AO49" s="54">
        <v>0</v>
      </c>
      <c r="AP49" s="240"/>
      <c r="AQ49" s="48"/>
      <c r="AR49" s="48"/>
      <c r="AS49" s="48"/>
      <c r="AT49" s="48"/>
      <c r="AU49" s="48"/>
      <c r="AV49" s="48"/>
      <c r="AW49" s="48"/>
      <c r="AX49" s="12" t="str">
        <f t="shared" si="63"/>
        <v>Trained Troll</v>
      </c>
      <c r="AY49" s="12" t="str">
        <f>IFERROR((VLOOKUP($BO$1&amp;B46,Teams!D:S,12,0)),0)</f>
        <v>S</v>
      </c>
      <c r="AZ49" s="12" t="str">
        <f>IFERROR((VLOOKUP($BO$1&amp;B46,Teams!D:S,13,0)),0)</f>
        <v>S</v>
      </c>
      <c r="BA49" s="12" t="str">
        <f>IFERROR((VLOOKUP($BO$1&amp;B46,Teams!D:S,14,0)),0)</f>
        <v>P</v>
      </c>
      <c r="BB49" s="12" t="str">
        <f>IFERROR((VLOOKUP($BO$1&amp;B46,Teams!D:S,15,0)),0)</f>
        <v>S</v>
      </c>
      <c r="BC49" s="12">
        <f>IFERROR((VLOOKUP($BO$1&amp;B46,Teams!D:S,16,0)),0)</f>
        <v>0</v>
      </c>
      <c r="BD49" s="12">
        <v>20000</v>
      </c>
      <c r="BE49" s="12">
        <v>10000</v>
      </c>
      <c r="BF49" s="12">
        <v>40000</v>
      </c>
      <c r="BG49" s="12">
        <v>20000</v>
      </c>
      <c r="BH49" s="12">
        <v>80000</v>
      </c>
      <c r="BI49" s="12">
        <f t="shared" si="64"/>
        <v>20000</v>
      </c>
      <c r="BJ49" s="12"/>
      <c r="BK49" s="12" t="str">
        <f t="shared" si="65"/>
        <v>S</v>
      </c>
      <c r="BL49" s="12">
        <f t="shared" si="66"/>
        <v>0</v>
      </c>
      <c r="BM49" s="12">
        <f t="shared" si="67"/>
        <v>0</v>
      </c>
      <c r="BN49" s="12">
        <f t="shared" si="68"/>
        <v>0</v>
      </c>
      <c r="BO49" s="12">
        <f t="shared" si="69"/>
        <v>0</v>
      </c>
      <c r="BP49" s="12">
        <f t="shared" si="70"/>
        <v>0</v>
      </c>
      <c r="BQ49" s="2"/>
      <c r="BR49" s="2"/>
      <c r="BS49" s="12" t="str">
        <f t="shared" si="71"/>
        <v>P</v>
      </c>
      <c r="BT49" s="12">
        <f t="shared" si="72"/>
        <v>0</v>
      </c>
      <c r="BU49" s="12">
        <f t="shared" si="73"/>
        <v>0</v>
      </c>
      <c r="BV49" s="12">
        <f t="shared" si="74"/>
        <v>0</v>
      </c>
      <c r="BW49" s="12">
        <f t="shared" si="75"/>
        <v>0</v>
      </c>
      <c r="BX49" s="12">
        <f t="shared" si="76"/>
        <v>0</v>
      </c>
      <c r="BY49" s="12"/>
      <c r="BZ49" s="12" t="str">
        <f t="shared" si="77"/>
        <v>Chosen</v>
      </c>
      <c r="CA49" s="12">
        <f t="shared" si="78"/>
        <v>0</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20000</v>
      </c>
      <c r="CH49" s="12">
        <f t="shared" si="107"/>
        <v>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6</v>
      </c>
      <c r="CV49" s="12">
        <f t="shared" si="86"/>
        <v>0</v>
      </c>
      <c r="CW49" s="12">
        <f t="shared" si="87"/>
        <v>0</v>
      </c>
      <c r="CX49" s="12">
        <f t="shared" si="88"/>
        <v>0</v>
      </c>
      <c r="CY49" s="12">
        <f t="shared" si="89"/>
        <v>0</v>
      </c>
      <c r="CZ49" s="12">
        <f t="shared" si="90"/>
        <v>0</v>
      </c>
      <c r="DA49" s="48"/>
      <c r="DB49" s="48"/>
    </row>
    <row r="50" spans="1:106" ht="22.5" customHeight="1">
      <c r="A50" s="8">
        <v>14</v>
      </c>
      <c r="B50" s="51" t="str">
        <f t="shared" si="60"/>
        <v>Snotling</v>
      </c>
      <c r="C50" s="256"/>
      <c r="D50" s="249"/>
      <c r="E50" s="256"/>
      <c r="F50" s="249"/>
      <c r="G50" s="256"/>
      <c r="H50" s="248"/>
      <c r="I50" s="248"/>
      <c r="J50" s="249"/>
      <c r="K50" s="256"/>
      <c r="L50" s="249"/>
      <c r="M50" s="256"/>
      <c r="N50" s="249"/>
      <c r="O50" s="256"/>
      <c r="P50" s="249"/>
      <c r="Q50" s="256"/>
      <c r="R50" s="249"/>
      <c r="S50" s="256"/>
      <c r="T50" s="249"/>
      <c r="U50" s="256"/>
      <c r="V50" s="249"/>
      <c r="W50" s="256"/>
      <c r="X50" s="249"/>
      <c r="Y50" s="256"/>
      <c r="Z50" s="249"/>
      <c r="AA50" s="256"/>
      <c r="AB50" s="249"/>
      <c r="AC50" s="257"/>
      <c r="AD50" s="249"/>
      <c r="AE50" s="257"/>
      <c r="AF50" s="249"/>
      <c r="AG50" s="258">
        <f t="shared" si="61"/>
        <v>0</v>
      </c>
      <c r="AH50" s="249"/>
      <c r="AI50" s="52">
        <f t="shared" si="62"/>
        <v>0</v>
      </c>
      <c r="AJ50" s="53">
        <v>0</v>
      </c>
      <c r="AK50" s="54">
        <v>0</v>
      </c>
      <c r="AL50" s="54">
        <v>0</v>
      </c>
      <c r="AM50" s="54">
        <v>0</v>
      </c>
      <c r="AN50" s="54">
        <v>0</v>
      </c>
      <c r="AO50" s="54">
        <v>0</v>
      </c>
      <c r="AP50" s="240"/>
      <c r="AQ50" s="48"/>
      <c r="AR50" s="48"/>
      <c r="AS50" s="48"/>
      <c r="AT50" s="48"/>
      <c r="AU50" s="48"/>
      <c r="AV50" s="48"/>
      <c r="AW50" s="48"/>
      <c r="AX50" s="12" t="str">
        <f t="shared" si="63"/>
        <v>Snotling</v>
      </c>
      <c r="AY50" s="12" t="str">
        <f>IFERROR((VLOOKUP($BO$1&amp;B47,Teams!D:S,12,0)),0)</f>
        <v>S</v>
      </c>
      <c r="AZ50" s="12" t="str">
        <f>IFERROR((VLOOKUP($BO$1&amp;B47,Teams!D:S,13,0)),0)</f>
        <v>P</v>
      </c>
      <c r="BA50" s="12" t="str">
        <f>IFERROR((VLOOKUP($BO$1&amp;B47,Teams!D:S,14,0)),0)</f>
        <v>S</v>
      </c>
      <c r="BB50" s="12">
        <f>IFERROR((VLOOKUP($BO$1&amp;B47,Teams!D:S,15,0)),0)</f>
        <v>0</v>
      </c>
      <c r="BC50" s="12">
        <f>IFERROR((VLOOKUP($BO$1&amp;B47,Teams!D:S,16,0)),0)</f>
        <v>0</v>
      </c>
      <c r="BD50" s="12">
        <v>20000</v>
      </c>
      <c r="BE50" s="12">
        <v>10000</v>
      </c>
      <c r="BF50" s="12">
        <v>40000</v>
      </c>
      <c r="BG50" s="12">
        <v>20000</v>
      </c>
      <c r="BH50" s="12">
        <v>80000</v>
      </c>
      <c r="BI50" s="12">
        <f t="shared" si="64"/>
        <v>0</v>
      </c>
      <c r="BJ50" s="12"/>
      <c r="BK50" s="12">
        <f t="shared" si="65"/>
        <v>0</v>
      </c>
      <c r="BL50" s="12">
        <f t="shared" si="66"/>
        <v>0</v>
      </c>
      <c r="BM50" s="12">
        <f t="shared" si="67"/>
        <v>0</v>
      </c>
      <c r="BN50" s="12">
        <f t="shared" si="68"/>
        <v>0</v>
      </c>
      <c r="BO50" s="12">
        <f t="shared" si="69"/>
        <v>0</v>
      </c>
      <c r="BP50" s="12">
        <f t="shared" si="70"/>
        <v>0</v>
      </c>
      <c r="BQ50" s="2"/>
      <c r="BR50" s="2"/>
      <c r="BS50" s="12">
        <f t="shared" si="71"/>
        <v>0</v>
      </c>
      <c r="BT50" s="12">
        <f t="shared" si="72"/>
        <v>0</v>
      </c>
      <c r="BU50" s="12">
        <f t="shared" si="73"/>
        <v>0</v>
      </c>
      <c r="BV50" s="12">
        <f t="shared" si="74"/>
        <v>0</v>
      </c>
      <c r="BW50" s="12">
        <f t="shared" si="75"/>
        <v>0</v>
      </c>
      <c r="BX50" s="12">
        <f t="shared" si="76"/>
        <v>0</v>
      </c>
      <c r="BY50" s="12"/>
      <c r="BZ50" s="12">
        <f t="shared" si="77"/>
        <v>0</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0</v>
      </c>
      <c r="CV50" s="12">
        <f t="shared" si="86"/>
        <v>0</v>
      </c>
      <c r="CW50" s="12">
        <f t="shared" si="87"/>
        <v>0</v>
      </c>
      <c r="CX50" s="12">
        <f t="shared" si="88"/>
        <v>0</v>
      </c>
      <c r="CY50" s="12">
        <f t="shared" si="89"/>
        <v>0</v>
      </c>
      <c r="CZ50" s="12">
        <f t="shared" si="90"/>
        <v>0</v>
      </c>
      <c r="DA50" s="48"/>
      <c r="DB50" s="48"/>
    </row>
    <row r="51" spans="1:106" ht="22.5" customHeight="1">
      <c r="A51" s="8">
        <v>15</v>
      </c>
      <c r="B51" s="51" t="str">
        <f t="shared" si="60"/>
        <v>Snotling</v>
      </c>
      <c r="C51" s="256"/>
      <c r="D51" s="249"/>
      <c r="E51" s="256"/>
      <c r="F51" s="249"/>
      <c r="G51" s="256"/>
      <c r="H51" s="248"/>
      <c r="I51" s="248"/>
      <c r="J51" s="249"/>
      <c r="K51" s="256"/>
      <c r="L51" s="249"/>
      <c r="M51" s="256"/>
      <c r="N51" s="249"/>
      <c r="O51" s="256"/>
      <c r="P51" s="249"/>
      <c r="Q51" s="256"/>
      <c r="R51" s="249"/>
      <c r="S51" s="256"/>
      <c r="T51" s="249"/>
      <c r="U51" s="256"/>
      <c r="V51" s="249"/>
      <c r="W51" s="256"/>
      <c r="X51" s="249"/>
      <c r="Y51" s="256"/>
      <c r="Z51" s="249"/>
      <c r="AA51" s="256"/>
      <c r="AB51" s="249"/>
      <c r="AC51" s="257"/>
      <c r="AD51" s="249"/>
      <c r="AE51" s="257"/>
      <c r="AF51" s="249"/>
      <c r="AG51" s="258">
        <f t="shared" si="61"/>
        <v>0</v>
      </c>
      <c r="AH51" s="249"/>
      <c r="AI51" s="52">
        <f t="shared" si="62"/>
        <v>0</v>
      </c>
      <c r="AJ51" s="53">
        <v>0</v>
      </c>
      <c r="AK51" s="54">
        <v>0</v>
      </c>
      <c r="AL51" s="54">
        <v>0</v>
      </c>
      <c r="AM51" s="54">
        <v>0</v>
      </c>
      <c r="AN51" s="54">
        <v>0</v>
      </c>
      <c r="AO51" s="54">
        <v>0</v>
      </c>
      <c r="AP51" s="240"/>
      <c r="AQ51" s="48"/>
      <c r="AR51" s="48"/>
      <c r="AS51" s="48"/>
      <c r="AT51" s="48"/>
      <c r="AU51" s="48"/>
      <c r="AV51" s="48"/>
      <c r="AW51" s="48"/>
      <c r="AX51" s="12" t="str">
        <f t="shared" si="63"/>
        <v>Snotling</v>
      </c>
      <c r="AY51" s="12" t="str">
        <f>IFERROR((VLOOKUP($BO$1&amp;B48,Teams!D:S,12,0)),0)</f>
        <v>S</v>
      </c>
      <c r="AZ51" s="12" t="str">
        <f>IFERROR((VLOOKUP($BO$1&amp;B48,Teams!D:S,13,0)),0)</f>
        <v>P</v>
      </c>
      <c r="BA51" s="12" t="str">
        <f>IFERROR((VLOOKUP($BO$1&amp;B48,Teams!D:S,14,0)),0)</f>
        <v>S</v>
      </c>
      <c r="BB51" s="12">
        <f>IFERROR((VLOOKUP($BO$1&amp;B48,Teams!D:S,15,0)),0)</f>
        <v>0</v>
      </c>
      <c r="BC51" s="12">
        <f>IFERROR((VLOOKUP($BO$1&amp;B48,Teams!D:S,16,0)),0)</f>
        <v>0</v>
      </c>
      <c r="BD51" s="12">
        <v>20000</v>
      </c>
      <c r="BE51" s="12">
        <v>10000</v>
      </c>
      <c r="BF51" s="12">
        <v>40000</v>
      </c>
      <c r="BG51" s="12">
        <v>20000</v>
      </c>
      <c r="BH51" s="12">
        <v>80000</v>
      </c>
      <c r="BI51" s="12">
        <f t="shared" si="64"/>
        <v>0</v>
      </c>
      <c r="BJ51" s="12"/>
      <c r="BK51" s="12">
        <f t="shared" si="65"/>
        <v>0</v>
      </c>
      <c r="BL51" s="12">
        <f t="shared" si="66"/>
        <v>0</v>
      </c>
      <c r="BM51" s="12">
        <f t="shared" si="67"/>
        <v>0</v>
      </c>
      <c r="BN51" s="12">
        <f t="shared" si="68"/>
        <v>0</v>
      </c>
      <c r="BO51" s="12">
        <f t="shared" si="69"/>
        <v>0</v>
      </c>
      <c r="BP51" s="12">
        <f t="shared" si="70"/>
        <v>0</v>
      </c>
      <c r="BQ51" s="2"/>
      <c r="BR51" s="2"/>
      <c r="BS51" s="12">
        <f t="shared" si="71"/>
        <v>0</v>
      </c>
      <c r="BT51" s="12">
        <f t="shared" si="72"/>
        <v>0</v>
      </c>
      <c r="BU51" s="12">
        <f t="shared" si="73"/>
        <v>0</v>
      </c>
      <c r="BV51" s="12">
        <f t="shared" si="74"/>
        <v>0</v>
      </c>
      <c r="BW51" s="12">
        <f t="shared" si="75"/>
        <v>0</v>
      </c>
      <c r="BX51" s="12">
        <f t="shared" si="76"/>
        <v>0</v>
      </c>
      <c r="BY51" s="12"/>
      <c r="BZ51" s="12">
        <f t="shared" si="77"/>
        <v>0</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0</v>
      </c>
      <c r="CV51" s="12">
        <f t="shared" si="86"/>
        <v>0</v>
      </c>
      <c r="CW51" s="12">
        <f t="shared" si="87"/>
        <v>0</v>
      </c>
      <c r="CX51" s="12">
        <f t="shared" si="88"/>
        <v>0</v>
      </c>
      <c r="CY51" s="12">
        <f t="shared" si="89"/>
        <v>0</v>
      </c>
      <c r="CZ51" s="12">
        <f t="shared" si="90"/>
        <v>0</v>
      </c>
      <c r="DA51" s="48"/>
      <c r="DB51" s="48"/>
    </row>
    <row r="52" spans="1:106" ht="22.5" customHeight="1">
      <c r="A52" s="8">
        <v>16</v>
      </c>
      <c r="B52" s="51" t="str">
        <f t="shared" si="60"/>
        <v>Snotling</v>
      </c>
      <c r="C52" s="259"/>
      <c r="D52" s="249"/>
      <c r="E52" s="259"/>
      <c r="F52" s="249"/>
      <c r="G52" s="259"/>
      <c r="H52" s="248"/>
      <c r="I52" s="248"/>
      <c r="J52" s="249"/>
      <c r="K52" s="256"/>
      <c r="L52" s="249"/>
      <c r="M52" s="259"/>
      <c r="N52" s="249"/>
      <c r="O52" s="256"/>
      <c r="P52" s="249"/>
      <c r="Q52" s="259"/>
      <c r="R52" s="249"/>
      <c r="S52" s="256"/>
      <c r="T52" s="249"/>
      <c r="U52" s="259"/>
      <c r="V52" s="249"/>
      <c r="W52" s="256"/>
      <c r="X52" s="249"/>
      <c r="Y52" s="259"/>
      <c r="Z52" s="249"/>
      <c r="AA52" s="256"/>
      <c r="AB52" s="249"/>
      <c r="AC52" s="257"/>
      <c r="AD52" s="249"/>
      <c r="AE52" s="257"/>
      <c r="AF52" s="249"/>
      <c r="AG52" s="258">
        <f t="shared" si="61"/>
        <v>0</v>
      </c>
      <c r="AH52" s="263"/>
      <c r="AI52" s="34">
        <f t="shared" si="62"/>
        <v>0</v>
      </c>
      <c r="AJ52" s="56">
        <v>0</v>
      </c>
      <c r="AK52" s="54">
        <v>0</v>
      </c>
      <c r="AL52" s="54">
        <v>0</v>
      </c>
      <c r="AM52" s="54">
        <v>0</v>
      </c>
      <c r="AN52" s="54">
        <v>0</v>
      </c>
      <c r="AO52" s="54">
        <v>0</v>
      </c>
      <c r="AP52" s="240"/>
      <c r="AQ52" s="48"/>
      <c r="AR52" s="48"/>
      <c r="AS52" s="48"/>
      <c r="AT52" s="48"/>
      <c r="AU52" s="48"/>
      <c r="AV52" s="48"/>
      <c r="AW52" s="48"/>
      <c r="AX52" s="12" t="str">
        <f t="shared" si="63"/>
        <v>Snotling</v>
      </c>
      <c r="AY52" s="12" t="str">
        <f>IFERROR((VLOOKUP($BO$1&amp;B49,Teams!D:S,12,0)),0)</f>
        <v>S</v>
      </c>
      <c r="AZ52" s="12" t="str">
        <f>IFERROR((VLOOKUP($BO$1&amp;B49,Teams!D:S,13,0)),0)</f>
        <v>P</v>
      </c>
      <c r="BA52" s="12" t="str">
        <f>IFERROR((VLOOKUP($BO$1&amp;B49,Teams!D:S,14,0)),0)</f>
        <v>S</v>
      </c>
      <c r="BB52" s="12">
        <f>IFERROR((VLOOKUP($BO$1&amp;B49,Teams!D:S,15,0)),0)</f>
        <v>0</v>
      </c>
      <c r="BC52" s="12">
        <f>IFERROR((VLOOKUP($BO$1&amp;B49,Teams!D:S,16,0)),0)</f>
        <v>0</v>
      </c>
      <c r="BD52" s="12">
        <v>20000</v>
      </c>
      <c r="BE52" s="12">
        <v>10000</v>
      </c>
      <c r="BF52" s="12">
        <v>40000</v>
      </c>
      <c r="BG52" s="12">
        <v>20000</v>
      </c>
      <c r="BH52" s="12">
        <v>80000</v>
      </c>
      <c r="BI52" s="12">
        <f t="shared" si="64"/>
        <v>20000</v>
      </c>
      <c r="BJ52" s="12"/>
      <c r="BK52" s="12" t="str">
        <f t="shared" si="65"/>
        <v>A</v>
      </c>
      <c r="BL52" s="12">
        <f t="shared" si="66"/>
        <v>0</v>
      </c>
      <c r="BM52" s="12">
        <f t="shared" si="67"/>
        <v>0</v>
      </c>
      <c r="BN52" s="12">
        <f t="shared" si="68"/>
        <v>0</v>
      </c>
      <c r="BO52" s="12">
        <f t="shared" si="69"/>
        <v>0</v>
      </c>
      <c r="BP52" s="12">
        <f t="shared" si="70"/>
        <v>0</v>
      </c>
      <c r="BQ52" s="2"/>
      <c r="BR52" s="2"/>
      <c r="BS52" s="12" t="str">
        <f t="shared" si="71"/>
        <v>P</v>
      </c>
      <c r="BT52" s="12">
        <f t="shared" si="72"/>
        <v>0</v>
      </c>
      <c r="BU52" s="12">
        <f t="shared" si="73"/>
        <v>0</v>
      </c>
      <c r="BV52" s="12">
        <f t="shared" si="74"/>
        <v>0</v>
      </c>
      <c r="BW52" s="12">
        <f t="shared" si="75"/>
        <v>0</v>
      </c>
      <c r="BX52" s="12">
        <f t="shared" si="76"/>
        <v>0</v>
      </c>
      <c r="BY52" s="12"/>
      <c r="BZ52" s="12" t="str">
        <f t="shared" si="77"/>
        <v>Chosen</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20000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6</v>
      </c>
      <c r="CV52" s="12">
        <f t="shared" si="86"/>
        <v>0</v>
      </c>
      <c r="CW52" s="12">
        <f t="shared" si="87"/>
        <v>0</v>
      </c>
      <c r="CX52" s="12">
        <f t="shared" si="88"/>
        <v>0</v>
      </c>
      <c r="CY52" s="12">
        <f t="shared" si="89"/>
        <v>0</v>
      </c>
      <c r="CZ52" s="12">
        <f t="shared" si="90"/>
        <v>0</v>
      </c>
      <c r="DA52" s="48"/>
      <c r="DB52" s="48"/>
    </row>
    <row r="53" spans="1:106" ht="15" customHeight="1">
      <c r="A53" s="30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4"/>
      <c r="AP53" s="241"/>
      <c r="AQ53" s="48"/>
      <c r="AR53" s="48"/>
      <c r="AS53" s="48"/>
      <c r="AT53" s="48"/>
      <c r="AU53" s="48"/>
      <c r="AV53" s="48"/>
      <c r="AW53" s="48"/>
      <c r="AX53" s="12" t="str">
        <f t="shared" si="63"/>
        <v>Snotling</v>
      </c>
      <c r="AY53" s="12" t="str">
        <f>IFERROR((VLOOKUP($BO$1&amp;B50,Teams!D:S,12,0)),0)</f>
        <v>S</v>
      </c>
      <c r="AZ53" s="12" t="str">
        <f>IFERROR((VLOOKUP($BO$1&amp;B50,Teams!D:S,13,0)),0)</f>
        <v>P</v>
      </c>
      <c r="BA53" s="12" t="str">
        <f>IFERROR((VLOOKUP($BO$1&amp;B50,Teams!D:S,14,0)),0)</f>
        <v>S</v>
      </c>
      <c r="BB53" s="12">
        <f>IFERROR((VLOOKUP($BO$1&amp;B50,Teams!D:S,15,0)),0)</f>
        <v>0</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48"/>
      <c r="DB53" s="48"/>
    </row>
    <row r="54" spans="1:106" ht="22.5" hidden="1" customHeight="1">
      <c r="A54" s="46"/>
      <c r="B54" s="46"/>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8"/>
      <c r="AQ54" s="11"/>
      <c r="AR54" s="46"/>
      <c r="AS54" s="46"/>
      <c r="AT54" s="46"/>
      <c r="AU54" s="46"/>
      <c r="AV54" s="46"/>
      <c r="AW54" s="46"/>
      <c r="AX54" s="12" t="str">
        <f t="shared" si="63"/>
        <v>Snotling</v>
      </c>
      <c r="AY54" s="12" t="str">
        <f>IFERROR((VLOOKUP($BO$1&amp;B51,Teams!D:S,12,0)),0)</f>
        <v>S</v>
      </c>
      <c r="AZ54" s="12" t="str">
        <f>IFERROR((VLOOKUP($BO$1&amp;B51,Teams!D:S,13,0)),0)</f>
        <v>P</v>
      </c>
      <c r="BA54" s="12" t="str">
        <f>IFERROR((VLOOKUP($BO$1&amp;B51,Teams!D:S,14,0)),0)</f>
        <v>S</v>
      </c>
      <c r="BB54" s="12">
        <f>IFERROR((VLOOKUP($BO$1&amp;B51,Teams!D:S,15,0)),0)</f>
        <v>0</v>
      </c>
      <c r="BC54" s="12">
        <f>IFERROR((VLOOKUP($BO$1&amp;B51,Teams!D:S,16,0)),0)</f>
        <v>0</v>
      </c>
      <c r="BD54" s="12">
        <v>20000</v>
      </c>
      <c r="BE54" s="12">
        <v>10000</v>
      </c>
      <c r="BF54" s="12">
        <v>40000</v>
      </c>
      <c r="BG54" s="12">
        <v>20000</v>
      </c>
      <c r="BH54" s="12">
        <v>80000</v>
      </c>
      <c r="BI54" s="12">
        <f t="shared" si="64"/>
        <v>0</v>
      </c>
      <c r="BJ54" s="12"/>
      <c r="BK54" s="12">
        <f t="shared" si="65"/>
        <v>0</v>
      </c>
      <c r="BL54" s="12">
        <f t="shared" si="66"/>
        <v>0</v>
      </c>
      <c r="BM54" s="12">
        <f t="shared" si="67"/>
        <v>0</v>
      </c>
      <c r="BN54" s="12">
        <f t="shared" si="68"/>
        <v>0</v>
      </c>
      <c r="BO54" s="12">
        <f t="shared" si="69"/>
        <v>0</v>
      </c>
      <c r="BP54" s="12">
        <f t="shared" si="70"/>
        <v>0</v>
      </c>
      <c r="BQ54" s="2"/>
      <c r="BR54" s="2"/>
      <c r="BS54" s="12">
        <f t="shared" si="71"/>
        <v>0</v>
      </c>
      <c r="BT54" s="12">
        <f t="shared" si="72"/>
        <v>0</v>
      </c>
      <c r="BU54" s="12">
        <f t="shared" si="73"/>
        <v>0</v>
      </c>
      <c r="BV54" s="12">
        <f t="shared" si="74"/>
        <v>0</v>
      </c>
      <c r="BW54" s="12">
        <f t="shared" si="75"/>
        <v>0</v>
      </c>
      <c r="BX54" s="12">
        <f t="shared" si="76"/>
        <v>0</v>
      </c>
      <c r="BY54" s="12"/>
      <c r="BZ54" s="12">
        <f t="shared" si="77"/>
        <v>0</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0</v>
      </c>
      <c r="CV54" s="12">
        <f t="shared" si="86"/>
        <v>0</v>
      </c>
      <c r="CW54" s="12">
        <f t="shared" si="87"/>
        <v>0</v>
      </c>
      <c r="CX54" s="12">
        <f t="shared" si="88"/>
        <v>0</v>
      </c>
      <c r="CY54" s="12">
        <f t="shared" si="89"/>
        <v>0</v>
      </c>
      <c r="CZ54" s="12">
        <f t="shared" si="90"/>
        <v>0</v>
      </c>
      <c r="DA54" s="12"/>
      <c r="DB54" s="12"/>
    </row>
    <row r="55" spans="1:106" ht="22.5" hidden="1" customHeight="1">
      <c r="A55" s="46"/>
      <c r="B55" s="46"/>
      <c r="C55" s="59"/>
      <c r="D55" s="59"/>
      <c r="E55" s="59"/>
      <c r="F55" s="59"/>
      <c r="G55" s="60"/>
      <c r="H55" s="60"/>
      <c r="I55" s="60"/>
      <c r="J55" s="59"/>
      <c r="K55" s="59"/>
      <c r="L55" s="59"/>
      <c r="M55" s="61"/>
      <c r="N55" s="61"/>
      <c r="O55" s="59"/>
      <c r="P55" s="59"/>
      <c r="Q55" s="59"/>
      <c r="R55" s="59"/>
      <c r="S55" s="62"/>
      <c r="T55" s="59"/>
      <c r="U55" s="59"/>
      <c r="V55" s="59"/>
      <c r="W55" s="59"/>
      <c r="X55" s="62"/>
      <c r="Y55" s="59"/>
      <c r="Z55" s="59"/>
      <c r="AA55" s="59"/>
      <c r="AB55" s="59"/>
      <c r="AC55" s="62"/>
      <c r="AD55" s="59"/>
      <c r="AE55" s="59"/>
      <c r="AF55" s="59"/>
      <c r="AG55" s="59"/>
      <c r="AH55" s="62"/>
      <c r="AI55" s="59"/>
      <c r="AJ55" s="59"/>
      <c r="AK55" s="59"/>
      <c r="AL55" s="59"/>
      <c r="AM55" s="62"/>
      <c r="AN55" s="46"/>
      <c r="AO55" s="46"/>
      <c r="AP55" s="58"/>
      <c r="AQ55" s="11"/>
      <c r="AR55" s="46"/>
      <c r="AS55" s="46"/>
      <c r="AT55" s="46"/>
      <c r="AU55" s="46"/>
      <c r="AV55" s="46"/>
      <c r="AW55" s="46"/>
      <c r="AX55" s="12" t="str">
        <f t="shared" si="63"/>
        <v>Snotling</v>
      </c>
      <c r="AY55" s="12" t="str">
        <f>IFERROR((VLOOKUP($BO$1&amp;B52,Teams!D:S,12,0)),0)</f>
        <v>S</v>
      </c>
      <c r="AZ55" s="12" t="str">
        <f>IFERROR((VLOOKUP($BO$1&amp;B52,Teams!D:S,13,0)),0)</f>
        <v>P</v>
      </c>
      <c r="BA55" s="12" t="str">
        <f>IFERROR((VLOOKUP($BO$1&amp;B52,Teams!D:S,14,0)),0)</f>
        <v>S</v>
      </c>
      <c r="BB55" s="12">
        <f>IFERROR((VLOOKUP($BO$1&amp;B52,Teams!D:S,15,0)),0)</f>
        <v>0</v>
      </c>
      <c r="BC55" s="12">
        <f>IFERROR((VLOOKUP($BO$1&amp;B52,Teams!D:S,16,0)),0)</f>
        <v>0</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6"/>
      <c r="B56" s="46"/>
      <c r="C56" s="59"/>
      <c r="D56" s="59"/>
      <c r="E56" s="59"/>
      <c r="F56" s="59"/>
      <c r="G56" s="60"/>
      <c r="H56" s="60"/>
      <c r="I56" s="60"/>
      <c r="J56" s="59"/>
      <c r="K56" s="59"/>
      <c r="L56" s="59"/>
      <c r="M56" s="61"/>
      <c r="N56" s="61"/>
      <c r="O56" s="59"/>
      <c r="P56" s="59"/>
      <c r="Q56" s="59"/>
      <c r="R56" s="59"/>
      <c r="S56" s="62"/>
      <c r="T56" s="59"/>
      <c r="U56" s="59"/>
      <c r="V56" s="59"/>
      <c r="W56" s="59"/>
      <c r="X56" s="62"/>
      <c r="Y56" s="59"/>
      <c r="Z56" s="59"/>
      <c r="AA56" s="59"/>
      <c r="AB56" s="59"/>
      <c r="AC56" s="62"/>
      <c r="AD56" s="59"/>
      <c r="AE56" s="59"/>
      <c r="AF56" s="59"/>
      <c r="AG56" s="59"/>
      <c r="AH56" s="62"/>
      <c r="AI56" s="59"/>
      <c r="AJ56" s="59"/>
      <c r="AK56" s="59"/>
      <c r="AL56" s="59"/>
      <c r="AM56" s="62"/>
      <c r="AN56" s="46"/>
      <c r="AO56" s="46"/>
      <c r="AP56" s="58"/>
      <c r="AQ56" s="11"/>
      <c r="AR56" s="46"/>
      <c r="AS56" s="46"/>
      <c r="AT56" s="46"/>
      <c r="AU56" s="46"/>
      <c r="AV56" s="46"/>
      <c r="AW56" s="46"/>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6"/>
      <c r="B57" s="46"/>
      <c r="C57" s="59"/>
      <c r="D57" s="59"/>
      <c r="E57" s="59"/>
      <c r="F57" s="59"/>
      <c r="G57" s="60"/>
      <c r="H57" s="60"/>
      <c r="I57" s="60"/>
      <c r="J57" s="59"/>
      <c r="K57" s="59"/>
      <c r="L57" s="59"/>
      <c r="M57" s="59"/>
      <c r="N57" s="62"/>
      <c r="O57" s="59"/>
      <c r="P57" s="59"/>
      <c r="Q57" s="59"/>
      <c r="R57" s="59"/>
      <c r="S57" s="62"/>
      <c r="T57" s="59"/>
      <c r="U57" s="59"/>
      <c r="V57" s="59"/>
      <c r="W57" s="59"/>
      <c r="X57" s="62"/>
      <c r="Y57" s="59"/>
      <c r="Z57" s="59"/>
      <c r="AA57" s="59"/>
      <c r="AB57" s="59"/>
      <c r="AC57" s="62"/>
      <c r="AD57" s="59"/>
      <c r="AE57" s="59"/>
      <c r="AF57" s="59"/>
      <c r="AG57" s="59"/>
      <c r="AH57" s="62"/>
      <c r="AI57" s="59"/>
      <c r="AJ57" s="59"/>
      <c r="AK57" s="59"/>
      <c r="AL57" s="63"/>
      <c r="AM57" s="63"/>
      <c r="AN57" s="46"/>
      <c r="AO57" s="46"/>
      <c r="AP57" s="58"/>
      <c r="AQ57" s="11"/>
      <c r="AR57" s="46"/>
      <c r="AS57" s="46"/>
      <c r="AT57" s="46"/>
      <c r="AU57" s="46"/>
      <c r="AV57" s="46"/>
      <c r="AW57" s="46"/>
      <c r="AX57" s="12"/>
      <c r="AY57" s="12"/>
      <c r="AZ57" s="12"/>
      <c r="BA57" s="12"/>
      <c r="BB57" s="12"/>
      <c r="BC57" s="12"/>
      <c r="BD57" s="12"/>
      <c r="BE57" s="12"/>
      <c r="BF57" s="2"/>
      <c r="BG57" s="2"/>
      <c r="BH57" s="2"/>
      <c r="BI57" s="64"/>
      <c r="BJ57" s="64"/>
      <c r="BK57" s="12"/>
      <c r="BL57" s="2"/>
      <c r="BM57" s="12"/>
      <c r="BN57" s="12"/>
      <c r="BO57" s="12"/>
      <c r="BP57" s="2"/>
      <c r="BQ57" s="2"/>
      <c r="BR57" s="2"/>
      <c r="BS57" s="65"/>
      <c r="BT57" s="12"/>
      <c r="BU57" s="13"/>
      <c r="BV57" s="13"/>
      <c r="BW57" s="12"/>
      <c r="BX57" s="12"/>
      <c r="BY57" s="12"/>
      <c r="BZ57" s="12"/>
      <c r="CA57" s="13"/>
      <c r="CB57" s="12"/>
      <c r="CC57" s="12"/>
      <c r="CD57" s="12"/>
      <c r="CE57" s="12"/>
      <c r="CF57" s="12"/>
      <c r="CG57" s="12" t="str">
        <f>VLOOKUP(CG58,Teams!$D:$T,17,FALSE)</f>
        <v>M</v>
      </c>
      <c r="CH57" s="12" t="str">
        <f>VLOOKUP(CH58,Teams!$D:$T,17,FALSE)</f>
        <v>M</v>
      </c>
      <c r="CI57" s="12" t="str">
        <f>VLOOKUP(CI58,Teams!$D:$T,17,FALSE)</f>
        <v>PM</v>
      </c>
      <c r="CJ57" s="12" t="str">
        <f>VLOOKUP(CJ58,Teams!$D:$T,17,FALSE)</f>
        <v>PM</v>
      </c>
      <c r="CK57" s="12" t="str">
        <f>VLOOKUP(CK58,Teams!$D:$T,17,FALSE)</f>
        <v>PM</v>
      </c>
      <c r="CL57" s="12" t="str">
        <f>VLOOKUP(CL58,Teams!$D:$T,17,FALSE)</f>
        <v>PM</v>
      </c>
      <c r="CM57" s="12" t="str">
        <f>VLOOKUP(CM58,Teams!$D:$T,17,FALSE)</f>
        <v>PM</v>
      </c>
      <c r="CN57" s="12" t="str">
        <f>VLOOKUP(CN58,Teams!$D:$T,17,FALSE)</f>
        <v>PM</v>
      </c>
      <c r="CO57" s="12" t="str">
        <f>VLOOKUP(CO58,Teams!$D:$T,17,FALSE)</f>
        <v>M</v>
      </c>
      <c r="CP57" s="12" t="str">
        <f>VLOOKUP(CP58,Teams!$D:$T,17,FALSE)</f>
        <v>M</v>
      </c>
      <c r="CQ57" s="12" t="str">
        <f>VLOOKUP(CQ58,Teams!$D:$T,17,FALSE)</f>
        <v>PM</v>
      </c>
      <c r="CR57" s="12" t="str">
        <f>VLOOKUP(CR58,Teams!$D:$T,17,FALSE)</f>
        <v>PM</v>
      </c>
      <c r="CS57" s="12" t="str">
        <f>VLOOKUP(CS58,Teams!$D:$T,17,FALSE)</f>
        <v>PM</v>
      </c>
      <c r="CT57" s="12" t="str">
        <f>VLOOKUP(CT58,Teams!$D:$T,17,FALSE)</f>
        <v>PM</v>
      </c>
      <c r="CU57" s="12" t="str">
        <f>VLOOKUP(CU58,Teams!$D:$T,17,FALSE)</f>
        <v>PM</v>
      </c>
      <c r="CV57" s="12" t="str">
        <f>VLOOKUP(CV58,Teams!$D:$T,17,FALSE)</f>
        <v>PM</v>
      </c>
      <c r="CW57" s="2"/>
      <c r="CX57" s="2"/>
      <c r="CY57" s="2"/>
      <c r="CZ57" s="12"/>
      <c r="DA57" s="2"/>
      <c r="DB57" s="2"/>
    </row>
    <row r="58" spans="1:106" ht="1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5"/>
      <c r="BT58" s="12"/>
      <c r="BU58" s="13"/>
      <c r="BV58" s="13"/>
      <c r="BW58" s="12"/>
      <c r="BX58" s="12"/>
      <c r="BY58" s="12"/>
      <c r="BZ58" s="12"/>
      <c r="CA58" s="13"/>
      <c r="CB58" s="12"/>
      <c r="CC58" s="12"/>
      <c r="CD58" s="12"/>
      <c r="CE58" s="12"/>
      <c r="CF58" s="12"/>
      <c r="CG58" s="66" t="str">
        <f>$BO$1&amp;$C2</f>
        <v>SnotlingFungus Flinga</v>
      </c>
      <c r="CH58" s="66" t="str">
        <f>$BO$1&amp;$C3</f>
        <v>SnotlingFungus Flinga</v>
      </c>
      <c r="CI58" s="67" t="str">
        <f>$BO$1&amp;$C4</f>
        <v>SnotlingFun-hoppa</v>
      </c>
      <c r="CJ58" s="68" t="str">
        <f>$BO$1&amp;$C5</f>
        <v>SnotlingFun-hoppa</v>
      </c>
      <c r="CK58" s="68" t="str">
        <f>$BO$1&amp;$C6</f>
        <v>SnotlingStilty Runna</v>
      </c>
      <c r="CL58" s="68" t="str">
        <f>$BO$1&amp;$C7</f>
        <v>SnotlingStilty Runna</v>
      </c>
      <c r="CM58" s="67" t="str">
        <f>$BO$1&amp;$C8</f>
        <v>SnotlingPump Wagon</v>
      </c>
      <c r="CN58" s="68" t="str">
        <f>$BO$1&amp;$C9</f>
        <v>SnotlingPump Wagon</v>
      </c>
      <c r="CO58" s="68" t="str">
        <f>$BO$1&amp;$C10</f>
        <v>SnotlingTrained Troll</v>
      </c>
      <c r="CP58" s="68" t="str">
        <f>$BO$1&amp;$C11</f>
        <v>SnotlingTrained Troll</v>
      </c>
      <c r="CQ58" s="67" t="str">
        <f>$BO$1&amp;$C12</f>
        <v>SnotlingSnotling</v>
      </c>
      <c r="CR58" s="68" t="str">
        <f>$BO$1&amp;$C13</f>
        <v>SnotlingSnotling</v>
      </c>
      <c r="CS58" s="68" t="str">
        <f>$BO$1&amp;$C14</f>
        <v>SnotlingSnotling</v>
      </c>
      <c r="CT58" s="68" t="str">
        <f>$BO$1&amp;$C15</f>
        <v>SnotlingSnotling</v>
      </c>
      <c r="CU58" s="67" t="str">
        <f>$BO$1&amp;$C16</f>
        <v>SnotlingSnotling</v>
      </c>
      <c r="CV58" s="68" t="str">
        <f>$BO$1&amp;$C17</f>
        <v>SnotlingSnotling</v>
      </c>
      <c r="CW58" s="2"/>
      <c r="CX58" s="2"/>
      <c r="CY58" s="2"/>
      <c r="CZ58" s="12"/>
      <c r="DA58" s="2"/>
      <c r="DB58" s="2"/>
    </row>
    <row r="59" spans="1:106" ht="15" hidden="1" customHeight="1">
      <c r="A59" s="12"/>
      <c r="B59" s="278" t="s">
        <v>241</v>
      </c>
      <c r="C59" s="277"/>
      <c r="D59" s="277"/>
      <c r="E59" s="277"/>
      <c r="F59" s="277"/>
      <c r="G59" s="12"/>
      <c r="H59" s="12"/>
      <c r="I59" s="12"/>
      <c r="J59" s="12"/>
      <c r="K59" s="278" t="s">
        <v>242</v>
      </c>
      <c r="L59" s="277"/>
      <c r="M59" s="277"/>
      <c r="N59" s="277"/>
      <c r="O59" s="277"/>
      <c r="P59" s="12"/>
      <c r="Q59" s="278" t="s">
        <v>243</v>
      </c>
      <c r="R59" s="277"/>
      <c r="S59" s="277"/>
      <c r="T59" s="277"/>
      <c r="U59" s="277"/>
      <c r="V59" s="12"/>
      <c r="W59" s="278" t="s">
        <v>244</v>
      </c>
      <c r="X59" s="277"/>
      <c r="Y59" s="277"/>
      <c r="Z59" s="277"/>
      <c r="AA59" s="277"/>
      <c r="AB59" s="12"/>
      <c r="AC59" s="278" t="s">
        <v>245</v>
      </c>
      <c r="AD59" s="277"/>
      <c r="AE59" s="277"/>
      <c r="AF59" s="277"/>
      <c r="AG59" s="277"/>
      <c r="AH59" s="12"/>
      <c r="AI59" s="12"/>
      <c r="AJ59" s="12"/>
      <c r="AK59" s="278" t="s">
        <v>246</v>
      </c>
      <c r="AL59" s="277"/>
      <c r="AM59" s="277"/>
      <c r="AN59" s="277"/>
      <c r="AO59" s="277"/>
      <c r="AP59" s="11"/>
      <c r="AQ59" s="11"/>
      <c r="AR59" s="49" t="s">
        <v>247</v>
      </c>
      <c r="AS59" s="49"/>
      <c r="AT59" s="49"/>
      <c r="AU59" s="49"/>
      <c r="AV59" s="49"/>
      <c r="AW59" s="49"/>
      <c r="AX59" s="49" t="s">
        <v>248</v>
      </c>
      <c r="AY59" s="49" t="s">
        <v>249</v>
      </c>
      <c r="AZ59" s="49" t="s">
        <v>250</v>
      </c>
      <c r="BA59" s="49" t="s">
        <v>251</v>
      </c>
      <c r="BB59" s="49" t="s">
        <v>252</v>
      </c>
      <c r="BC59" s="12"/>
      <c r="BD59" s="69" t="s">
        <v>197</v>
      </c>
      <c r="BE59" s="2"/>
      <c r="BF59" s="12"/>
      <c r="BG59" s="12"/>
      <c r="BH59" s="69" t="s">
        <v>192</v>
      </c>
      <c r="BI59" s="2"/>
      <c r="BJ59" s="2"/>
      <c r="BK59" s="12"/>
      <c r="BL59" s="69" t="s">
        <v>208</v>
      </c>
      <c r="BM59" s="12"/>
      <c r="BN59" s="2"/>
      <c r="BO59" s="69" t="s">
        <v>212</v>
      </c>
      <c r="BP59" s="12"/>
      <c r="BQ59" s="2"/>
      <c r="BR59" s="69" t="s">
        <v>173</v>
      </c>
      <c r="BS59" s="276" t="s">
        <v>253</v>
      </c>
      <c r="BT59" s="277"/>
      <c r="BU59" s="276" t="s">
        <v>227</v>
      </c>
      <c r="BV59" s="277"/>
      <c r="BW59" s="276" t="s">
        <v>228</v>
      </c>
      <c r="BX59" s="277"/>
      <c r="BY59" s="276" t="s">
        <v>254</v>
      </c>
      <c r="BZ59" s="277"/>
      <c r="CA59" s="12"/>
      <c r="CB59" s="12" t="str">
        <f>""</f>
        <v/>
      </c>
      <c r="CC59" s="12"/>
      <c r="CD59" s="12" t="str">
        <f>""</f>
        <v/>
      </c>
      <c r="CE59" s="12"/>
      <c r="CF59" s="45"/>
      <c r="CG59" s="45" t="s">
        <v>255</v>
      </c>
      <c r="CH59" s="45" t="s">
        <v>256</v>
      </c>
      <c r="CI59" s="45" t="s">
        <v>257</v>
      </c>
      <c r="CJ59" s="45" t="s">
        <v>258</v>
      </c>
      <c r="CK59" s="45" t="s">
        <v>259</v>
      </c>
      <c r="CL59" s="45" t="s">
        <v>260</v>
      </c>
      <c r="CM59" s="45" t="s">
        <v>261</v>
      </c>
      <c r="CN59" s="45" t="s">
        <v>262</v>
      </c>
      <c r="CO59" s="45" t="s">
        <v>263</v>
      </c>
      <c r="CP59" s="45" t="s">
        <v>264</v>
      </c>
      <c r="CQ59" s="45" t="s">
        <v>265</v>
      </c>
      <c r="CR59" s="45" t="s">
        <v>266</v>
      </c>
      <c r="CS59" s="45" t="s">
        <v>267</v>
      </c>
      <c r="CT59" s="45" t="s">
        <v>268</v>
      </c>
      <c r="CU59" s="45" t="s">
        <v>269</v>
      </c>
      <c r="CV59" s="45" t="s">
        <v>270</v>
      </c>
      <c r="CW59" s="2"/>
      <c r="CX59" s="2"/>
      <c r="CY59" s="2"/>
      <c r="CZ59" s="45"/>
      <c r="DA59" s="2"/>
      <c r="DB59" s="2"/>
    </row>
    <row r="60" spans="1:106" ht="15" hidden="1" customHeight="1">
      <c r="A60" s="12"/>
      <c r="B60" s="302" t="str">
        <f>IF(J31&lt;0,(IF(J25="Italiano","AVETE SPESO TROPPO!   ",IF(J25="Español","¡HAS GASTADO DEMASIADO!   ",(IF(J25="Deutsch","ZU VIEL AUSGEGEBEN!   ",(IF(J25="Français","TU DÉPENSES TROP!   ","YOU HAVE EXPENT TOO MUCH!   "))))))),"")</f>
        <v/>
      </c>
      <c r="C60" s="277"/>
      <c r="D60" s="277"/>
      <c r="E60" s="277"/>
      <c r="F60" s="277"/>
      <c r="G60" s="12"/>
      <c r="H60" s="12"/>
      <c r="I60" s="12"/>
      <c r="J60" s="12"/>
      <c r="K60" s="25" t="s">
        <v>229</v>
      </c>
      <c r="L60" s="25" t="s">
        <v>233</v>
      </c>
      <c r="M60" s="25" t="s">
        <v>231</v>
      </c>
      <c r="N60" s="25" t="s">
        <v>232</v>
      </c>
      <c r="O60" s="25" t="s">
        <v>230</v>
      </c>
      <c r="P60" s="12"/>
      <c r="Q60" s="25" t="s">
        <v>229</v>
      </c>
      <c r="R60" s="25" t="s">
        <v>233</v>
      </c>
      <c r="S60" s="25" t="s">
        <v>231</v>
      </c>
      <c r="T60" s="25" t="s">
        <v>232</v>
      </c>
      <c r="U60" s="25" t="s">
        <v>230</v>
      </c>
      <c r="V60" s="12"/>
      <c r="W60" s="25" t="s">
        <v>229</v>
      </c>
      <c r="X60" s="25" t="s">
        <v>233</v>
      </c>
      <c r="Y60" s="25" t="s">
        <v>231</v>
      </c>
      <c r="Z60" s="25" t="s">
        <v>232</v>
      </c>
      <c r="AA60" s="25" t="s">
        <v>230</v>
      </c>
      <c r="AB60" s="12"/>
      <c r="AC60" s="25" t="s">
        <v>229</v>
      </c>
      <c r="AD60" s="25" t="s">
        <v>233</v>
      </c>
      <c r="AE60" s="25" t="s">
        <v>231</v>
      </c>
      <c r="AF60" s="25" t="s">
        <v>232</v>
      </c>
      <c r="AG60" s="25" t="s">
        <v>230</v>
      </c>
      <c r="AH60" s="12"/>
      <c r="AI60" s="12" t="b">
        <f>IF(J25="English","NI",(IF(J25="Español","LP",(IF(J25="Deutsch","HV",(IF(J25="Français","BP")))))))</f>
        <v>0</v>
      </c>
      <c r="AJ60" s="12"/>
      <c r="AK60" s="25" t="s">
        <v>229</v>
      </c>
      <c r="AL60" s="25" t="s">
        <v>233</v>
      </c>
      <c r="AM60" s="25" t="s">
        <v>231</v>
      </c>
      <c r="AN60" s="25" t="s">
        <v>232</v>
      </c>
      <c r="AO60" s="25" t="s">
        <v>230</v>
      </c>
      <c r="AP60" s="11"/>
      <c r="AQ60" s="11"/>
      <c r="AR60" s="12">
        <v>0</v>
      </c>
      <c r="AS60" s="12"/>
      <c r="AT60" s="12"/>
      <c r="AU60" s="12"/>
      <c r="AV60" s="12"/>
      <c r="AW60" s="12"/>
      <c r="AX60" s="12">
        <f>COUNTIF(BS40:BX55,"P")</f>
        <v>5</v>
      </c>
      <c r="AY60" s="12">
        <f>COUNTIF(BS40:BX55,"S")</f>
        <v>0</v>
      </c>
      <c r="AZ60" s="12">
        <f>AX60+AY60</f>
        <v>5</v>
      </c>
      <c r="BA60" s="12">
        <f>COUNTIF(BS40:BX55,"STAT")</f>
        <v>0</v>
      </c>
      <c r="BB60" s="12">
        <f>COUNTIF(I18:I19,1)</f>
        <v>0</v>
      </c>
      <c r="BC60" s="12"/>
      <c r="BD60" s="71" t="s">
        <v>271</v>
      </c>
      <c r="BE60" s="72">
        <v>100000</v>
      </c>
      <c r="BF60" s="72"/>
      <c r="BG60" s="12"/>
      <c r="BH60" s="71" t="str">
        <f>IF(J25="Español","HECHICERO-DEPORTIVO MERCENARIO",(IF(J25="Deutsch","SPORT-ZAUBERER",(IF(J25="Français","SORCIER-SPORTIF A GAGES","HIRELING SPORT-WIZARD")))))</f>
        <v>HIRELING SPORT-WIZARD</v>
      </c>
      <c r="BI60" s="72">
        <v>150000</v>
      </c>
      <c r="BJ60" s="72"/>
      <c r="BK60" s="12"/>
      <c r="BL60" s="71" t="s">
        <v>272</v>
      </c>
      <c r="BM60" s="72">
        <f>IFERROR(IF($BV$2="Bribery and Corruption",80000,120000),0)</f>
        <v>80000</v>
      </c>
      <c r="BN60" s="72"/>
      <c r="BO60" s="71" t="s">
        <v>273</v>
      </c>
      <c r="BP60" s="72">
        <f>IFERROR((IF(OR(COUNTIF($BU$2,"*BadlandsBrawl*")),50000,0)),0)</f>
        <v>0</v>
      </c>
      <c r="BQ60" s="2"/>
      <c r="BR60" s="71" t="s">
        <v>274</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Scelto</v>
      </c>
      <c r="CB60" s="12" t="str">
        <f>IF($J$25="Español","MO+",(IF($J$25="Deutsch","BE+",(IF($J$25="Français","M+","MA+")))))</f>
        <v>MA+</v>
      </c>
      <c r="CC60" s="12" t="s">
        <v>229</v>
      </c>
      <c r="CD60" s="2"/>
      <c r="CE60" s="12"/>
      <c r="CF60" s="12"/>
      <c r="CG60" s="66" t="str">
        <f t="shared" ref="CG60:CG140" si="122">IFERROR((IF($CG$57="M",BW60,IF($CG$57="PM",BY60,IF($CG$57="P",BU60,IF($CG$57="FULL",BS60))))),"")</f>
        <v/>
      </c>
      <c r="CH60" s="66" t="str">
        <f t="shared" ref="CH60:CH139" si="123">IFERROR((IF($CH$57="M",BW60,IF($CH$57="PM",BY60,IF($CH$57="P",BU60,IF($CH$57="FULL",BS60))))),"")</f>
        <v/>
      </c>
      <c r="CI60" s="68" t="str">
        <f t="shared" ref="CI60:CI139" si="124">IFERROR((IF($CI$57="M",BW60,IF($CI$57="PM",BY60,IF($CI$57="P",BU60,IF($CI$57="FULL",BS60))))),"")</f>
        <v/>
      </c>
      <c r="CJ60" s="68" t="str">
        <f t="shared" ref="CJ60:CJ139" si="125">IFERROR((IF($CJ$57="M",BW60,IF($CJ$57="PM",BY60,IF($CJ$57="P",BU60,IF($CJ$57="FULL",BS60))))),"")</f>
        <v/>
      </c>
      <c r="CK60" s="68" t="str">
        <f t="shared" ref="CK60:CK139" si="126">IFERROR((IF($CK$57="M",BW60,IF($CK$57="PM",BY60,IF($CK$57="P",BU60,IF($CK$57="FULL",BS60))))),"")</f>
        <v/>
      </c>
      <c r="CL60" s="68" t="str">
        <f t="shared" ref="CL60:CL139" si="127">IFERROR((IF($CL$57="M",BW60,IF($CL$57="PM",BY60,IF($CL$57="P",BU60,IF($CL$57="FULL",BS60))))),"")</f>
        <v/>
      </c>
      <c r="CM60" s="68" t="str">
        <f t="shared" ref="CM60:CM139" si="128">IFERROR((IF($CM$57="M",BW60,IF($CM$57="PM",BY60,IF($CM$57="P",BU60,IF($CM$57="FULL",BS60))))),"")</f>
        <v/>
      </c>
      <c r="CN60" s="68" t="str">
        <f t="shared" ref="CN60:CN139" si="129">IFERROR((IF($CN$57="M",BW60,IF($CN$57="PM",BY60,IF($CN$57="P",BU60,IF($CN$57="FULL",BS60))))),"")</f>
        <v/>
      </c>
      <c r="CO60" s="68" t="str">
        <f t="shared" ref="CO60:CO139" si="130">IFERROR((IF($CO$57="M",BW60,IF($CO$57="PM",BY60,IF($CO$57="P",BU60,IF($CO$57="FULL",BS60))))),"")</f>
        <v/>
      </c>
      <c r="CP60" s="68" t="str">
        <f t="shared" ref="CP60:CP139" si="131">IFERROR((IF($CP$57="M",BW60,IF($CP$57="PM",BY60,IF($CP$57="P",BU60,IF($CP$57="FULL",BS60))))),"")</f>
        <v/>
      </c>
      <c r="CQ60" s="68" t="str">
        <f t="shared" ref="CQ60:CQ139" si="132">IFERROR((IF($CQ$57="M",BW60,IF($CQ$57="PM",BY60,IF($CQ$57="P",BU60,IF($CQ$57="FULL",BS60))))),"")</f>
        <v/>
      </c>
      <c r="CR60" s="68" t="str">
        <f t="shared" ref="CR60:CR139" si="133">IFERROR((IF($CR$57="M",BW60,IF($CR$57="PM",BY60,IF($CR$57="P",BU60,IF($CR$57="FULL",BS60))))),"")</f>
        <v/>
      </c>
      <c r="CS60" s="68" t="str">
        <f t="shared" ref="CS60:CS139" si="134">IFERROR((IF($CS$57="M",BW60,IF($CS$57="PM",BY60,IF($CS$57="P",BU60,IF($CS$57="FULL",BS60))))),"")</f>
        <v/>
      </c>
      <c r="CT60" s="68" t="str">
        <f t="shared" ref="CT60:CT139" si="135">IFERROR((IF($CT$57="M",BW60,IF($CT$57="PM",BY60,IF($CT$57="P",BU60,IF($CT$57="FULL",BS60))))),"")</f>
        <v/>
      </c>
      <c r="CU60" s="68" t="str">
        <f t="shared" ref="CU60:CU139" si="136">IFERROR((IF($CU$57="M",BW60,IF($CU$57="PM",BY60,IF($CU$57="P",BU60,IF($CU$57="FULL",BS60))))),"")</f>
        <v/>
      </c>
      <c r="CV60" s="68" t="str">
        <f t="shared" ref="CV60:CV125" si="137">IFERROR((IF($CV$57="M",BW60,IF($CV$57="PM",BY60,IF($CV$57="P",BU60,IF($CV$57="FULL",BS60))))),"")</f>
        <v/>
      </c>
      <c r="CW60" s="2"/>
      <c r="CX60" s="2"/>
      <c r="CY60" s="2"/>
      <c r="CZ60" s="12"/>
      <c r="DA60" s="2"/>
      <c r="DB60" s="2"/>
    </row>
    <row r="61" spans="1:106" ht="15" hidden="1" customHeight="1">
      <c r="A61" s="12"/>
      <c r="B61" s="46"/>
      <c r="C61" s="46"/>
      <c r="D61" s="46"/>
      <c r="E61" s="46"/>
      <c r="F61" s="46"/>
      <c r="G61" s="12"/>
      <c r="H61" s="12"/>
      <c r="I61" s="12"/>
      <c r="J61" s="12"/>
      <c r="K61" s="11">
        <f t="shared" ref="K61:K76" si="138">IF(Q61=0,0,(IF(Q61&gt;9,9,(IF(Q61&lt;1,1,Q61)))))</f>
        <v>5</v>
      </c>
      <c r="L61" s="11">
        <f t="shared" ref="L61:L76" si="139">IF(R61=0,0,(IF(R61&gt;8,8,(IF(R61&lt;1,1,R61)))))</f>
        <v>1</v>
      </c>
      <c r="M61" s="11">
        <f t="shared" ref="M61:N61" si="140">IF(S61=0,0,(IF(S61&gt;6,6,(IF(S61&lt;1,1,S61)))))</f>
        <v>3</v>
      </c>
      <c r="N61" s="11">
        <f t="shared" si="140"/>
        <v>4</v>
      </c>
      <c r="O61" s="11">
        <f t="shared" ref="O61:O76" si="141">IF(U61=0,0,(IF(U61&gt;11,11,(IF(U61&lt;3,3,U61)))))</f>
        <v>6</v>
      </c>
      <c r="P61" s="12"/>
      <c r="Q61" s="11">
        <f>IFERROR((VLOOKUP($BO$1&amp;C2,Teams!D:M,2,0)+AK61+AC61),0)</f>
        <v>5</v>
      </c>
      <c r="R61" s="11">
        <f>IFERROR((VLOOKUP($BO$1&amp;C2,Teams!D:M,3,0)+AL61+AD61),0)</f>
        <v>1</v>
      </c>
      <c r="S61" s="11">
        <f>IFERROR((VLOOKUP($BO$1&amp;C2,Teams!D:M,4,0)+AM61-AE61),0)</f>
        <v>3</v>
      </c>
      <c r="T61" s="11">
        <f>IFERROR((VLOOKUP($BO$1&amp;C2,Teams!D:M,5,0)+AN61-AF61),0)</f>
        <v>4</v>
      </c>
      <c r="U61" s="11">
        <f>IFERROR((VLOOKUP($BO$1&amp;C2,Teams!D:M,6,0)+AO61+AG61),0)</f>
        <v>6</v>
      </c>
      <c r="V61" s="12"/>
      <c r="W61" s="12">
        <f>IFERROR((VLOOKUP($BO$1&amp;C2,Teams!D:M,2,0)),0)</f>
        <v>5</v>
      </c>
      <c r="X61" s="12">
        <f>IFERROR((VLOOKUP($BO$1&amp;C2,Teams!D:M,3,0)),0)</f>
        <v>1</v>
      </c>
      <c r="Y61" s="12">
        <f>IFERROR((VLOOKUP($BO$1&amp;C2,Teams!D:M,4,0)),0)</f>
        <v>3</v>
      </c>
      <c r="Z61" s="12">
        <f>IFERROR((VLOOKUP($BO$1&amp;C2,Teams!D:M,5,0)),0)</f>
        <v>4</v>
      </c>
      <c r="AA61" s="12">
        <f>IFERROR((VLOOKUP($BO$1&amp;C2,Teams!D:M,6,0)),0)</f>
        <v>6</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0</v>
      </c>
      <c r="AN61" s="11">
        <f t="shared" ref="AN61:AN76" si="149">AM37</f>
        <v>0</v>
      </c>
      <c r="AO61" s="11">
        <f t="shared" ref="AO61:AO76" si="150">AO37</f>
        <v>0</v>
      </c>
      <c r="AP61" s="11"/>
      <c r="AQ61" s="11"/>
      <c r="AR61" s="11">
        <v>900000</v>
      </c>
      <c r="AS61" s="11"/>
      <c r="AT61" s="11"/>
      <c r="AU61" s="11"/>
      <c r="AV61" s="11"/>
      <c r="AW61" s="11"/>
      <c r="AX61" s="49"/>
      <c r="AY61" s="12"/>
      <c r="AZ61" s="12"/>
      <c r="BA61" s="12"/>
      <c r="BB61" s="12"/>
      <c r="BC61" s="12"/>
      <c r="BD61" s="71" t="s">
        <v>275</v>
      </c>
      <c r="BE61" s="72">
        <f>IFERROR((IF(OR(COUNTIF($BU$2,"*ElvenKingdomsLeague*"),COUNTIF($BU$2,"*LustrianSuperleague*"),COUNTIF($BU$2,"*OldWorldClassic*"),COUNTIF($BU$2,"*WorldsEdgeSuperleague*")),50000,0)),0)</f>
        <v>0</v>
      </c>
      <c r="BF61" s="72"/>
      <c r="BG61" s="2"/>
      <c r="BH61" s="71" t="s">
        <v>276</v>
      </c>
      <c r="BI61" s="72">
        <f>IFERROR((IF(OR(COUNTIF($BU$2,"*Favouredof*"),COUNTIF($BU$2,"*UnderworldChallenge*")),150000,0)),0)</f>
        <v>150000</v>
      </c>
      <c r="BJ61" s="72"/>
      <c r="BK61" s="12"/>
      <c r="BL61" s="71" t="s">
        <v>277</v>
      </c>
      <c r="BM61" s="72">
        <f>IFERROR((IF(OR(COUNTIF($BU$2,"*LustrianSuperleague*"),COUNTIF($BU$2,"*OldWorldClassic*")),130000,0)),0)</f>
        <v>0</v>
      </c>
      <c r="BN61" s="72"/>
      <c r="BO61" s="71" t="s">
        <v>278</v>
      </c>
      <c r="BP61" s="72">
        <f>IFERROR((IF(OR(COUNTIF(AJ32,"*Nurgle*")),30000,0)),0)</f>
        <v>0</v>
      </c>
      <c r="BQ61" s="2"/>
      <c r="BR61" s="71" t="s">
        <v>279</v>
      </c>
      <c r="BS61" s="12" t="str">
        <f>IF($J$25="Español","MO+",(IF($J$25="Deutsch","BE+",(IF($J$25="Français","M+","MA+")))))</f>
        <v>MA+</v>
      </c>
      <c r="BT61" s="12" t="s">
        <v>229</v>
      </c>
      <c r="BU61" s="12" t="str">
        <f>IF($J$25="Español","MO+",(IF($J$25="Deutsch","BE+",(IF($J$25="Français","M+","MA+")))))</f>
        <v>MA+</v>
      </c>
      <c r="BV61" s="12" t="s">
        <v>229</v>
      </c>
      <c r="BW61" s="12" t="str">
        <f>IF($J$25="Español","MO+",(IF($J$25="Deutsch","BE+",(IF($J$25="Français","M+","MA+")))))</f>
        <v>MA+</v>
      </c>
      <c r="BX61" s="12" t="s">
        <v>229</v>
      </c>
      <c r="BY61" s="12" t="str">
        <f>IF($J$25="Español","MO+",(IF($J$25="Deutsch","BE+",(IF($J$25="Français","M+","MA+")))))</f>
        <v>MA+</v>
      </c>
      <c r="BZ61" s="12" t="s">
        <v>229</v>
      </c>
      <c r="CA61" s="12" t="str">
        <f>IF($J$25="Italiano","Casuale",(IF($J$25="Español","Aleatoria",(IF($J$25="Deutsch","Zufällig",(IF($J$25="Français","Aléatoire","Random")))))))</f>
        <v>Casuale</v>
      </c>
      <c r="CB61" s="12" t="str">
        <f>IF($J$25="Español","AR+",(IF($J$25="Deutsch","RW+",(IF($J$25="Français","AR+","AV+")))))</f>
        <v>AV+</v>
      </c>
      <c r="CC61" s="12" t="s">
        <v>230</v>
      </c>
      <c r="CD61" s="2"/>
      <c r="CE61" s="12"/>
      <c r="CF61" s="12"/>
      <c r="CG61" s="66" t="str">
        <f t="shared" si="122"/>
        <v>MA+</v>
      </c>
      <c r="CH61" s="66" t="str">
        <f t="shared" si="123"/>
        <v>MA+</v>
      </c>
      <c r="CI61" s="68" t="str">
        <f t="shared" si="124"/>
        <v>MA+</v>
      </c>
      <c r="CJ61" s="68" t="str">
        <f t="shared" si="125"/>
        <v>MA+</v>
      </c>
      <c r="CK61" s="68" t="str">
        <f t="shared" si="126"/>
        <v>MA+</v>
      </c>
      <c r="CL61" s="68" t="str">
        <f t="shared" si="127"/>
        <v>MA+</v>
      </c>
      <c r="CM61" s="68" t="str">
        <f t="shared" si="128"/>
        <v>MA+</v>
      </c>
      <c r="CN61" s="68" t="str">
        <f t="shared" si="129"/>
        <v>MA+</v>
      </c>
      <c r="CO61" s="68" t="str">
        <f t="shared" si="130"/>
        <v>MA+</v>
      </c>
      <c r="CP61" s="68" t="str">
        <f t="shared" si="131"/>
        <v>MA+</v>
      </c>
      <c r="CQ61" s="68" t="str">
        <f t="shared" si="132"/>
        <v>MA+</v>
      </c>
      <c r="CR61" s="68" t="str">
        <f t="shared" si="133"/>
        <v>MA+</v>
      </c>
      <c r="CS61" s="68" t="str">
        <f t="shared" si="134"/>
        <v>MA+</v>
      </c>
      <c r="CT61" s="68" t="str">
        <f t="shared" si="135"/>
        <v>MA+</v>
      </c>
      <c r="CU61" s="68" t="str">
        <f t="shared" si="136"/>
        <v>MA+</v>
      </c>
      <c r="CV61" s="68" t="str">
        <f t="shared" si="137"/>
        <v>MA+</v>
      </c>
      <c r="CW61" s="2"/>
      <c r="CX61" s="2"/>
      <c r="CY61" s="2"/>
      <c r="CZ61" s="12"/>
      <c r="DA61" s="2"/>
      <c r="DB61" s="2"/>
    </row>
    <row r="62" spans="1:106" ht="15" hidden="1" customHeight="1">
      <c r="A62" s="12"/>
      <c r="B62" s="46"/>
      <c r="C62" s="46"/>
      <c r="D62" s="46"/>
      <c r="E62" s="46"/>
      <c r="F62" s="46"/>
      <c r="G62" s="12"/>
      <c r="H62" s="12"/>
      <c r="I62" s="12"/>
      <c r="J62" s="12"/>
      <c r="K62" s="12">
        <f t="shared" si="138"/>
        <v>5</v>
      </c>
      <c r="L62" s="12">
        <f t="shared" si="139"/>
        <v>1</v>
      </c>
      <c r="M62" s="12">
        <f t="shared" ref="M62:N62" si="151">IF(S62=0,0,(IF(S62&gt;6,6,(IF(S62&lt;1,1,S62)))))</f>
        <v>3</v>
      </c>
      <c r="N62" s="12">
        <f t="shared" si="151"/>
        <v>4</v>
      </c>
      <c r="O62" s="12">
        <f t="shared" si="141"/>
        <v>6</v>
      </c>
      <c r="P62" s="12"/>
      <c r="Q62" s="11">
        <f>IFERROR((VLOOKUP($BO$1&amp;C3,Teams!D:M,2,0)+AK62+AC62),0)</f>
        <v>5</v>
      </c>
      <c r="R62" s="11">
        <f>IFERROR((VLOOKUP($BO$1&amp;C3,Teams!D:M,3,0)+AL62+AD62),0)</f>
        <v>1</v>
      </c>
      <c r="S62" s="11">
        <f>IFERROR((VLOOKUP($BO$1&amp;C3,Teams!D:M,4,0)+AM62-AE62),0)</f>
        <v>3</v>
      </c>
      <c r="T62" s="11">
        <f>IFERROR((VLOOKUP($BO$1&amp;C3,Teams!D:M,5,0)+AN62-AF62),0)</f>
        <v>4</v>
      </c>
      <c r="U62" s="11">
        <f>IFERROR((VLOOKUP($BO$1&amp;C3,Teams!D:M,6,0)+AO62+AG62),0)</f>
        <v>6</v>
      </c>
      <c r="V62" s="12"/>
      <c r="W62" s="12">
        <f>IFERROR((VLOOKUP($BO$1&amp;C3,Teams!D:M,2,0)),0)</f>
        <v>5</v>
      </c>
      <c r="X62" s="12">
        <f>IFERROR((VLOOKUP($BO$1&amp;C3,Teams!D:M,3,0)),0)</f>
        <v>1</v>
      </c>
      <c r="Y62" s="12">
        <f>IFERROR((VLOOKUP($BO$1&amp;C3,Teams!D:M,4,0)),0)</f>
        <v>3</v>
      </c>
      <c r="Z62" s="12">
        <f>IFERROR((VLOOKUP($BO$1&amp;C3,Teams!D:M,5,0)),0)</f>
        <v>4</v>
      </c>
      <c r="AA62" s="12">
        <f>IFERROR((VLOOKUP($BO$1&amp;C3,Teams!D:M,6,0)),0)</f>
        <v>6</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191</v>
      </c>
      <c r="BB62" s="12"/>
      <c r="BC62" s="12"/>
      <c r="BD62" s="71" t="s">
        <v>280</v>
      </c>
      <c r="BE62" s="72">
        <f>IFERROR((IF(OR(COUNTIF($BU$2,"*Favouredof*"),COUNTIF($BU$2,"*UnderworldChallenge*")),80000,0)),0)</f>
        <v>80000</v>
      </c>
      <c r="BF62" s="2"/>
      <c r="BG62" s="2"/>
      <c r="BH62" s="71" t="s">
        <v>281</v>
      </c>
      <c r="BI62" s="72">
        <f>IFERROR((IF(OR(COUNTIF($BU$2,"*Favouredof*"),COUNTIF($BU$2,"*ElvenKingdomsLeague*")),150000,0)),0)</f>
        <v>0</v>
      </c>
      <c r="BJ62" s="2"/>
      <c r="BK62" s="12"/>
      <c r="BL62" s="71" t="s">
        <v>282</v>
      </c>
      <c r="BM62" s="72">
        <f>IFERROR((IF(OR(COUNTIF($BU$2,"*WorldsEdgeSuperleague*")),120000,0)),0)</f>
        <v>0</v>
      </c>
      <c r="BN62" s="12"/>
      <c r="BO62" s="71" t="s">
        <v>283</v>
      </c>
      <c r="BP62" s="72">
        <f>IFERROR((IF(OR(COUNTIF($BU$2,"*OldWorldClassic*"),COUNTIF($BU$2,"*WorldsEdgeSuperleague*")),50000,0)),0)</f>
        <v>0</v>
      </c>
      <c r="BQ62" s="2"/>
      <c r="BR62" s="71" t="s">
        <v>284</v>
      </c>
      <c r="BS62" s="12" t="str">
        <f>IF($J$25="Español","AR+",(IF($J$25="Deutsch","RW+",(IF($J$25="Français","AR+","AV+")))))</f>
        <v>AV+</v>
      </c>
      <c r="BT62" s="12" t="s">
        <v>230</v>
      </c>
      <c r="BU62" s="12" t="str">
        <f>IF($J$25="Español","AR+",(IF($J$25="Deutsch","RW+",(IF($J$25="Français","AR+","AV+")))))</f>
        <v>AV+</v>
      </c>
      <c r="BV62" s="12" t="s">
        <v>230</v>
      </c>
      <c r="BW62" s="12" t="str">
        <f>IF($J$25="Español","AR+",(IF($J$25="Deutsch","RW+",(IF($J$25="Français","AR+","AV+")))))</f>
        <v>AV+</v>
      </c>
      <c r="BX62" s="12" t="s">
        <v>230</v>
      </c>
      <c r="BY62" s="12" t="str">
        <f>IF($J$25="Español","AR+",(IF($J$25="Deutsch","RW+",(IF($J$25="Français","AR+","AV+")))))</f>
        <v>AV+</v>
      </c>
      <c r="BZ62" s="12" t="s">
        <v>230</v>
      </c>
      <c r="CA62" s="12"/>
      <c r="CB62" s="12" t="str">
        <f>IF($J$25="Deutsch","GE-","AG-")</f>
        <v>AG-</v>
      </c>
      <c r="CC62" s="12" t="s">
        <v>231</v>
      </c>
      <c r="CD62" s="2"/>
      <c r="CE62" s="12"/>
      <c r="CF62" s="12"/>
      <c r="CG62" s="66" t="str">
        <f t="shared" si="122"/>
        <v>AV+</v>
      </c>
      <c r="CH62" s="66" t="str">
        <f t="shared" si="123"/>
        <v>AV+</v>
      </c>
      <c r="CI62" s="68" t="str">
        <f t="shared" si="124"/>
        <v>AV+</v>
      </c>
      <c r="CJ62" s="68" t="str">
        <f t="shared" si="125"/>
        <v>AV+</v>
      </c>
      <c r="CK62" s="68" t="str">
        <f t="shared" si="126"/>
        <v>AV+</v>
      </c>
      <c r="CL62" s="68" t="str">
        <f t="shared" si="127"/>
        <v>AV+</v>
      </c>
      <c r="CM62" s="68" t="str">
        <f t="shared" si="128"/>
        <v>AV+</v>
      </c>
      <c r="CN62" s="68" t="str">
        <f t="shared" si="129"/>
        <v>AV+</v>
      </c>
      <c r="CO62" s="68" t="str">
        <f t="shared" si="130"/>
        <v>AV+</v>
      </c>
      <c r="CP62" s="68" t="str">
        <f t="shared" si="131"/>
        <v>AV+</v>
      </c>
      <c r="CQ62" s="68" t="str">
        <f t="shared" si="132"/>
        <v>AV+</v>
      </c>
      <c r="CR62" s="68" t="str">
        <f t="shared" si="133"/>
        <v>AV+</v>
      </c>
      <c r="CS62" s="68" t="str">
        <f t="shared" si="134"/>
        <v>AV+</v>
      </c>
      <c r="CT62" s="68" t="str">
        <f t="shared" si="135"/>
        <v>AV+</v>
      </c>
      <c r="CU62" s="68" t="str">
        <f t="shared" si="136"/>
        <v>AV+</v>
      </c>
      <c r="CV62" s="68" t="str">
        <f t="shared" si="137"/>
        <v>AV+</v>
      </c>
      <c r="CW62" s="2"/>
      <c r="CX62" s="2"/>
      <c r="CY62" s="2"/>
      <c r="CZ62" s="12"/>
      <c r="DA62" s="2"/>
      <c r="DB62" s="2"/>
    </row>
    <row r="63" spans="1:106" ht="15" hidden="1" customHeight="1">
      <c r="A63" s="12"/>
      <c r="B63" s="46"/>
      <c r="C63" s="46"/>
      <c r="D63" s="46"/>
      <c r="E63" s="46"/>
      <c r="F63" s="46"/>
      <c r="G63" s="12"/>
      <c r="H63" s="12"/>
      <c r="I63" s="12"/>
      <c r="J63" s="12"/>
      <c r="K63" s="12">
        <f t="shared" si="138"/>
        <v>6</v>
      </c>
      <c r="L63" s="12">
        <f t="shared" si="139"/>
        <v>1</v>
      </c>
      <c r="M63" s="12">
        <f t="shared" ref="M63:N63" si="153">IF(S63=0,0,(IF(S63&gt;6,6,(IF(S63&lt;1,1,S63)))))</f>
        <v>3</v>
      </c>
      <c r="N63" s="12">
        <f t="shared" si="153"/>
        <v>5</v>
      </c>
      <c r="O63" s="12">
        <f t="shared" si="141"/>
        <v>6</v>
      </c>
      <c r="P63" s="12"/>
      <c r="Q63" s="11">
        <f>IFERROR((VLOOKUP($BO$1&amp;C4,Teams!D:M,2,0)+AK63+AC63),0)</f>
        <v>6</v>
      </c>
      <c r="R63" s="11">
        <f>IFERROR((VLOOKUP($BO$1&amp;C4,Teams!D:M,3,0)+AL63+AD63),0)</f>
        <v>1</v>
      </c>
      <c r="S63" s="11">
        <f>IFERROR((VLOOKUP($BO$1&amp;C4,Teams!D:M,4,0)+AM63-AE63),0)</f>
        <v>3</v>
      </c>
      <c r="T63" s="11">
        <f>IFERROR((VLOOKUP($BO$1&amp;C4,Teams!D:M,5,0)+AN63-AF63),0)</f>
        <v>5</v>
      </c>
      <c r="U63" s="11">
        <f>IFERROR((VLOOKUP($BO$1&amp;C4,Teams!D:M,6,0)+AO63+AG63),0)</f>
        <v>6</v>
      </c>
      <c r="V63" s="12"/>
      <c r="W63" s="12">
        <f>IFERROR((VLOOKUP($BO$1&amp;C4,Teams!D:M,2,0)),0)</f>
        <v>6</v>
      </c>
      <c r="X63" s="12">
        <f>IFERROR((VLOOKUP($BO$1&amp;C4,Teams!D:M,3,0)),0)</f>
        <v>1</v>
      </c>
      <c r="Y63" s="12">
        <f>IFERROR((VLOOKUP($BO$1&amp;C4,Teams!D:M,4,0)),0)</f>
        <v>3</v>
      </c>
      <c r="Z63" s="12">
        <f>IFERROR((VLOOKUP($BO$1&amp;C4,Teams!D:M,5,0)),0)</f>
        <v>5</v>
      </c>
      <c r="AA63" s="12">
        <f>IFERROR((VLOOKUP($BO$1&amp;C4,Teams!D:M,6,0)),0)</f>
        <v>6</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0</v>
      </c>
      <c r="AP63" s="12"/>
      <c r="AQ63" s="12"/>
      <c r="AR63" s="11">
        <v>920000</v>
      </c>
      <c r="AS63" s="11"/>
      <c r="AT63" s="11"/>
      <c r="AU63" s="11"/>
      <c r="AV63" s="11"/>
      <c r="AW63" s="11"/>
      <c r="AX63" s="12"/>
      <c r="AY63" s="12">
        <v>1</v>
      </c>
      <c r="AZ63" s="12"/>
      <c r="BA63" s="12" t="s">
        <v>285</v>
      </c>
      <c r="BB63" s="12"/>
      <c r="BC63" s="72"/>
      <c r="BD63" s="71" t="s">
        <v>286</v>
      </c>
      <c r="BE63" s="72">
        <f>IFERROR((IF(COUNTIF($BU$2,"*ElvenKingdomsLeague*"),40000,0)),0)</f>
        <v>0</v>
      </c>
      <c r="BF63" s="2"/>
      <c r="BG63" s="2"/>
      <c r="BH63" s="71" t="s">
        <v>287</v>
      </c>
      <c r="BI63" s="72">
        <f>IFERROR((IF(OR(COUNTIF($BU$2,"*ElvenKingdomsLeague*")),150000,0)),0)</f>
        <v>0</v>
      </c>
      <c r="BJ63" s="2"/>
      <c r="BK63" s="72"/>
      <c r="BL63" s="71" t="s">
        <v>288</v>
      </c>
      <c r="BM63" s="72">
        <f>IFERROR(IF($BV$2="Bribery and Corruption",80000,120000),0)</f>
        <v>80000</v>
      </c>
      <c r="BN63" s="72"/>
      <c r="BO63" s="71" t="s">
        <v>289</v>
      </c>
      <c r="BP63" s="72">
        <f>IFERROR(IF(COUNTIF($BU$2,"*HalflingThimbleCup*"),60000,(IF(COUNTIF($BU$2,"*OldWorldClassic*"),80000,0))),0)</f>
        <v>0</v>
      </c>
      <c r="BQ63" s="12"/>
      <c r="BR63" s="71" t="s">
        <v>290</v>
      </c>
      <c r="BS63" s="12" t="str">
        <f>IF($J$25="Deutsch","GE-","AG-")</f>
        <v>AG-</v>
      </c>
      <c r="BT63" s="12" t="s">
        <v>231</v>
      </c>
      <c r="BU63" s="12" t="str">
        <f>IF($J$25="Deutsch","GE-","AG-")</f>
        <v>AG-</v>
      </c>
      <c r="BV63" s="12" t="s">
        <v>231</v>
      </c>
      <c r="BW63" s="12" t="str">
        <f>IF($J$25="Deutsch","GE-","AG-")</f>
        <v>AG-</v>
      </c>
      <c r="BX63" s="12" t="s">
        <v>231</v>
      </c>
      <c r="BY63" s="12" t="str">
        <f>IF($J$25="Deutsch","GE-","AG-")</f>
        <v>AG-</v>
      </c>
      <c r="BZ63" s="12" t="s">
        <v>231</v>
      </c>
      <c r="CA63" s="73"/>
      <c r="CB63" s="12" t="str">
        <f>IF($J$25="Deutsch","WG-",(IF($J$25="Français","CP-","PA-")))</f>
        <v>PA-</v>
      </c>
      <c r="CC63" s="12" t="s">
        <v>232</v>
      </c>
      <c r="CD63" s="2"/>
      <c r="CE63" s="12"/>
      <c r="CF63" s="12"/>
      <c r="CG63" s="66" t="str">
        <f t="shared" si="122"/>
        <v>AG-</v>
      </c>
      <c r="CH63" s="66" t="str">
        <f t="shared" si="123"/>
        <v>AG-</v>
      </c>
      <c r="CI63" s="68" t="str">
        <f t="shared" si="124"/>
        <v>AG-</v>
      </c>
      <c r="CJ63" s="68" t="str">
        <f t="shared" si="125"/>
        <v>AG-</v>
      </c>
      <c r="CK63" s="68" t="str">
        <f t="shared" si="126"/>
        <v>AG-</v>
      </c>
      <c r="CL63" s="68" t="str">
        <f t="shared" si="127"/>
        <v>AG-</v>
      </c>
      <c r="CM63" s="68" t="str">
        <f t="shared" si="128"/>
        <v>AG-</v>
      </c>
      <c r="CN63" s="68" t="str">
        <f t="shared" si="129"/>
        <v>AG-</v>
      </c>
      <c r="CO63" s="68" t="str">
        <f t="shared" si="130"/>
        <v>AG-</v>
      </c>
      <c r="CP63" s="68" t="str">
        <f t="shared" si="131"/>
        <v>AG-</v>
      </c>
      <c r="CQ63" s="68" t="str">
        <f t="shared" si="132"/>
        <v>AG-</v>
      </c>
      <c r="CR63" s="68" t="str">
        <f t="shared" si="133"/>
        <v>AG-</v>
      </c>
      <c r="CS63" s="68" t="str">
        <f t="shared" si="134"/>
        <v>AG-</v>
      </c>
      <c r="CT63" s="68" t="str">
        <f t="shared" si="135"/>
        <v>AG-</v>
      </c>
      <c r="CU63" s="68" t="str">
        <f t="shared" si="136"/>
        <v>AG-</v>
      </c>
      <c r="CV63" s="68" t="str">
        <f t="shared" si="137"/>
        <v>AG-</v>
      </c>
      <c r="CW63" s="2"/>
      <c r="CX63" s="2"/>
      <c r="CY63" s="2"/>
      <c r="CZ63" s="12"/>
      <c r="DA63" s="2"/>
      <c r="DB63" s="2"/>
    </row>
    <row r="64" spans="1:106" ht="15" hidden="1" customHeight="1">
      <c r="A64" s="12"/>
      <c r="B64" s="46"/>
      <c r="C64" s="46"/>
      <c r="D64" s="46"/>
      <c r="E64" s="46"/>
      <c r="F64" s="46"/>
      <c r="G64" s="12"/>
      <c r="H64" s="12"/>
      <c r="I64" s="12"/>
      <c r="J64" s="12"/>
      <c r="K64" s="12">
        <f t="shared" si="138"/>
        <v>5</v>
      </c>
      <c r="L64" s="12">
        <f t="shared" si="139"/>
        <v>1</v>
      </c>
      <c r="M64" s="12">
        <f t="shared" ref="M64:N64" si="155">IF(S64=0,0,(IF(S64&gt;6,6,(IF(S64&lt;1,1,S64)))))</f>
        <v>3</v>
      </c>
      <c r="N64" s="12">
        <f t="shared" si="155"/>
        <v>5</v>
      </c>
      <c r="O64" s="12">
        <f t="shared" si="141"/>
        <v>6</v>
      </c>
      <c r="P64" s="12" t="s">
        <v>291</v>
      </c>
      <c r="Q64" s="11">
        <f>IFERROR((VLOOKUP($BO$1&amp;C5,Teams!D:M,2,0)+AK64+AC64),0)</f>
        <v>5</v>
      </c>
      <c r="R64" s="11">
        <f>IFERROR((VLOOKUP($BO$1&amp;C5,Teams!D:M,3,0)+AL64+AD64),0)</f>
        <v>1</v>
      </c>
      <c r="S64" s="11">
        <f>IFERROR((VLOOKUP($BO$1&amp;C5,Teams!D:M,4,0)+AM64-AE64),0)</f>
        <v>3</v>
      </c>
      <c r="T64" s="11">
        <f>IFERROR((VLOOKUP($BO$1&amp;C5,Teams!D:M,5,0)+AN64-AF64),0)</f>
        <v>5</v>
      </c>
      <c r="U64" s="11">
        <f>IFERROR((VLOOKUP($BO$1&amp;C5,Teams!D:M,6,0)+AO64+AG64),0)</f>
        <v>6</v>
      </c>
      <c r="V64" s="12"/>
      <c r="W64" s="12">
        <f>IFERROR((VLOOKUP($BO$1&amp;C5,Teams!D:M,2,0)),0)</f>
        <v>6</v>
      </c>
      <c r="X64" s="12">
        <f>IFERROR((VLOOKUP($BO$1&amp;C5,Teams!D:M,3,0)),0)</f>
        <v>1</v>
      </c>
      <c r="Y64" s="12">
        <f>IFERROR((VLOOKUP($BO$1&amp;C5,Teams!D:M,4,0)),0)</f>
        <v>3</v>
      </c>
      <c r="Z64" s="12">
        <f>IFERROR((VLOOKUP($BO$1&amp;C5,Teams!D:M,5,0)),0)</f>
        <v>5</v>
      </c>
      <c r="AA64" s="12">
        <f>IFERROR((VLOOKUP($BO$1&amp;C5,Teams!D:M,6,0)),0)</f>
        <v>6</v>
      </c>
      <c r="AB64" s="25"/>
      <c r="AC64" s="12">
        <f t="shared" si="142"/>
        <v>0</v>
      </c>
      <c r="AD64" s="12">
        <f t="shared" si="143"/>
        <v>0</v>
      </c>
      <c r="AE64" s="12">
        <f t="shared" si="144"/>
        <v>0</v>
      </c>
      <c r="AF64" s="12">
        <f t="shared" si="145"/>
        <v>0</v>
      </c>
      <c r="AG64" s="12">
        <f t="shared" si="146"/>
        <v>0</v>
      </c>
      <c r="AH64" s="25"/>
      <c r="AI64" s="12">
        <v>-2</v>
      </c>
      <c r="AJ64" s="12"/>
      <c r="AK64" s="11">
        <f t="shared" ref="AK64:AL64" si="156">AK40</f>
        <v>-1</v>
      </c>
      <c r="AL64" s="11">
        <f t="shared" si="156"/>
        <v>0</v>
      </c>
      <c r="AM64" s="11">
        <f t="shared" si="148"/>
        <v>0</v>
      </c>
      <c r="AN64" s="11">
        <f t="shared" si="149"/>
        <v>0</v>
      </c>
      <c r="AO64" s="11">
        <f t="shared" si="150"/>
        <v>0</v>
      </c>
      <c r="AP64" s="25"/>
      <c r="AQ64" s="25"/>
      <c r="AR64" s="11">
        <v>930000</v>
      </c>
      <c r="AS64" s="11"/>
      <c r="AT64" s="11"/>
      <c r="AU64" s="11"/>
      <c r="AV64" s="11"/>
      <c r="AW64" s="11"/>
      <c r="AX64" s="12"/>
      <c r="AY64" s="12">
        <v>2</v>
      </c>
      <c r="AZ64" s="12" t="s">
        <v>291</v>
      </c>
      <c r="BA64" s="12" t="s">
        <v>292</v>
      </c>
      <c r="BB64" s="12"/>
      <c r="BC64" s="72"/>
      <c r="BD64" s="71" t="s">
        <v>293</v>
      </c>
      <c r="BE64" s="72">
        <f>IFERROR((IF(COUNTIF($BU$2,"*UnderworldChallenge*"),70000,0)),0)</f>
        <v>70000</v>
      </c>
      <c r="BF64" s="2"/>
      <c r="BG64" s="2"/>
      <c r="BH64" s="71" t="s">
        <v>294</v>
      </c>
      <c r="BI64" s="72">
        <f>IFERROR((IF(OR(COUNTIF($BU$2,"*LustrianSuperleague*")),200000,0)),0)</f>
        <v>0</v>
      </c>
      <c r="BJ64" s="2"/>
      <c r="BK64" s="72"/>
      <c r="BL64" s="71" t="s">
        <v>295</v>
      </c>
      <c r="BM64" s="72">
        <f>IFERROR((IF(OR(COUNTIF($BU$2,"*HalflingThimbleCup*")),40000,80000)),0)</f>
        <v>80000</v>
      </c>
      <c r="BN64" s="72"/>
      <c r="BO64" s="71" t="s">
        <v>296</v>
      </c>
      <c r="BP64" s="72">
        <f>IFERROR(IF(COUNTIF($BU$2,"*HalflingThimbleCup*"),30000,(IF(COUNTIF($BU$2,"*OldWorldClassic*"),40000,0))),0)</f>
        <v>0</v>
      </c>
      <c r="BQ64" s="12"/>
      <c r="BR64" s="71"/>
      <c r="BS64" s="12" t="str">
        <f>IF($J$25="Deutsch","WG-",(IF($J$25="Français","CP-","PA-")))</f>
        <v>PA-</v>
      </c>
      <c r="BT64" s="12" t="s">
        <v>232</v>
      </c>
      <c r="BU64" s="12" t="str">
        <f>IF($J$25="Deutsch","WG-",(IF($J$25="Français","CP-","PA-")))</f>
        <v>PA-</v>
      </c>
      <c r="BV64" s="12" t="s">
        <v>232</v>
      </c>
      <c r="BW64" s="12" t="str">
        <f>IF($J$25="Deutsch","WG-",(IF($J$25="Français","CP-","PA-")))</f>
        <v>PA-</v>
      </c>
      <c r="BX64" s="12" t="s">
        <v>232</v>
      </c>
      <c r="BY64" s="12" t="str">
        <f>IF($J$25="Deutsch","WG-",(IF($J$25="Français","CP-","PA-")))</f>
        <v>PA-</v>
      </c>
      <c r="BZ64" s="12" t="s">
        <v>232</v>
      </c>
      <c r="CA64" s="73"/>
      <c r="CB64" s="12" t="str">
        <f>IF($J$25="Español","FU+",(IF($J$25="Deutsch","ST+",(IF($J$25="Français","F+","ST+")))))</f>
        <v>ST+</v>
      </c>
      <c r="CC64" s="12" t="s">
        <v>233</v>
      </c>
      <c r="CD64" s="2"/>
      <c r="CE64" s="12"/>
      <c r="CF64" s="12"/>
      <c r="CG64" s="66" t="str">
        <f t="shared" si="122"/>
        <v>PA-</v>
      </c>
      <c r="CH64" s="66" t="str">
        <f t="shared" si="123"/>
        <v>PA-</v>
      </c>
      <c r="CI64" s="68" t="str">
        <f t="shared" si="124"/>
        <v>PA-</v>
      </c>
      <c r="CJ64" s="68" t="str">
        <f t="shared" si="125"/>
        <v>PA-</v>
      </c>
      <c r="CK64" s="68" t="str">
        <f t="shared" si="126"/>
        <v>PA-</v>
      </c>
      <c r="CL64" s="68" t="str">
        <f t="shared" si="127"/>
        <v>PA-</v>
      </c>
      <c r="CM64" s="68" t="str">
        <f t="shared" si="128"/>
        <v>PA-</v>
      </c>
      <c r="CN64" s="68" t="str">
        <f t="shared" si="129"/>
        <v>PA-</v>
      </c>
      <c r="CO64" s="68" t="str">
        <f t="shared" si="130"/>
        <v>PA-</v>
      </c>
      <c r="CP64" s="68" t="str">
        <f t="shared" si="131"/>
        <v>PA-</v>
      </c>
      <c r="CQ64" s="68" t="str">
        <f t="shared" si="132"/>
        <v>PA-</v>
      </c>
      <c r="CR64" s="68" t="str">
        <f t="shared" si="133"/>
        <v>PA-</v>
      </c>
      <c r="CS64" s="68" t="str">
        <f t="shared" si="134"/>
        <v>PA-</v>
      </c>
      <c r="CT64" s="68" t="str">
        <f t="shared" si="135"/>
        <v>PA-</v>
      </c>
      <c r="CU64" s="68" t="str">
        <f t="shared" si="136"/>
        <v>PA-</v>
      </c>
      <c r="CV64" s="68" t="str">
        <f t="shared" si="137"/>
        <v>PA-</v>
      </c>
      <c r="CW64" s="2"/>
      <c r="CX64" s="2"/>
      <c r="CY64" s="2"/>
      <c r="CZ64" s="12"/>
      <c r="DA64" s="2"/>
      <c r="DB64" s="2"/>
    </row>
    <row r="65" spans="1:106" ht="15" hidden="1" customHeight="1">
      <c r="A65" s="12"/>
      <c r="B65" s="46"/>
      <c r="C65" s="46"/>
      <c r="D65" s="46"/>
      <c r="E65" s="46"/>
      <c r="F65" s="46"/>
      <c r="G65" s="12"/>
      <c r="H65" s="12"/>
      <c r="I65" s="12"/>
      <c r="J65" s="12"/>
      <c r="K65" s="12">
        <f t="shared" si="138"/>
        <v>6</v>
      </c>
      <c r="L65" s="12">
        <f t="shared" si="139"/>
        <v>1</v>
      </c>
      <c r="M65" s="12">
        <f t="shared" ref="M65:N65" si="157">IF(S65=0,0,(IF(S65&gt;6,6,(IF(S65&lt;1,1,S65)))))</f>
        <v>3</v>
      </c>
      <c r="N65" s="12">
        <f t="shared" si="157"/>
        <v>5</v>
      </c>
      <c r="O65" s="12">
        <f t="shared" si="141"/>
        <v>6</v>
      </c>
      <c r="P65" s="12"/>
      <c r="Q65" s="11">
        <f>IFERROR((VLOOKUP($BO$1&amp;C6,Teams!D:M,2,0)+AK65+AC65),0)</f>
        <v>6</v>
      </c>
      <c r="R65" s="11">
        <f>IFERROR((VLOOKUP($BO$1&amp;C6,Teams!D:M,3,0)+AL65+AD65),0)</f>
        <v>1</v>
      </c>
      <c r="S65" s="11">
        <f>IFERROR((VLOOKUP($BO$1&amp;C6,Teams!D:M,4,0)+AM65-AE65),0)</f>
        <v>3</v>
      </c>
      <c r="T65" s="11">
        <f>IFERROR((VLOOKUP($BO$1&amp;C6,Teams!D:M,5,0)+AN65-AF65),0)</f>
        <v>5</v>
      </c>
      <c r="U65" s="11">
        <f>IFERROR((VLOOKUP($BO$1&amp;C6,Teams!D:M,6,0)+AO65+AG65),0)</f>
        <v>6</v>
      </c>
      <c r="V65" s="12"/>
      <c r="W65" s="12">
        <f>IFERROR((VLOOKUP($BO$1&amp;C6,Teams!D:M,2,0)),0)</f>
        <v>6</v>
      </c>
      <c r="X65" s="12">
        <f>IFERROR((VLOOKUP($BO$1&amp;C6,Teams!D:M,3,0)),0)</f>
        <v>1</v>
      </c>
      <c r="Y65" s="12">
        <f>IFERROR((VLOOKUP($BO$1&amp;C6,Teams!D:M,4,0)),0)</f>
        <v>3</v>
      </c>
      <c r="Z65" s="12">
        <f>IFERROR((VLOOKUP($BO$1&amp;C6,Teams!D:M,5,0)),0)</f>
        <v>5</v>
      </c>
      <c r="AA65" s="12">
        <f>IFERROR((VLOOKUP($BO$1&amp;C6,Teams!D:M,6,0)),0)</f>
        <v>6</v>
      </c>
      <c r="AB65" s="12"/>
      <c r="AC65" s="12">
        <f t="shared" si="142"/>
        <v>0</v>
      </c>
      <c r="AD65" s="12">
        <f t="shared" si="143"/>
        <v>0</v>
      </c>
      <c r="AE65" s="12">
        <f t="shared" si="144"/>
        <v>0</v>
      </c>
      <c r="AF65" s="12">
        <f t="shared" si="145"/>
        <v>0</v>
      </c>
      <c r="AG65" s="12">
        <f t="shared" si="146"/>
        <v>0</v>
      </c>
      <c r="AH65" s="12"/>
      <c r="AI65" s="74" t="s">
        <v>291</v>
      </c>
      <c r="AJ65" s="12"/>
      <c r="AK65" s="11">
        <f t="shared" ref="AK65:AL65" si="158">AK41</f>
        <v>0</v>
      </c>
      <c r="AL65" s="11">
        <f t="shared" si="158"/>
        <v>0</v>
      </c>
      <c r="AM65" s="11">
        <f t="shared" si="148"/>
        <v>0</v>
      </c>
      <c r="AN65" s="11">
        <f t="shared" si="149"/>
        <v>0</v>
      </c>
      <c r="AO65" s="11">
        <f t="shared" si="150"/>
        <v>0</v>
      </c>
      <c r="AP65" s="12"/>
      <c r="AQ65" s="12"/>
      <c r="AR65" s="11">
        <v>940000</v>
      </c>
      <c r="AS65" s="11"/>
      <c r="AT65" s="11"/>
      <c r="AU65" s="11"/>
      <c r="AV65" s="11"/>
      <c r="AW65" s="11"/>
      <c r="AX65" s="12"/>
      <c r="AY65" s="12">
        <v>3</v>
      </c>
      <c r="AZ65" s="12"/>
      <c r="BA65" s="12" t="s">
        <v>297</v>
      </c>
      <c r="BB65" s="12"/>
      <c r="BC65" s="72"/>
      <c r="BD65" s="71" t="s">
        <v>298</v>
      </c>
      <c r="BE65" s="72">
        <v>100000</v>
      </c>
      <c r="BF65" s="2"/>
      <c r="BG65" s="2"/>
      <c r="BH65" s="71" t="s">
        <v>299</v>
      </c>
      <c r="BI65" s="72">
        <f>IFERROR((IF(OR(COUNTIF(AJ32,"*Nurgle*"),COUNTIF($BU$2,"*UnderworldChallenge*")),150000,0)),0)</f>
        <v>150000</v>
      </c>
      <c r="BJ65" s="2"/>
      <c r="BK65" s="72"/>
      <c r="BL65" s="72"/>
      <c r="BM65" s="12"/>
      <c r="BN65" s="72"/>
      <c r="BO65" s="71" t="s">
        <v>300</v>
      </c>
      <c r="BP65" s="72">
        <v>40000</v>
      </c>
      <c r="BQ65" s="12"/>
      <c r="BR65" s="71"/>
      <c r="BS65" s="12" t="str">
        <f>IF($J$25="Español","FU+",(IF($J$25="Deutsch","ST+",(IF($J$25="Français","F+","ST+")))))</f>
        <v>ST+</v>
      </c>
      <c r="BT65" s="12" t="s">
        <v>233</v>
      </c>
      <c r="BU65" s="12" t="str">
        <f>IF($J$25="Español","FU+",(IF($J$25="Deutsch","ST+",(IF($J$25="Français","F+","ST+")))))</f>
        <v>ST+</v>
      </c>
      <c r="BV65" s="12" t="s">
        <v>233</v>
      </c>
      <c r="BW65" s="12" t="str">
        <f>IF($J$25="Español","FU+",(IF($J$25="Deutsch","ST+",(IF($J$25="Français","F+","ST+")))))</f>
        <v>ST+</v>
      </c>
      <c r="BX65" s="12" t="s">
        <v>233</v>
      </c>
      <c r="BY65" s="12" t="str">
        <f>IF($J$25="Español","FU+",(IF($J$25="Deutsch","ST+",(IF($J$25="Français","F+","ST+")))))</f>
        <v>ST+</v>
      </c>
      <c r="BZ65" s="12" t="s">
        <v>233</v>
      </c>
      <c r="CA65" s="73"/>
      <c r="CB65" s="12" t="str">
        <f>IF($J$25="Español","Agallas",(IF($J$25="Deutsch","Abwehren",(IF($J$25="Français","Arracher le ballon","Block")))))</f>
        <v>Block</v>
      </c>
      <c r="CC65" s="12" t="s">
        <v>224</v>
      </c>
      <c r="CD65" s="2"/>
      <c r="CE65" s="7"/>
      <c r="CF65" s="12"/>
      <c r="CG65" s="66" t="str">
        <f t="shared" si="122"/>
        <v>ST+</v>
      </c>
      <c r="CH65" s="66" t="str">
        <f t="shared" si="123"/>
        <v>ST+</v>
      </c>
      <c r="CI65" s="68" t="str">
        <f t="shared" si="124"/>
        <v>ST+</v>
      </c>
      <c r="CJ65" s="68" t="str">
        <f t="shared" si="125"/>
        <v>ST+</v>
      </c>
      <c r="CK65" s="68" t="str">
        <f t="shared" si="126"/>
        <v>ST+</v>
      </c>
      <c r="CL65" s="68" t="str">
        <f t="shared" si="127"/>
        <v>ST+</v>
      </c>
      <c r="CM65" s="68" t="str">
        <f t="shared" si="128"/>
        <v>ST+</v>
      </c>
      <c r="CN65" s="68" t="str">
        <f t="shared" si="129"/>
        <v>ST+</v>
      </c>
      <c r="CO65" s="68" t="str">
        <f t="shared" si="130"/>
        <v>ST+</v>
      </c>
      <c r="CP65" s="68" t="str">
        <f t="shared" si="131"/>
        <v>ST+</v>
      </c>
      <c r="CQ65" s="68" t="str">
        <f t="shared" si="132"/>
        <v>ST+</v>
      </c>
      <c r="CR65" s="68" t="str">
        <f t="shared" si="133"/>
        <v>ST+</v>
      </c>
      <c r="CS65" s="68" t="str">
        <f t="shared" si="134"/>
        <v>ST+</v>
      </c>
      <c r="CT65" s="68" t="str">
        <f t="shared" si="135"/>
        <v>ST+</v>
      </c>
      <c r="CU65" s="68" t="str">
        <f t="shared" si="136"/>
        <v>ST+</v>
      </c>
      <c r="CV65" s="68" t="str">
        <f t="shared" si="137"/>
        <v>ST+</v>
      </c>
      <c r="CW65" s="2"/>
      <c r="CX65" s="2"/>
      <c r="CY65" s="2"/>
      <c r="CZ65" s="12"/>
      <c r="DA65" s="2"/>
      <c r="DB65" s="2"/>
    </row>
    <row r="66" spans="1:106" ht="15" hidden="1" customHeight="1">
      <c r="A66" s="12"/>
      <c r="B66" s="46"/>
      <c r="C66" s="46"/>
      <c r="D66" s="46"/>
      <c r="E66" s="46"/>
      <c r="F66" s="46"/>
      <c r="G66" s="12"/>
      <c r="H66" s="12"/>
      <c r="I66" s="12"/>
      <c r="J66" s="12"/>
      <c r="K66" s="12">
        <f t="shared" si="138"/>
        <v>6</v>
      </c>
      <c r="L66" s="12">
        <f t="shared" si="139"/>
        <v>1</v>
      </c>
      <c r="M66" s="12">
        <f t="shared" ref="M66:N66" si="159">IF(S66=0,0,(IF(S66&gt;6,6,(IF(S66&lt;1,1,S66)))))</f>
        <v>3</v>
      </c>
      <c r="N66" s="12">
        <f t="shared" si="159"/>
        <v>5</v>
      </c>
      <c r="O66" s="12">
        <f t="shared" si="141"/>
        <v>6</v>
      </c>
      <c r="P66" s="12"/>
      <c r="Q66" s="11">
        <f>IFERROR((VLOOKUP($BO$1&amp;C7,Teams!D:M,2,0)+AK66+AC66),0)</f>
        <v>6</v>
      </c>
      <c r="R66" s="11">
        <f>IFERROR((VLOOKUP($BO$1&amp;C7,Teams!D:M,3,0)+AL66+AD66),0)</f>
        <v>1</v>
      </c>
      <c r="S66" s="11">
        <f>IFERROR((VLOOKUP($BO$1&amp;C7,Teams!D:M,4,0)+AM66-AE66),0)</f>
        <v>3</v>
      </c>
      <c r="T66" s="11">
        <f>IFERROR((VLOOKUP($BO$1&amp;C7,Teams!D:M,5,0)+AN66-AF66),0)</f>
        <v>5</v>
      </c>
      <c r="U66" s="11">
        <f>IFERROR((VLOOKUP($BO$1&amp;C7,Teams!D:M,6,0)+AO66+AG66),0)</f>
        <v>6</v>
      </c>
      <c r="V66" s="12"/>
      <c r="W66" s="12">
        <f>IFERROR((VLOOKUP($BO$1&amp;C7,Teams!D:M,2,0)),0)</f>
        <v>6</v>
      </c>
      <c r="X66" s="12">
        <f>IFERROR((VLOOKUP($BO$1&amp;C7,Teams!D:M,3,0)),0)</f>
        <v>1</v>
      </c>
      <c r="Y66" s="12">
        <f>IFERROR((VLOOKUP($BO$1&amp;C7,Teams!D:M,4,0)),0)</f>
        <v>3</v>
      </c>
      <c r="Z66" s="12">
        <f>IFERROR((VLOOKUP($BO$1&amp;C7,Teams!D:M,5,0)),0)</f>
        <v>5</v>
      </c>
      <c r="AA66" s="12">
        <f>IFERROR((VLOOKUP($BO$1&amp;C7,Teams!D:M,6,0)),0)</f>
        <v>6</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0</v>
      </c>
      <c r="AO66" s="11">
        <f t="shared" si="150"/>
        <v>0</v>
      </c>
      <c r="AP66" s="12"/>
      <c r="AQ66" s="12"/>
      <c r="AR66" s="11">
        <v>950000</v>
      </c>
      <c r="AS66" s="11"/>
      <c r="AT66" s="11"/>
      <c r="AU66" s="11"/>
      <c r="AV66" s="11"/>
      <c r="AW66" s="11"/>
      <c r="AX66" s="12"/>
      <c r="AY66" s="12">
        <v>4</v>
      </c>
      <c r="AZ66" s="12"/>
      <c r="BA66" s="12" t="s">
        <v>301</v>
      </c>
      <c r="BB66" s="12"/>
      <c r="BC66" s="72"/>
      <c r="BD66" s="71" t="s">
        <v>302</v>
      </c>
      <c r="BE66" s="72">
        <f>IFERROR((IF(COUNTIF($BU$2,"*SylvanianSpotlight*"),130000,0)),0)</f>
        <v>0</v>
      </c>
      <c r="BF66" s="2"/>
      <c r="BG66" s="2"/>
      <c r="BH66" s="71" t="s">
        <v>303</v>
      </c>
      <c r="BI66" s="72">
        <f>IFERROR((IF(COUNTIF($BU$2,"*SylvanianSpotlight*"),150000,0)),0)</f>
        <v>0</v>
      </c>
      <c r="BJ66" s="2"/>
      <c r="BK66" s="72"/>
      <c r="BL66" s="72"/>
      <c r="BM66" s="12"/>
      <c r="BN66" s="72"/>
      <c r="BO66" s="71" t="s">
        <v>304</v>
      </c>
      <c r="BP66" s="72">
        <v>30000</v>
      </c>
      <c r="BQ66" s="12"/>
      <c r="BR66" s="71"/>
      <c r="BS66" s="12" t="str">
        <f>IF($J$25="Español","Agallas",(IF($J$25="Deutsch","Abwehren",(IF($J$25="Français","Arracher le ballon","Block")))))</f>
        <v>Block</v>
      </c>
      <c r="BT66" s="12" t="s">
        <v>224</v>
      </c>
      <c r="BU66" s="12" t="str">
        <f>IF($J$25="Español","Agallas",(IF($J$25="Deutsch","Abwehren",(IF($J$25="Français","Arracher le ballon","Block")))))</f>
        <v>Block</v>
      </c>
      <c r="BV66" s="12" t="s">
        <v>224</v>
      </c>
      <c r="BW66" s="12" t="str">
        <f>IF($J$25="Español","Agallas",(IF($J$25="Deutsch","Abwehren",(IF($J$25="Français","Arracher le ballon","Block")))))</f>
        <v>Block</v>
      </c>
      <c r="BX66" s="12" t="s">
        <v>224</v>
      </c>
      <c r="BY66" s="12" t="str">
        <f>IF($J$25="Español","Agallas",(IF($J$25="Deutsch","Abwehren",(IF($J$25="Français","Arracher le ballon","Block")))))</f>
        <v>Block</v>
      </c>
      <c r="BZ66" s="12" t="s">
        <v>224</v>
      </c>
      <c r="CA66" s="12"/>
      <c r="CB66" s="75" t="str">
        <f>IF($J$25="Español","Forcejear",(IF($J$25="Deutsch","Ball entreißen",(IF($J$25="Français","Blocage","Dauntless")))))</f>
        <v>Dauntless</v>
      </c>
      <c r="CC66" s="12" t="s">
        <v>224</v>
      </c>
      <c r="CD66" s="2"/>
      <c r="CE66" s="7"/>
      <c r="CF66" s="12"/>
      <c r="CG66" s="66" t="str">
        <f t="shared" si="122"/>
        <v>Block</v>
      </c>
      <c r="CH66" s="66" t="str">
        <f t="shared" si="123"/>
        <v>Block</v>
      </c>
      <c r="CI66" s="68" t="str">
        <f t="shared" si="124"/>
        <v>Block</v>
      </c>
      <c r="CJ66" s="68" t="str">
        <f t="shared" si="125"/>
        <v>Block</v>
      </c>
      <c r="CK66" s="68" t="str">
        <f t="shared" si="126"/>
        <v>Block</v>
      </c>
      <c r="CL66" s="68" t="str">
        <f t="shared" si="127"/>
        <v>Block</v>
      </c>
      <c r="CM66" s="68" t="str">
        <f t="shared" si="128"/>
        <v>Block</v>
      </c>
      <c r="CN66" s="68" t="str">
        <f t="shared" si="129"/>
        <v>Block</v>
      </c>
      <c r="CO66" s="68" t="str">
        <f t="shared" si="130"/>
        <v>Block</v>
      </c>
      <c r="CP66" s="68" t="str">
        <f t="shared" si="131"/>
        <v>Block</v>
      </c>
      <c r="CQ66" s="68" t="str">
        <f t="shared" si="132"/>
        <v>Block</v>
      </c>
      <c r="CR66" s="68" t="str">
        <f t="shared" si="133"/>
        <v>Block</v>
      </c>
      <c r="CS66" s="68" t="str">
        <f t="shared" si="134"/>
        <v>Block</v>
      </c>
      <c r="CT66" s="68" t="str">
        <f t="shared" si="135"/>
        <v>Block</v>
      </c>
      <c r="CU66" s="68" t="str">
        <f t="shared" si="136"/>
        <v>Block</v>
      </c>
      <c r="CV66" s="68" t="str">
        <f t="shared" si="137"/>
        <v>Block</v>
      </c>
      <c r="CW66" s="2"/>
      <c r="CX66" s="2"/>
      <c r="CY66" s="2"/>
      <c r="CZ66" s="12"/>
      <c r="DA66" s="2"/>
      <c r="DB66" s="2"/>
    </row>
    <row r="67" spans="1:106" ht="15" hidden="1" customHeight="1">
      <c r="A67" s="12"/>
      <c r="B67" s="12"/>
      <c r="C67" s="12"/>
      <c r="D67" s="12"/>
      <c r="E67" s="12"/>
      <c r="F67" s="12"/>
      <c r="G67" s="12"/>
      <c r="H67" s="12"/>
      <c r="I67" s="12"/>
      <c r="J67" s="12"/>
      <c r="K67" s="12">
        <f t="shared" si="138"/>
        <v>4</v>
      </c>
      <c r="L67" s="12">
        <f t="shared" si="139"/>
        <v>5</v>
      </c>
      <c r="M67" s="12">
        <f t="shared" ref="M67:N67" si="161">IF(S67=0,0,(IF(S67&gt;6,6,(IF(S67&lt;1,1,S67)))))</f>
        <v>5</v>
      </c>
      <c r="N67" s="12">
        <f t="shared" si="161"/>
        <v>0</v>
      </c>
      <c r="O67" s="12">
        <f t="shared" si="141"/>
        <v>9</v>
      </c>
      <c r="P67" s="12"/>
      <c r="Q67" s="11">
        <f>IFERROR((VLOOKUP($BO$1&amp;C8,Teams!D:M,2,0)+AK67+AC67),0)</f>
        <v>4</v>
      </c>
      <c r="R67" s="11">
        <f>IFERROR((VLOOKUP($BO$1&amp;C8,Teams!D:M,3,0)+AL67+AD67),0)</f>
        <v>5</v>
      </c>
      <c r="S67" s="11">
        <f>IFERROR((VLOOKUP($BO$1&amp;C8,Teams!D:M,4,0)+AM67-AE67),0)</f>
        <v>5</v>
      </c>
      <c r="T67" s="11">
        <f>IFERROR((VLOOKUP($BO$1&amp;C8,Teams!D:M,5,0)+AN67-AF67),0)</f>
        <v>0</v>
      </c>
      <c r="U67" s="11">
        <f>IFERROR((VLOOKUP($BO$1&amp;C8,Teams!D:M,6,0)+AO67+AG67),0)</f>
        <v>9</v>
      </c>
      <c r="V67" s="12"/>
      <c r="W67" s="12">
        <f>IFERROR((VLOOKUP($BO$1&amp;C8,Teams!D:M,2,0)),0)</f>
        <v>4</v>
      </c>
      <c r="X67" s="12">
        <f>IFERROR((VLOOKUP($BO$1&amp;C8,Teams!D:M,3,0)),0)</f>
        <v>5</v>
      </c>
      <c r="Y67" s="12">
        <f>IFERROR((VLOOKUP($BO$1&amp;C8,Teams!D:M,4,0)),0)</f>
        <v>5</v>
      </c>
      <c r="Z67" s="12">
        <f>IFERROR((VLOOKUP($BO$1&amp;C8,Teams!D:M,5,0)),0)</f>
        <v>0</v>
      </c>
      <c r="AA67" s="12">
        <f>IFERROR((VLOOKUP($BO$1&amp;C8,Teams!D:M,6,0)),0)</f>
        <v>9</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2"/>
      <c r="BD67" s="71" t="s">
        <v>305</v>
      </c>
      <c r="BE67" s="72">
        <f>IFERROR((IF(OR(COUNTIF($BU$2,"*BadlandsBrawl*"),COUNTIF($BU$2,"*OldWorldClassic*"),COUNTIF($BU$2,"*UnderworldChallenge*")),80000,0)),0)</f>
        <v>80000</v>
      </c>
      <c r="BF67" s="2"/>
      <c r="BG67" s="2"/>
      <c r="BH67" s="71" t="str">
        <f>IF($J$25="Español","BRUJA MALVADA",(IF($J$25="Deutsch","VERRÜCKTE HEXE",(IF($J$25="Français","WICKED WITCH","WICKED WITCH")))))</f>
        <v>WICKED WITCH</v>
      </c>
      <c r="BI67" s="72">
        <f>IFERROR((IF(OR(COUNTIF($BU$2,"*OldWorldClassic*"),COUNTIF($BU$2,"*SylvanianSpotlight*"),COUNTIF($BU$2,"*UnderworldChallenge*")),150000,0)),0)</f>
        <v>150000</v>
      </c>
      <c r="BJ67" s="2"/>
      <c r="BK67" s="72"/>
      <c r="BL67" s="72"/>
      <c r="BM67" s="12"/>
      <c r="BN67" s="72"/>
      <c r="BO67" s="71" t="s">
        <v>306</v>
      </c>
      <c r="BP67" s="72">
        <v>60000</v>
      </c>
      <c r="BQ67" s="2"/>
      <c r="BR67" s="71"/>
      <c r="BS67" s="75" t="str">
        <f>IF($J$25="Español","Forcejear",(IF($J$25="Deutsch","Ball entreißen",(IF($J$25="Français","Blocage","Dauntless")))))</f>
        <v>Dauntless</v>
      </c>
      <c r="BT67" s="12" t="s">
        <v>224</v>
      </c>
      <c r="BU67" s="75" t="str">
        <f>IF($J$25="Español","Forcejear",(IF($J$25="Deutsch","Ball entreißen",(IF($J$25="Français","Blocage","Dauntless")))))</f>
        <v>Dauntless</v>
      </c>
      <c r="BV67" s="12" t="s">
        <v>224</v>
      </c>
      <c r="BW67" s="75" t="str">
        <f>IF($J$25="Español","Forcejear",(IF($J$25="Deutsch","Ball entreißen",(IF($J$25="Français","Blocage","Dauntless")))))</f>
        <v>Dauntless</v>
      </c>
      <c r="BX67" s="12" t="s">
        <v>224</v>
      </c>
      <c r="BY67" s="75" t="str">
        <f>IF($J$25="Español","Forcejear",(IF($J$25="Deutsch","Ball entreißen",(IF($J$25="Français","Blocage","Dauntless")))))</f>
        <v>Dauntless</v>
      </c>
      <c r="BZ67" s="12" t="s">
        <v>224</v>
      </c>
      <c r="CA67" s="12"/>
      <c r="CB67" s="75" t="str">
        <f>IF($J$25="Español","Furia",(IF($J$25="Deutsch","Ballgefühl",(IF($J$25="Français","Frappe précise","Dirty Player (+1)")))))</f>
        <v>Dirty Player (+1)</v>
      </c>
      <c r="CC67" s="12" t="s">
        <v>224</v>
      </c>
      <c r="CD67" s="2"/>
      <c r="CE67" s="7"/>
      <c r="CF67" s="12"/>
      <c r="CG67" s="66" t="str">
        <f t="shared" si="122"/>
        <v>Dauntless</v>
      </c>
      <c r="CH67" s="66" t="str">
        <f t="shared" si="123"/>
        <v>Dauntless</v>
      </c>
      <c r="CI67" s="68" t="str">
        <f t="shared" si="124"/>
        <v>Dauntless</v>
      </c>
      <c r="CJ67" s="68" t="str">
        <f t="shared" si="125"/>
        <v>Dauntless</v>
      </c>
      <c r="CK67" s="68" t="str">
        <f t="shared" si="126"/>
        <v>Dauntless</v>
      </c>
      <c r="CL67" s="68" t="str">
        <f t="shared" si="127"/>
        <v>Dauntless</v>
      </c>
      <c r="CM67" s="68" t="str">
        <f t="shared" si="128"/>
        <v>Dauntless</v>
      </c>
      <c r="CN67" s="68" t="str">
        <f t="shared" si="129"/>
        <v>Dauntless</v>
      </c>
      <c r="CO67" s="68" t="str">
        <f t="shared" si="130"/>
        <v>Dauntless</v>
      </c>
      <c r="CP67" s="68" t="str">
        <f t="shared" si="131"/>
        <v>Dauntless</v>
      </c>
      <c r="CQ67" s="68" t="str">
        <f t="shared" si="132"/>
        <v>Dauntless</v>
      </c>
      <c r="CR67" s="68" t="str">
        <f t="shared" si="133"/>
        <v>Dauntless</v>
      </c>
      <c r="CS67" s="68" t="str">
        <f t="shared" si="134"/>
        <v>Dauntless</v>
      </c>
      <c r="CT67" s="68" t="str">
        <f t="shared" si="135"/>
        <v>Dauntless</v>
      </c>
      <c r="CU67" s="68" t="str">
        <f t="shared" si="136"/>
        <v>Dauntless</v>
      </c>
      <c r="CV67" s="68" t="str">
        <f t="shared" si="137"/>
        <v>Dauntless</v>
      </c>
      <c r="CW67" s="2"/>
      <c r="CX67" s="2"/>
      <c r="CY67" s="2"/>
      <c r="CZ67" s="12"/>
      <c r="DA67" s="2"/>
      <c r="DB67" s="2"/>
    </row>
    <row r="68" spans="1:106" ht="15" hidden="1" customHeight="1">
      <c r="A68" s="12"/>
      <c r="B68" s="46"/>
      <c r="C68" s="46"/>
      <c r="D68" s="46"/>
      <c r="E68" s="46"/>
      <c r="F68" s="46"/>
      <c r="G68" s="12"/>
      <c r="H68" s="12"/>
      <c r="I68" s="12"/>
      <c r="J68" s="12"/>
      <c r="K68" s="12">
        <f t="shared" si="138"/>
        <v>4</v>
      </c>
      <c r="L68" s="12">
        <f t="shared" si="139"/>
        <v>5</v>
      </c>
      <c r="M68" s="12">
        <f t="shared" ref="M68:N68" si="163">IF(S68=0,0,(IF(S68&gt;6,6,(IF(S68&lt;1,1,S68)))))</f>
        <v>5</v>
      </c>
      <c r="N68" s="12">
        <f t="shared" si="163"/>
        <v>0</v>
      </c>
      <c r="O68" s="12">
        <f t="shared" si="141"/>
        <v>9</v>
      </c>
      <c r="P68" s="12"/>
      <c r="Q68" s="11">
        <f>IFERROR((VLOOKUP($BO$1&amp;C9,Teams!D:M,2,0)+AK68+AC68),0)</f>
        <v>4</v>
      </c>
      <c r="R68" s="11">
        <f>IFERROR((VLOOKUP($BO$1&amp;C9,Teams!D:M,3,0)+AL68+AD68),0)</f>
        <v>5</v>
      </c>
      <c r="S68" s="11">
        <f>IFERROR((VLOOKUP($BO$1&amp;C9,Teams!D:M,4,0)+AM68-AE68),0)</f>
        <v>5</v>
      </c>
      <c r="T68" s="11">
        <f>IFERROR((VLOOKUP($BO$1&amp;C9,Teams!D:M,5,0)+AN68-AF68),0)</f>
        <v>0</v>
      </c>
      <c r="U68" s="11">
        <f>IFERROR((VLOOKUP($BO$1&amp;C9,Teams!D:M,6,0)+AO68+AG68),0)</f>
        <v>9</v>
      </c>
      <c r="V68" s="12"/>
      <c r="W68" s="12">
        <f>IFERROR((VLOOKUP($BO$1&amp;C9,Teams!D:M,2,0)),0)</f>
        <v>4</v>
      </c>
      <c r="X68" s="12">
        <f>IFERROR((VLOOKUP($BO$1&amp;C9,Teams!D:M,3,0)),0)</f>
        <v>5</v>
      </c>
      <c r="Y68" s="12">
        <f>IFERROR((VLOOKUP($BO$1&amp;C9,Teams!D:M,4,0)),0)</f>
        <v>5</v>
      </c>
      <c r="Z68" s="12">
        <f>IFERROR((VLOOKUP($BO$1&amp;C9,Teams!D:M,5,0)),0)</f>
        <v>0</v>
      </c>
      <c r="AA68" s="12">
        <f>IFERROR((VLOOKUP($BO$1&amp;C9,Teams!D:M,6,0)),0)</f>
        <v>9</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4" t="s">
        <v>307</v>
      </c>
      <c r="BA68" s="12" t="str">
        <f>IF(J25="Italiano","SI",(IF(J25="Español","SÍ",(IF(J25="Deutsch","JA",(IF(J25="Français","OUI","YES")))))))</f>
        <v>SI</v>
      </c>
      <c r="BB68" s="12"/>
      <c r="BC68" s="72"/>
      <c r="BD68" s="71" t="s">
        <v>308</v>
      </c>
      <c r="BE68" s="72">
        <f>IFERROR((IF(OR(COUNTIF($BU$2,"*BadlandsBrawl*"),COUNTIF($BU$2,"*UnderworldChallenge*")),90000,0)),0)</f>
        <v>90000</v>
      </c>
      <c r="BF68" s="2"/>
      <c r="BG68" s="2"/>
      <c r="BH68" s="71" t="s">
        <v>309</v>
      </c>
      <c r="BI68" s="72">
        <f>IFERROR((IF(OR(COUNTIF($BU$2,"*UnderworldChallenge*")),150000,0)),0)</f>
        <v>150000</v>
      </c>
      <c r="BJ68" s="2"/>
      <c r="BK68" s="12"/>
      <c r="BL68" s="2"/>
      <c r="BM68" s="12"/>
      <c r="BN68" s="12"/>
      <c r="BO68" s="71" t="str">
        <f>IF($J$25="Español","TOTEM DEL CAOS","CHAOS TOTEM")</f>
        <v>CHAOS TOTEM</v>
      </c>
      <c r="BP68" s="72">
        <v>50000</v>
      </c>
      <c r="BQ68" s="2"/>
      <c r="BR68" s="2"/>
      <c r="BS68" s="75" t="str">
        <f>IF($J$25="Español","Furia",(IF($J$25="Deutsch","Ballgefühl",(IF($J$25="Français","Frappe précise","Dirty Player (+1)")))))</f>
        <v>Dirty Player (+1)</v>
      </c>
      <c r="BT68" s="12" t="s">
        <v>224</v>
      </c>
      <c r="BU68" s="75" t="str">
        <f>IF($J$25="Español","Furia",(IF($J$25="Deutsch","Ballgefühl",(IF($J$25="Français","Frappe précise","Dirty Player (+1)")))))</f>
        <v>Dirty Player (+1)</v>
      </c>
      <c r="BV68" s="12" t="s">
        <v>224</v>
      </c>
      <c r="BW68" s="75" t="str">
        <f>IF($J$25="Español","Furia",(IF($J$25="Deutsch","Ballgefühl",(IF($J$25="Français","Frappe précise","Dirty Player (+1)")))))</f>
        <v>Dirty Player (+1)</v>
      </c>
      <c r="BX68" s="12" t="s">
        <v>224</v>
      </c>
      <c r="BY68" s="75" t="str">
        <f>IF($J$25="Español","Furia",(IF($J$25="Deutsch","Ballgefühl",(IF($J$25="Français","Frappe précise","Dirty Player (+1)")))))</f>
        <v>Dirty Player (+1)</v>
      </c>
      <c r="BZ68" s="12" t="s">
        <v>224</v>
      </c>
      <c r="CA68" s="12"/>
      <c r="CB68" s="75" t="str">
        <f>IF($J$25="Español","Juego Sucio (+1)",(IF($J$25="Deutsch","Block",(IF($J$25="Français","Frénésie ","Fend")))))</f>
        <v>Fend</v>
      </c>
      <c r="CC68" s="12" t="s">
        <v>224</v>
      </c>
      <c r="CD68" s="2"/>
      <c r="CE68" s="7"/>
      <c r="CF68" s="12"/>
      <c r="CG68" s="66" t="str">
        <f t="shared" si="122"/>
        <v>Dirty Player (+1)</v>
      </c>
      <c r="CH68" s="66" t="str">
        <f t="shared" si="123"/>
        <v>Dirty Player (+1)</v>
      </c>
      <c r="CI68" s="68" t="str">
        <f t="shared" si="124"/>
        <v>Dirty Player (+1)</v>
      </c>
      <c r="CJ68" s="68" t="str">
        <f t="shared" si="125"/>
        <v>Dirty Player (+1)</v>
      </c>
      <c r="CK68" s="68" t="str">
        <f t="shared" si="126"/>
        <v>Dirty Player (+1)</v>
      </c>
      <c r="CL68" s="68" t="str">
        <f t="shared" si="127"/>
        <v>Dirty Player (+1)</v>
      </c>
      <c r="CM68" s="68" t="str">
        <f t="shared" si="128"/>
        <v>Dirty Player (+1)</v>
      </c>
      <c r="CN68" s="68" t="str">
        <f t="shared" si="129"/>
        <v>Dirty Player (+1)</v>
      </c>
      <c r="CO68" s="68" t="str">
        <f t="shared" si="130"/>
        <v>Dirty Player (+1)</v>
      </c>
      <c r="CP68" s="68" t="str">
        <f t="shared" si="131"/>
        <v>Dirty Player (+1)</v>
      </c>
      <c r="CQ68" s="68" t="str">
        <f t="shared" si="132"/>
        <v>Dirty Player (+1)</v>
      </c>
      <c r="CR68" s="68" t="str">
        <f t="shared" si="133"/>
        <v>Dirty Player (+1)</v>
      </c>
      <c r="CS68" s="68" t="str">
        <f t="shared" si="134"/>
        <v>Dirty Player (+1)</v>
      </c>
      <c r="CT68" s="68" t="str">
        <f t="shared" si="135"/>
        <v>Dirty Player (+1)</v>
      </c>
      <c r="CU68" s="68" t="str">
        <f t="shared" si="136"/>
        <v>Dirty Player (+1)</v>
      </c>
      <c r="CV68" s="68" t="str">
        <f t="shared" si="137"/>
        <v>Dirty Player (+1)</v>
      </c>
      <c r="CW68" s="2"/>
      <c r="CX68" s="2"/>
      <c r="CY68" s="2"/>
      <c r="CZ68" s="12"/>
      <c r="DA68" s="2"/>
      <c r="DB68" s="2"/>
    </row>
    <row r="69" spans="1:106" ht="15" hidden="1" customHeight="1">
      <c r="A69" s="12"/>
      <c r="B69" s="46"/>
      <c r="C69" s="46"/>
      <c r="D69" s="46"/>
      <c r="E69" s="46"/>
      <c r="F69" s="46"/>
      <c r="G69" s="12"/>
      <c r="H69" s="12"/>
      <c r="I69" s="12"/>
      <c r="J69" s="12"/>
      <c r="K69" s="12">
        <f t="shared" si="138"/>
        <v>4</v>
      </c>
      <c r="L69" s="12">
        <f t="shared" si="139"/>
        <v>5</v>
      </c>
      <c r="M69" s="12">
        <f t="shared" ref="M69:N69" si="165">IF(S69=0,0,(IF(S69&gt;6,6,(IF(S69&lt;1,1,S69)))))</f>
        <v>5</v>
      </c>
      <c r="N69" s="12">
        <f t="shared" si="165"/>
        <v>5</v>
      </c>
      <c r="O69" s="12">
        <f t="shared" si="141"/>
        <v>10</v>
      </c>
      <c r="P69" s="12"/>
      <c r="Q69" s="11">
        <f>IFERROR((VLOOKUP($BO$1&amp;C10,Teams!D:M,2,0)+AK69+AC69),0)</f>
        <v>4</v>
      </c>
      <c r="R69" s="11">
        <f>IFERROR((VLOOKUP($BO$1&amp;C10,Teams!D:M,3,0)+AL69+AD69),0)</f>
        <v>5</v>
      </c>
      <c r="S69" s="11">
        <f>IFERROR((VLOOKUP($BO$1&amp;C10,Teams!D:M,4,0)+AM69-AE69),0)</f>
        <v>5</v>
      </c>
      <c r="T69" s="11">
        <f>IFERROR((VLOOKUP($BO$1&amp;C10,Teams!D:M,5,0)+AN69-AF69),0)</f>
        <v>5</v>
      </c>
      <c r="U69" s="11">
        <f>IFERROR((VLOOKUP($BO$1&amp;C10,Teams!D:M,6,0)+AO69+AG69),0)</f>
        <v>10</v>
      </c>
      <c r="V69" s="12"/>
      <c r="W69" s="12">
        <f>IFERROR((VLOOKUP($BO$1&amp;C10,Teams!D:M,2,0)),0)</f>
        <v>4</v>
      </c>
      <c r="X69" s="12">
        <f>IFERROR((VLOOKUP($BO$1&amp;C10,Teams!D:M,3,0)),0)</f>
        <v>5</v>
      </c>
      <c r="Y69" s="12">
        <f>IFERROR((VLOOKUP($BO$1&amp;C10,Teams!D:M,4,0)),0)</f>
        <v>5</v>
      </c>
      <c r="Z69" s="12">
        <f>IFERROR((VLOOKUP($BO$1&amp;C10,Teams!D:M,5,0)),0)</f>
        <v>5</v>
      </c>
      <c r="AA69" s="12">
        <f>IFERROR((VLOOKUP($BO$1&amp;C10,Teams!D:M,6,0)),0)</f>
        <v>10</v>
      </c>
      <c r="AB69" s="12"/>
      <c r="AC69" s="12">
        <f t="shared" si="142"/>
        <v>0</v>
      </c>
      <c r="AD69" s="12">
        <f t="shared" si="143"/>
        <v>0</v>
      </c>
      <c r="AE69" s="12">
        <f t="shared" si="144"/>
        <v>0</v>
      </c>
      <c r="AF69" s="12">
        <f t="shared" si="145"/>
        <v>0</v>
      </c>
      <c r="AG69" s="12">
        <f t="shared" si="146"/>
        <v>0</v>
      </c>
      <c r="AH69" s="12"/>
      <c r="AI69" s="70">
        <v>3</v>
      </c>
      <c r="AJ69" s="12"/>
      <c r="AK69" s="11">
        <f t="shared" ref="AK69:AL69" si="166">AK45</f>
        <v>0</v>
      </c>
      <c r="AL69" s="11">
        <f t="shared" si="166"/>
        <v>0</v>
      </c>
      <c r="AM69" s="11">
        <f t="shared" si="148"/>
        <v>0</v>
      </c>
      <c r="AN69" s="11">
        <f t="shared" si="149"/>
        <v>0</v>
      </c>
      <c r="AO69" s="11">
        <f t="shared" si="150"/>
        <v>0</v>
      </c>
      <c r="AP69" s="12"/>
      <c r="AQ69" s="12"/>
      <c r="AR69" s="11">
        <v>980000</v>
      </c>
      <c r="AS69" s="11"/>
      <c r="AT69" s="11"/>
      <c r="AU69" s="11"/>
      <c r="AV69" s="11"/>
      <c r="AW69" s="11"/>
      <c r="AX69" s="12"/>
      <c r="AY69" s="12">
        <v>7</v>
      </c>
      <c r="AZ69" s="74" t="s">
        <v>310</v>
      </c>
      <c r="BA69" s="12" t="str">
        <f>IF(J25="Deutsch","NEIN",(IF(J25="Français","NON","NO")))</f>
        <v>NO</v>
      </c>
      <c r="BB69" s="12"/>
      <c r="BC69" s="72"/>
      <c r="BD69" s="71" t="s">
        <v>311</v>
      </c>
      <c r="BE69" s="72">
        <v>90000</v>
      </c>
      <c r="BF69" s="2"/>
      <c r="BG69" s="2"/>
      <c r="BH69" s="71" t="s">
        <v>312</v>
      </c>
      <c r="BI69" s="72">
        <f>IFERROR((IF(OR(COUNTIF($BU$2,"*BadlandsBrawl*")),150000,0)),0)</f>
        <v>0</v>
      </c>
      <c r="BJ69" s="2"/>
      <c r="BK69" s="12"/>
      <c r="BL69" s="2"/>
      <c r="BM69" s="12"/>
      <c r="BN69" s="12"/>
      <c r="BO69" s="12"/>
      <c r="BP69" s="2"/>
      <c r="BQ69" s="2"/>
      <c r="BR69" s="2"/>
      <c r="BS69" s="75" t="str">
        <f>IF($J$25="Español","Juego Sucio (+1)",(IF($J$25="Deutsch","Block",(IF($J$25="Français","Frénésie ","Fend")))))</f>
        <v>Fend</v>
      </c>
      <c r="BT69" s="12" t="s">
        <v>224</v>
      </c>
      <c r="BU69" s="75" t="str">
        <f>IF($J$25="Español","Juego Sucio (+1)",(IF($J$25="Deutsch","Block",(IF($J$25="Français","Frénésie ","Fend")))))</f>
        <v>Fend</v>
      </c>
      <c r="BV69" s="12" t="s">
        <v>224</v>
      </c>
      <c r="BW69" s="75" t="str">
        <f>IF($J$25="Español","Juego Sucio (+1)",(IF($J$25="Deutsch","Block",(IF($J$25="Français","Frénésie ","Fend")))))</f>
        <v>Fend</v>
      </c>
      <c r="BX69" s="12" t="s">
        <v>224</v>
      </c>
      <c r="BY69" s="75" t="str">
        <f>IF($J$25="Español","Juego Sucio (+1)",(IF($J$25="Deutsch","Block",(IF($J$25="Français","Frénésie ","Fend")))))</f>
        <v>Fend</v>
      </c>
      <c r="BZ69" s="12" t="s">
        <v>224</v>
      </c>
      <c r="CA69" s="12"/>
      <c r="CB69" s="75" t="str">
        <f>IF($J$25="Español","Manos Seguras",(IF($J$25="Deutsch","Brutal (+1)",(IF($J$25="Français","Intrépide","Frenzy")))))</f>
        <v>Frenzy</v>
      </c>
      <c r="CC69" s="12" t="s">
        <v>224</v>
      </c>
      <c r="CD69" s="2"/>
      <c r="CE69" s="7"/>
      <c r="CF69" s="12"/>
      <c r="CG69" s="66" t="str">
        <f t="shared" si="122"/>
        <v>Fend</v>
      </c>
      <c r="CH69" s="66" t="str">
        <f t="shared" si="123"/>
        <v>Fend</v>
      </c>
      <c r="CI69" s="68" t="str">
        <f t="shared" si="124"/>
        <v>Fend</v>
      </c>
      <c r="CJ69" s="68" t="str">
        <f t="shared" si="125"/>
        <v>Fend</v>
      </c>
      <c r="CK69" s="68" t="str">
        <f t="shared" si="126"/>
        <v>Fend</v>
      </c>
      <c r="CL69" s="68" t="str">
        <f t="shared" si="127"/>
        <v>Fend</v>
      </c>
      <c r="CM69" s="68" t="str">
        <f t="shared" si="128"/>
        <v>Fend</v>
      </c>
      <c r="CN69" s="68" t="str">
        <f t="shared" si="129"/>
        <v>Fend</v>
      </c>
      <c r="CO69" s="68" t="str">
        <f t="shared" si="130"/>
        <v>Fend</v>
      </c>
      <c r="CP69" s="68" t="str">
        <f t="shared" si="131"/>
        <v>Fend</v>
      </c>
      <c r="CQ69" s="68" t="str">
        <f t="shared" si="132"/>
        <v>Fend</v>
      </c>
      <c r="CR69" s="68" t="str">
        <f t="shared" si="133"/>
        <v>Fend</v>
      </c>
      <c r="CS69" s="68" t="str">
        <f t="shared" si="134"/>
        <v>Fend</v>
      </c>
      <c r="CT69" s="68" t="str">
        <f t="shared" si="135"/>
        <v>Fend</v>
      </c>
      <c r="CU69" s="68" t="str">
        <f t="shared" si="136"/>
        <v>Fend</v>
      </c>
      <c r="CV69" s="68" t="str">
        <f t="shared" si="137"/>
        <v>Fend</v>
      </c>
      <c r="CW69" s="2"/>
      <c r="CX69" s="2"/>
      <c r="CY69" s="2"/>
      <c r="CZ69" s="12"/>
      <c r="DA69" s="2"/>
      <c r="DB69" s="2"/>
    </row>
    <row r="70" spans="1:106" ht="15" hidden="1" customHeight="1">
      <c r="A70" s="12"/>
      <c r="B70" s="12"/>
      <c r="C70" s="46"/>
      <c r="D70" s="46"/>
      <c r="E70" s="46"/>
      <c r="F70" s="46"/>
      <c r="G70" s="12"/>
      <c r="H70" s="12"/>
      <c r="I70" s="12"/>
      <c r="J70" s="12"/>
      <c r="K70" s="12">
        <f t="shared" si="138"/>
        <v>4</v>
      </c>
      <c r="L70" s="12">
        <f t="shared" si="139"/>
        <v>5</v>
      </c>
      <c r="M70" s="12">
        <f t="shared" ref="M70:N70" si="167">IF(S70=0,0,(IF(S70&gt;6,6,(IF(S70&lt;1,1,S70)))))</f>
        <v>5</v>
      </c>
      <c r="N70" s="12">
        <f t="shared" si="167"/>
        <v>5</v>
      </c>
      <c r="O70" s="12">
        <f t="shared" si="141"/>
        <v>10</v>
      </c>
      <c r="P70" s="12"/>
      <c r="Q70" s="11">
        <f>IFERROR((VLOOKUP($BO$1&amp;C11,Teams!D:M,2,0)+AK70+AC70),0)</f>
        <v>4</v>
      </c>
      <c r="R70" s="11">
        <f>IFERROR((VLOOKUP($BO$1&amp;C11,Teams!D:M,3,0)+AL70+AD70),0)</f>
        <v>5</v>
      </c>
      <c r="S70" s="11">
        <f>IFERROR((VLOOKUP($BO$1&amp;C11,Teams!D:M,4,0)+AM70-AE70),0)</f>
        <v>5</v>
      </c>
      <c r="T70" s="11">
        <f>IFERROR((VLOOKUP($BO$1&amp;C11,Teams!D:M,5,0)+AN70-AF70),0)</f>
        <v>5</v>
      </c>
      <c r="U70" s="11">
        <f>IFERROR((VLOOKUP($BO$1&amp;C11,Teams!D:M,6,0)+AO70+AG70),0)</f>
        <v>10</v>
      </c>
      <c r="V70" s="12"/>
      <c r="W70" s="12">
        <f>IFERROR((VLOOKUP($BO$1&amp;C11,Teams!D:M,2,0)),0)</f>
        <v>4</v>
      </c>
      <c r="X70" s="12">
        <f>IFERROR((VLOOKUP($BO$1&amp;C11,Teams!D:M,3,0)),0)</f>
        <v>5</v>
      </c>
      <c r="Y70" s="12">
        <f>IFERROR((VLOOKUP($BO$1&amp;C11,Teams!D:M,4,0)),0)</f>
        <v>5</v>
      </c>
      <c r="Z70" s="12">
        <f>IFERROR((VLOOKUP($BO$1&amp;C11,Teams!D:M,5,0)),0)</f>
        <v>5</v>
      </c>
      <c r="AA70" s="12">
        <f>IFERROR((VLOOKUP($BO$1&amp;C11,Teams!D:M,6,0)),0)</f>
        <v>10</v>
      </c>
      <c r="AB70" s="12"/>
      <c r="AC70" s="12">
        <f t="shared" si="142"/>
        <v>0</v>
      </c>
      <c r="AD70" s="12">
        <f t="shared" si="143"/>
        <v>0</v>
      </c>
      <c r="AE70" s="12">
        <f t="shared" si="144"/>
        <v>0</v>
      </c>
      <c r="AF70" s="12">
        <f t="shared" si="145"/>
        <v>0</v>
      </c>
      <c r="AG70" s="12">
        <f t="shared" si="146"/>
        <v>0</v>
      </c>
      <c r="AH70" s="12"/>
      <c r="AI70" s="70">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2"/>
      <c r="BE70" s="72"/>
      <c r="BF70" s="2"/>
      <c r="BG70" s="2"/>
      <c r="BH70" s="71" t="s">
        <v>313</v>
      </c>
      <c r="BI70" s="72">
        <f>IFERROR((IF(OR(COUNTIF($BU$2,"*BadlandsBrawl*"),COUNTIF($BU$2,"*UnderworldChallenge*")),150000,0)),0)</f>
        <v>150000</v>
      </c>
      <c r="BJ70" s="2"/>
      <c r="BK70" s="12"/>
      <c r="BL70" s="2"/>
      <c r="BM70" s="12"/>
      <c r="BN70" s="12"/>
      <c r="BO70" s="12"/>
      <c r="BP70" s="2"/>
      <c r="BQ70" s="2"/>
      <c r="BR70" s="2"/>
      <c r="BS70" s="75" t="str">
        <f>IF($J$25="Español","Manos Seguras",(IF($J$25="Deutsch","Brutal (+1)",(IF($J$25="Français","Intrépide","Frenzy")))))</f>
        <v>Frenzy</v>
      </c>
      <c r="BT70" s="12" t="s">
        <v>224</v>
      </c>
      <c r="BU70" s="75" t="str">
        <f>IF($J$25="Español","Manos Seguras",(IF($J$25="Deutsch","Brutal (+1)",(IF($J$25="Français","Intrépide","Frenzy")))))</f>
        <v>Frenzy</v>
      </c>
      <c r="BV70" s="12" t="s">
        <v>224</v>
      </c>
      <c r="BW70" s="75" t="str">
        <f>IF($J$25="Español","Manos Seguras",(IF($J$25="Deutsch","Brutal (+1)",(IF($J$25="Français","Intrépide","Frenzy")))))</f>
        <v>Frenzy</v>
      </c>
      <c r="BX70" s="12" t="s">
        <v>224</v>
      </c>
      <c r="BY70" s="75" t="str">
        <f>IF($J$25="Español","Manos Seguras",(IF($J$25="Deutsch","Brutal (+1)",(IF($J$25="Français","Intrépide","Frenzy")))))</f>
        <v>Frenzy</v>
      </c>
      <c r="BZ70" s="12" t="s">
        <v>224</v>
      </c>
      <c r="CA70" s="12"/>
      <c r="CB70" s="75" t="str">
        <f>IF($J$25="Español","Patada",(IF($J$25="Deutsch","Kicken",(IF($J$25="Français","Joueur Déloyal (+1)","Kick")))))</f>
        <v>Kick</v>
      </c>
      <c r="CC70" s="12" t="s">
        <v>224</v>
      </c>
      <c r="CD70" s="2"/>
      <c r="CE70" s="7"/>
      <c r="CF70" s="12"/>
      <c r="CG70" s="66" t="str">
        <f t="shared" si="122"/>
        <v>Frenzy</v>
      </c>
      <c r="CH70" s="66" t="str">
        <f t="shared" si="123"/>
        <v>Frenzy</v>
      </c>
      <c r="CI70" s="68" t="str">
        <f t="shared" si="124"/>
        <v>Frenzy</v>
      </c>
      <c r="CJ70" s="68" t="str">
        <f t="shared" si="125"/>
        <v>Frenzy</v>
      </c>
      <c r="CK70" s="68" t="str">
        <f t="shared" si="126"/>
        <v>Frenzy</v>
      </c>
      <c r="CL70" s="68" t="str">
        <f t="shared" si="127"/>
        <v>Frenzy</v>
      </c>
      <c r="CM70" s="68" t="str">
        <f t="shared" si="128"/>
        <v>Frenzy</v>
      </c>
      <c r="CN70" s="68" t="str">
        <f t="shared" si="129"/>
        <v>Frenzy</v>
      </c>
      <c r="CO70" s="68" t="str">
        <f t="shared" si="130"/>
        <v>Frenzy</v>
      </c>
      <c r="CP70" s="68" t="str">
        <f t="shared" si="131"/>
        <v>Frenzy</v>
      </c>
      <c r="CQ70" s="68" t="str">
        <f t="shared" si="132"/>
        <v>Frenzy</v>
      </c>
      <c r="CR70" s="68" t="str">
        <f t="shared" si="133"/>
        <v>Frenzy</v>
      </c>
      <c r="CS70" s="68" t="str">
        <f t="shared" si="134"/>
        <v>Frenzy</v>
      </c>
      <c r="CT70" s="68" t="str">
        <f t="shared" si="135"/>
        <v>Frenzy</v>
      </c>
      <c r="CU70" s="68" t="str">
        <f t="shared" si="136"/>
        <v>Frenzy</v>
      </c>
      <c r="CV70" s="68" t="str">
        <f t="shared" si="137"/>
        <v>Frenzy</v>
      </c>
      <c r="CW70" s="2"/>
      <c r="CX70" s="2"/>
      <c r="CY70" s="2"/>
      <c r="CZ70" s="12"/>
      <c r="DA70" s="2"/>
      <c r="DB70" s="2"/>
    </row>
    <row r="71" spans="1:106" ht="15" hidden="1" customHeight="1">
      <c r="A71" s="12"/>
      <c r="B71" s="46"/>
      <c r="C71" s="46"/>
      <c r="D71" s="46"/>
      <c r="E71" s="46"/>
      <c r="F71" s="46"/>
      <c r="G71" s="12"/>
      <c r="H71" s="12"/>
      <c r="I71" s="12"/>
      <c r="J71" s="12"/>
      <c r="K71" s="12">
        <f t="shared" si="138"/>
        <v>5</v>
      </c>
      <c r="L71" s="12">
        <f t="shared" si="139"/>
        <v>1</v>
      </c>
      <c r="M71" s="12">
        <f t="shared" ref="M71:N71" si="169">IF(S71=0,0,(IF(S71&gt;6,6,(IF(S71&lt;1,1,S71)))))</f>
        <v>3</v>
      </c>
      <c r="N71" s="12">
        <f t="shared" si="169"/>
        <v>5</v>
      </c>
      <c r="O71" s="12">
        <f t="shared" si="141"/>
        <v>6</v>
      </c>
      <c r="P71" s="12"/>
      <c r="Q71" s="11">
        <f>IFERROR((VLOOKUP($BO$1&amp;C12,Teams!D:M,2,0)+AK71+AC71),0)</f>
        <v>5</v>
      </c>
      <c r="R71" s="11">
        <f>IFERROR((VLOOKUP($BO$1&amp;C12,Teams!D:M,3,0)+AL71+AD71),0)</f>
        <v>1</v>
      </c>
      <c r="S71" s="11">
        <f>IFERROR((VLOOKUP($BO$1&amp;C12,Teams!D:M,4,0)+AM71-AE71),0)</f>
        <v>3</v>
      </c>
      <c r="T71" s="11">
        <f>IFERROR((VLOOKUP($BO$1&amp;C12,Teams!D:M,5,0)+AN71-AF71),0)</f>
        <v>5</v>
      </c>
      <c r="U71" s="11">
        <f>IFERROR((VLOOKUP($BO$1&amp;C12,Teams!D:M,6,0)+AO71+AG71),0)</f>
        <v>6</v>
      </c>
      <c r="V71" s="12"/>
      <c r="W71" s="12">
        <f>IFERROR((VLOOKUP($BO$1&amp;C12,Teams!D:M,2,0)),0)</f>
        <v>5</v>
      </c>
      <c r="X71" s="12">
        <f>IFERROR((VLOOKUP($BO$1&amp;C12,Teams!D:M,3,0)),0)</f>
        <v>1</v>
      </c>
      <c r="Y71" s="12">
        <f>IFERROR((VLOOKUP($BO$1&amp;C12,Teams!D:M,4,0)),0)</f>
        <v>3</v>
      </c>
      <c r="Z71" s="12">
        <f>IFERROR((VLOOKUP($BO$1&amp;C12,Teams!D:M,5,0)),0)</f>
        <v>5</v>
      </c>
      <c r="AA71" s="12">
        <f>IFERROR((VLOOKUP($BO$1&amp;C12,Teams!D:M,6,0)),0)</f>
        <v>6</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5" t="s">
        <v>314</v>
      </c>
      <c r="BB71" s="12"/>
      <c r="BC71" s="12"/>
      <c r="BD71" s="72"/>
      <c r="BE71" s="72"/>
      <c r="BF71" s="2"/>
      <c r="BG71" s="2"/>
      <c r="BH71" s="71" t="s">
        <v>315</v>
      </c>
      <c r="BI71" s="72">
        <v>80000</v>
      </c>
      <c r="BJ71" s="2"/>
      <c r="BK71" s="12"/>
      <c r="BL71" s="2"/>
      <c r="BM71" s="12"/>
      <c r="BN71" s="12"/>
      <c r="BO71" s="12"/>
      <c r="BP71" s="2"/>
      <c r="BQ71" s="2"/>
      <c r="BR71" s="2"/>
      <c r="BS71" s="75" t="str">
        <f>IF($J$25="Español","Patada",(IF($J$25="Deutsch","Kicken",(IF($J$25="Français","Joueur Déloyal (+1)","Kick")))))</f>
        <v>Kick</v>
      </c>
      <c r="BT71" s="12" t="s">
        <v>224</v>
      </c>
      <c r="BU71" s="75" t="str">
        <f>IF($J$25="Español","Patada",(IF($J$25="Deutsch","Kicken",(IF($J$25="Français","Joueur Déloyal (+1)","Kick")))))</f>
        <v>Kick</v>
      </c>
      <c r="BV71" s="12" t="s">
        <v>224</v>
      </c>
      <c r="BW71" s="75" t="str">
        <f>IF($J$25="Español","Patada",(IF($J$25="Deutsch","Kicken",(IF($J$25="Français","Joueur Déloyal (+1)","Kick")))))</f>
        <v>Kick</v>
      </c>
      <c r="BX71" s="12" t="s">
        <v>224</v>
      </c>
      <c r="BY71" s="75" t="str">
        <f>IF($J$25="Español","Patada",(IF($J$25="Deutsch","Kicken",(IF($J$25="Français","Joueur Déloyal (+1)","Kick")))))</f>
        <v>Kick</v>
      </c>
      <c r="BZ71" s="12" t="s">
        <v>224</v>
      </c>
      <c r="CA71" s="73"/>
      <c r="CB71" s="75" t="str">
        <f>IF($J$25="Español","Perseguir",(IF($J$25="Deutsch","Manndeckung",(IF($J$25="Français","Lutte","Pro")))))</f>
        <v>Pro</v>
      </c>
      <c r="CC71" s="12" t="s">
        <v>224</v>
      </c>
      <c r="CD71" s="2"/>
      <c r="CE71" s="7"/>
      <c r="CF71" s="12"/>
      <c r="CG71" s="66" t="str">
        <f t="shared" si="122"/>
        <v>Kick</v>
      </c>
      <c r="CH71" s="66" t="str">
        <f t="shared" si="123"/>
        <v>Kick</v>
      </c>
      <c r="CI71" s="68" t="str">
        <f t="shared" si="124"/>
        <v>Kick</v>
      </c>
      <c r="CJ71" s="68" t="str">
        <f t="shared" si="125"/>
        <v>Kick</v>
      </c>
      <c r="CK71" s="68" t="str">
        <f t="shared" si="126"/>
        <v>Kick</v>
      </c>
      <c r="CL71" s="68" t="str">
        <f t="shared" si="127"/>
        <v>Kick</v>
      </c>
      <c r="CM71" s="68" t="str">
        <f t="shared" si="128"/>
        <v>Kick</v>
      </c>
      <c r="CN71" s="68" t="str">
        <f t="shared" si="129"/>
        <v>Kick</v>
      </c>
      <c r="CO71" s="68" t="str">
        <f t="shared" si="130"/>
        <v>Kick</v>
      </c>
      <c r="CP71" s="68" t="str">
        <f t="shared" si="131"/>
        <v>Kick</v>
      </c>
      <c r="CQ71" s="68" t="str">
        <f t="shared" si="132"/>
        <v>Kick</v>
      </c>
      <c r="CR71" s="68" t="str">
        <f t="shared" si="133"/>
        <v>Kick</v>
      </c>
      <c r="CS71" s="68" t="str">
        <f t="shared" si="134"/>
        <v>Kick</v>
      </c>
      <c r="CT71" s="68" t="str">
        <f t="shared" si="135"/>
        <v>Kick</v>
      </c>
      <c r="CU71" s="68" t="str">
        <f t="shared" si="136"/>
        <v>Kick</v>
      </c>
      <c r="CV71" s="68" t="str">
        <f t="shared" si="137"/>
        <v>Kick</v>
      </c>
      <c r="CW71" s="2"/>
      <c r="CX71" s="2"/>
      <c r="CY71" s="2"/>
      <c r="CZ71" s="12"/>
      <c r="DA71" s="2"/>
      <c r="DB71" s="2"/>
    </row>
    <row r="72" spans="1:106" ht="15" hidden="1" customHeight="1">
      <c r="A72" s="12"/>
      <c r="B72" s="76"/>
      <c r="C72" s="76"/>
      <c r="D72" s="76"/>
      <c r="E72" s="76"/>
      <c r="F72" s="76"/>
      <c r="G72" s="12"/>
      <c r="H72" s="12"/>
      <c r="I72" s="12"/>
      <c r="J72" s="12"/>
      <c r="K72" s="12">
        <f t="shared" si="138"/>
        <v>5</v>
      </c>
      <c r="L72" s="12">
        <f t="shared" si="139"/>
        <v>1</v>
      </c>
      <c r="M72" s="12">
        <f t="shared" ref="M72:N72" si="171">IF(S72=0,0,(IF(S72&gt;6,6,(IF(S72&lt;1,1,S72)))))</f>
        <v>3</v>
      </c>
      <c r="N72" s="12">
        <f t="shared" si="171"/>
        <v>5</v>
      </c>
      <c r="O72" s="12">
        <f t="shared" si="141"/>
        <v>6</v>
      </c>
      <c r="P72" s="12"/>
      <c r="Q72" s="11">
        <f>IFERROR((VLOOKUP($BO$1&amp;C13,Teams!D:M,2,0)+AK72+AC72),0)</f>
        <v>5</v>
      </c>
      <c r="R72" s="11">
        <f>IFERROR((VLOOKUP($BO$1&amp;C13,Teams!D:M,3,0)+AL72+AD72),0)</f>
        <v>1</v>
      </c>
      <c r="S72" s="11">
        <f>IFERROR((VLOOKUP($BO$1&amp;C13,Teams!D:M,4,0)+AM72-AE72),0)</f>
        <v>3</v>
      </c>
      <c r="T72" s="11">
        <f>IFERROR((VLOOKUP($BO$1&amp;C13,Teams!D:M,5,0)+AN72-AF72),0)</f>
        <v>5</v>
      </c>
      <c r="U72" s="11">
        <f>IFERROR((VLOOKUP($BO$1&amp;C13,Teams!D:M,6,0)+AO72+AG72),0)</f>
        <v>6</v>
      </c>
      <c r="V72" s="12"/>
      <c r="W72" s="12">
        <f>IFERROR((VLOOKUP($BO$1&amp;C13,Teams!D:M,2,0)),0)</f>
        <v>5</v>
      </c>
      <c r="X72" s="12">
        <f>IFERROR((VLOOKUP($BO$1&amp;C13,Teams!D:M,3,0)),0)</f>
        <v>1</v>
      </c>
      <c r="Y72" s="12">
        <f>IFERROR((VLOOKUP($BO$1&amp;C13,Teams!D:M,4,0)),0)</f>
        <v>3</v>
      </c>
      <c r="Z72" s="12">
        <f>IFERROR((VLOOKUP($BO$1&amp;C13,Teams!D:M,5,0)),0)</f>
        <v>5</v>
      </c>
      <c r="AA72" s="12">
        <f>IFERROR((VLOOKUP($BO$1&amp;C13,Teams!D:M,6,0)),0)</f>
        <v>6</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4</v>
      </c>
      <c r="BB72" s="12"/>
      <c r="BC72" s="12"/>
      <c r="BD72" s="72"/>
      <c r="BE72" s="72"/>
      <c r="BF72" s="2"/>
      <c r="BG72" s="2"/>
      <c r="BH72" s="71"/>
      <c r="BI72" s="72"/>
      <c r="BJ72" s="2"/>
      <c r="BK72" s="12"/>
      <c r="BL72" s="2"/>
      <c r="BM72" s="12"/>
      <c r="BN72" s="12"/>
      <c r="BO72" s="12"/>
      <c r="BP72" s="2"/>
      <c r="BQ72" s="2"/>
      <c r="BR72" s="2"/>
      <c r="BS72" s="75" t="str">
        <f>IF($J$25="Español","Perseguir",(IF($J$25="Deutsch","Manndeckung",(IF($J$25="Français","Lutte","Pro")))))</f>
        <v>Pro</v>
      </c>
      <c r="BT72" s="12" t="s">
        <v>224</v>
      </c>
      <c r="BU72" s="75" t="str">
        <f>IF($J$25="Español","Perseguir",(IF($J$25="Deutsch","Manndeckung",(IF($J$25="Français","Lutte","Pro")))))</f>
        <v>Pro</v>
      </c>
      <c r="BV72" s="12" t="s">
        <v>224</v>
      </c>
      <c r="BW72" s="75" t="str">
        <f>IF($J$25="Español","Perseguir",(IF($J$25="Deutsch","Manndeckung",(IF($J$25="Français","Lutte","Pro")))))</f>
        <v>Pro</v>
      </c>
      <c r="BX72" s="12" t="s">
        <v>224</v>
      </c>
      <c r="BY72" s="75" t="str">
        <f>IF($J$25="Español","Perseguir",(IF($J$25="Deutsch","Manndeckung",(IF($J$25="Français","Lutte","Pro")))))</f>
        <v>Pro</v>
      </c>
      <c r="BZ72" s="12" t="s">
        <v>224</v>
      </c>
      <c r="CA72" s="73"/>
      <c r="CB72" s="75" t="str">
        <f>IF($J$25="Español","Placaje Defensivo",(IF($J$25="Deutsch","Profi",(IF($J$25="Français","Parade","Shadowing")))))</f>
        <v>Shadowing</v>
      </c>
      <c r="CC72" s="12" t="s">
        <v>224</v>
      </c>
      <c r="CD72" s="2"/>
      <c r="CE72" s="7"/>
      <c r="CF72" s="12"/>
      <c r="CG72" s="66" t="str">
        <f t="shared" si="122"/>
        <v>Pro</v>
      </c>
      <c r="CH72" s="66" t="str">
        <f t="shared" si="123"/>
        <v>Pro</v>
      </c>
      <c r="CI72" s="68" t="str">
        <f t="shared" si="124"/>
        <v>Pro</v>
      </c>
      <c r="CJ72" s="68" t="str">
        <f t="shared" si="125"/>
        <v>Pro</v>
      </c>
      <c r="CK72" s="68" t="str">
        <f t="shared" si="126"/>
        <v>Pro</v>
      </c>
      <c r="CL72" s="68" t="str">
        <f t="shared" si="127"/>
        <v>Pro</v>
      </c>
      <c r="CM72" s="68" t="str">
        <f t="shared" si="128"/>
        <v>Pro</v>
      </c>
      <c r="CN72" s="68" t="str">
        <f t="shared" si="129"/>
        <v>Pro</v>
      </c>
      <c r="CO72" s="68" t="str">
        <f t="shared" si="130"/>
        <v>Pro</v>
      </c>
      <c r="CP72" s="68" t="str">
        <f t="shared" si="131"/>
        <v>Pro</v>
      </c>
      <c r="CQ72" s="68" t="str">
        <f t="shared" si="132"/>
        <v>Pro</v>
      </c>
      <c r="CR72" s="68" t="str">
        <f t="shared" si="133"/>
        <v>Pro</v>
      </c>
      <c r="CS72" s="68" t="str">
        <f t="shared" si="134"/>
        <v>Pro</v>
      </c>
      <c r="CT72" s="68" t="str">
        <f t="shared" si="135"/>
        <v>Pro</v>
      </c>
      <c r="CU72" s="68" t="str">
        <f t="shared" si="136"/>
        <v>Pro</v>
      </c>
      <c r="CV72" s="68" t="str">
        <f t="shared" si="137"/>
        <v>Pro</v>
      </c>
      <c r="CW72" s="2"/>
      <c r="CX72" s="2"/>
      <c r="CY72" s="2"/>
      <c r="CZ72" s="12"/>
      <c r="DA72" s="2"/>
      <c r="DB72" s="2"/>
    </row>
    <row r="73" spans="1:106" ht="15" hidden="1" customHeight="1">
      <c r="A73" s="12"/>
      <c r="B73" s="46"/>
      <c r="C73" s="46"/>
      <c r="D73" s="46"/>
      <c r="E73" s="46"/>
      <c r="F73" s="46"/>
      <c r="G73" s="12"/>
      <c r="H73" s="12"/>
      <c r="I73" s="12"/>
      <c r="J73" s="12"/>
      <c r="K73" s="12">
        <f t="shared" si="138"/>
        <v>5</v>
      </c>
      <c r="L73" s="12">
        <f t="shared" si="139"/>
        <v>1</v>
      </c>
      <c r="M73" s="12">
        <f t="shared" ref="M73:N73" si="173">IF(S73=0,0,(IF(S73&gt;6,6,(IF(S73&lt;1,1,S73)))))</f>
        <v>3</v>
      </c>
      <c r="N73" s="12">
        <f t="shared" si="173"/>
        <v>5</v>
      </c>
      <c r="O73" s="12">
        <f t="shared" si="141"/>
        <v>6</v>
      </c>
      <c r="P73" s="12"/>
      <c r="Q73" s="11">
        <f>IFERROR((VLOOKUP($BO$1&amp;C14,Teams!D:M,2,0)+AK73+AC73),0)</f>
        <v>5</v>
      </c>
      <c r="R73" s="11">
        <f>IFERROR((VLOOKUP($BO$1&amp;C14,Teams!D:M,3,0)+AL73+AD73),0)</f>
        <v>1</v>
      </c>
      <c r="S73" s="11">
        <f>IFERROR((VLOOKUP($BO$1&amp;C14,Teams!D:M,4,0)+AM73-AE73),0)</f>
        <v>3</v>
      </c>
      <c r="T73" s="11">
        <f>IFERROR((VLOOKUP($BO$1&amp;C14,Teams!D:M,5,0)+AN73-AF73),0)</f>
        <v>5</v>
      </c>
      <c r="U73" s="11">
        <f>IFERROR((VLOOKUP($BO$1&amp;C14,Teams!D:M,6,0)+AO73+AG73),0)</f>
        <v>6</v>
      </c>
      <c r="V73" s="12"/>
      <c r="W73" s="12">
        <f>IFERROR((VLOOKUP($BO$1&amp;C14,Teams!D:M,2,0)),0)</f>
        <v>5</v>
      </c>
      <c r="X73" s="12">
        <f>IFERROR((VLOOKUP($BO$1&amp;C14,Teams!D:M,3,0)),0)</f>
        <v>1</v>
      </c>
      <c r="Y73" s="12">
        <f>IFERROR((VLOOKUP($BO$1&amp;C14,Teams!D:M,4,0)),0)</f>
        <v>3</v>
      </c>
      <c r="Z73" s="12">
        <f>IFERROR((VLOOKUP($BO$1&amp;C14,Teams!D:M,5,0)),0)</f>
        <v>5</v>
      </c>
      <c r="AA73" s="12">
        <f>IFERROR((VLOOKUP($BO$1&amp;C14,Teams!D:M,6,0)),0)</f>
        <v>6</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5" t="s">
        <v>316</v>
      </c>
      <c r="BB73" s="12"/>
      <c r="BC73" s="12"/>
      <c r="BD73" s="72"/>
      <c r="BE73" s="72"/>
      <c r="BF73" s="2"/>
      <c r="BG73" s="2"/>
      <c r="BH73" s="71"/>
      <c r="BI73" s="72"/>
      <c r="BJ73" s="2"/>
      <c r="BK73" s="12"/>
      <c r="BL73" s="2"/>
      <c r="BM73" s="12"/>
      <c r="BN73" s="12"/>
      <c r="BO73" s="12"/>
      <c r="BP73" s="2"/>
      <c r="BQ73" s="2"/>
      <c r="BR73" s="2"/>
      <c r="BS73" s="75" t="str">
        <f>IF($J$25="Español","Placaje Defensivo",(IF($J$25="Deutsch","Profi",(IF($J$25="Français","Parade","Shadowing")))))</f>
        <v>Shadowing</v>
      </c>
      <c r="BT73" s="12" t="s">
        <v>224</v>
      </c>
      <c r="BU73" s="75" t="str">
        <f>IF($J$25="Español","Placaje Defensivo",(IF($J$25="Deutsch","Profi",(IF($J$25="Français","Parade","Shadowing")))))</f>
        <v>Shadowing</v>
      </c>
      <c r="BV73" s="12" t="s">
        <v>224</v>
      </c>
      <c r="BW73" s="75" t="str">
        <f>IF($J$25="Español","Placaje Defensivo",(IF($J$25="Deutsch","Profi",(IF($J$25="Français","Parade","Shadowing")))))</f>
        <v>Shadowing</v>
      </c>
      <c r="BX73" s="12" t="s">
        <v>224</v>
      </c>
      <c r="BY73" s="75" t="str">
        <f>IF($J$25="Español","Placaje Defensivo",(IF($J$25="Deutsch","Profi",(IF($J$25="Français","Parade","Shadowing")))))</f>
        <v>Shadowing</v>
      </c>
      <c r="BZ73" s="12" t="s">
        <v>224</v>
      </c>
      <c r="CA73" s="73"/>
      <c r="CB73" s="75" t="str">
        <f>IF($J$25="Español","Placar",(IF($J$25="Deutsch","Rasend",(IF($J$25="Français","Poursuite","Strip Ball")))))</f>
        <v>Strip Ball</v>
      </c>
      <c r="CC73" s="12" t="s">
        <v>224</v>
      </c>
      <c r="CD73" s="2"/>
      <c r="CE73" s="7"/>
      <c r="CF73" s="12"/>
      <c r="CG73" s="66" t="str">
        <f t="shared" si="122"/>
        <v>Shadowing</v>
      </c>
      <c r="CH73" s="66" t="str">
        <f t="shared" si="123"/>
        <v>Shadowing</v>
      </c>
      <c r="CI73" s="68" t="str">
        <f t="shared" si="124"/>
        <v>Shadowing</v>
      </c>
      <c r="CJ73" s="68" t="str">
        <f t="shared" si="125"/>
        <v>Shadowing</v>
      </c>
      <c r="CK73" s="68" t="str">
        <f t="shared" si="126"/>
        <v>Shadowing</v>
      </c>
      <c r="CL73" s="68" t="str">
        <f t="shared" si="127"/>
        <v>Shadowing</v>
      </c>
      <c r="CM73" s="68" t="str">
        <f t="shared" si="128"/>
        <v>Shadowing</v>
      </c>
      <c r="CN73" s="68" t="str">
        <f t="shared" si="129"/>
        <v>Shadowing</v>
      </c>
      <c r="CO73" s="68" t="str">
        <f t="shared" si="130"/>
        <v>Shadowing</v>
      </c>
      <c r="CP73" s="68" t="str">
        <f t="shared" si="131"/>
        <v>Shadowing</v>
      </c>
      <c r="CQ73" s="68" t="str">
        <f t="shared" si="132"/>
        <v>Shadowing</v>
      </c>
      <c r="CR73" s="68" t="str">
        <f t="shared" si="133"/>
        <v>Shadowing</v>
      </c>
      <c r="CS73" s="68" t="str">
        <f t="shared" si="134"/>
        <v>Shadowing</v>
      </c>
      <c r="CT73" s="68" t="str">
        <f t="shared" si="135"/>
        <v>Shadowing</v>
      </c>
      <c r="CU73" s="68" t="str">
        <f t="shared" si="136"/>
        <v>Shadowing</v>
      </c>
      <c r="CV73" s="68" t="str">
        <f t="shared" si="137"/>
        <v>Shadowing</v>
      </c>
      <c r="CW73" s="2"/>
      <c r="CX73" s="2"/>
      <c r="CY73" s="2"/>
      <c r="CZ73" s="12"/>
      <c r="DA73" s="2"/>
      <c r="DB73" s="2"/>
    </row>
    <row r="74" spans="1:106" ht="15" hidden="1" customHeight="1">
      <c r="A74" s="12"/>
      <c r="B74" s="12"/>
      <c r="C74" s="12"/>
      <c r="D74" s="12"/>
      <c r="E74" s="12"/>
      <c r="F74" s="12"/>
      <c r="G74" s="12"/>
      <c r="H74" s="12"/>
      <c r="I74" s="12"/>
      <c r="J74" s="12"/>
      <c r="K74" s="12">
        <f t="shared" si="138"/>
        <v>5</v>
      </c>
      <c r="L74" s="12">
        <f t="shared" si="139"/>
        <v>1</v>
      </c>
      <c r="M74" s="12">
        <f t="shared" ref="M74:N74" si="175">IF(S74=0,0,(IF(S74&gt;6,6,(IF(S74&lt;1,1,S74)))))</f>
        <v>3</v>
      </c>
      <c r="N74" s="12">
        <f t="shared" si="175"/>
        <v>5</v>
      </c>
      <c r="O74" s="12">
        <f t="shared" si="141"/>
        <v>6</v>
      </c>
      <c r="P74" s="12"/>
      <c r="Q74" s="11">
        <f>IFERROR((VLOOKUP($BO$1&amp;C15,Teams!D:M,2,0)+AK74+AC74),0)</f>
        <v>5</v>
      </c>
      <c r="R74" s="11">
        <f>IFERROR((VLOOKUP($BO$1&amp;C15,Teams!D:M,3,0)+AL74+AD74),0)</f>
        <v>1</v>
      </c>
      <c r="S74" s="11">
        <f>IFERROR((VLOOKUP($BO$1&amp;C15,Teams!D:M,4,0)+AM74-AE74),0)</f>
        <v>3</v>
      </c>
      <c r="T74" s="11">
        <f>IFERROR((VLOOKUP($BO$1&amp;C15,Teams!D:M,5,0)+AN74-AF74),0)</f>
        <v>5</v>
      </c>
      <c r="U74" s="11">
        <f>IFERROR((VLOOKUP($BO$1&amp;C15,Teams!D:M,6,0)+AO74+AG74),0)</f>
        <v>6</v>
      </c>
      <c r="V74" s="12"/>
      <c r="W74" s="12">
        <f>IFERROR((VLOOKUP($BO$1&amp;C15,Teams!D:M,2,0)),0)</f>
        <v>5</v>
      </c>
      <c r="X74" s="12">
        <f>IFERROR((VLOOKUP($BO$1&amp;C15,Teams!D:M,3,0)),0)</f>
        <v>1</v>
      </c>
      <c r="Y74" s="12">
        <f>IFERROR((VLOOKUP($BO$1&amp;C15,Teams!D:M,4,0)),0)</f>
        <v>3</v>
      </c>
      <c r="Z74" s="12">
        <f>IFERROR((VLOOKUP($BO$1&amp;C15,Teams!D:M,5,0)),0)</f>
        <v>5</v>
      </c>
      <c r="AA74" s="12">
        <f>IFERROR((VLOOKUP($BO$1&amp;C15,Teams!D:M,6,0)),0)</f>
        <v>6</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4</v>
      </c>
      <c r="BB74" s="12"/>
      <c r="BC74" s="12"/>
      <c r="BD74" s="72"/>
      <c r="BE74" s="72"/>
      <c r="BF74" s="2"/>
      <c r="BG74" s="2"/>
      <c r="BH74" s="71"/>
      <c r="BI74" s="72"/>
      <c r="BJ74" s="2"/>
      <c r="BK74" s="12"/>
      <c r="BL74" s="2"/>
      <c r="BM74" s="12"/>
      <c r="BN74" s="12"/>
      <c r="BO74" s="12"/>
      <c r="BP74" s="2"/>
      <c r="BQ74" s="2"/>
      <c r="BR74" s="2"/>
      <c r="BS74" s="75" t="str">
        <f>IF($J$25="Español","Placar",(IF($J$25="Deutsch","Rasend",(IF($J$25="Français","Poursuite","Strip Ball")))))</f>
        <v>Strip Ball</v>
      </c>
      <c r="BT74" s="12" t="s">
        <v>224</v>
      </c>
      <c r="BU74" s="75" t="str">
        <f>IF($J$25="Español","Placar",(IF($J$25="Deutsch","Rasend",(IF($J$25="Français","Poursuite","Strip Ball")))))</f>
        <v>Strip Ball</v>
      </c>
      <c r="BV74" s="12" t="s">
        <v>224</v>
      </c>
      <c r="BW74" s="75" t="str">
        <f>IF($J$25="Español","Placar",(IF($J$25="Deutsch","Rasend",(IF($J$25="Français","Poursuite","Strip Ball")))))</f>
        <v>Strip Ball</v>
      </c>
      <c r="BX74" s="12" t="s">
        <v>224</v>
      </c>
      <c r="BY74" s="75" t="str">
        <f>IF($J$25="Español","Placar",(IF($J$25="Deutsch","Rasend",(IF($J$25="Français","Poursuite","Strip Ball")))))</f>
        <v>Strip Ball</v>
      </c>
      <c r="BZ74" s="12" t="s">
        <v>224</v>
      </c>
      <c r="CA74" s="73"/>
      <c r="CB74" s="75" t="str">
        <f>IF($J$25="Español","Profesional",(IF($J$25="Deutsch","Tackle",(IF($J$25="Français","Prise sûre","Sure Hands")))))</f>
        <v>Sure Hands</v>
      </c>
      <c r="CC74" s="12" t="s">
        <v>224</v>
      </c>
      <c r="CD74" s="2"/>
      <c r="CE74" s="7"/>
      <c r="CF74" s="12"/>
      <c r="CG74" s="66" t="str">
        <f t="shared" si="122"/>
        <v>Strip Ball</v>
      </c>
      <c r="CH74" s="66" t="str">
        <f t="shared" si="123"/>
        <v>Strip Ball</v>
      </c>
      <c r="CI74" s="68" t="str">
        <f t="shared" si="124"/>
        <v>Strip Ball</v>
      </c>
      <c r="CJ74" s="68" t="str">
        <f t="shared" si="125"/>
        <v>Strip Ball</v>
      </c>
      <c r="CK74" s="68" t="str">
        <f t="shared" si="126"/>
        <v>Strip Ball</v>
      </c>
      <c r="CL74" s="68" t="str">
        <f t="shared" si="127"/>
        <v>Strip Ball</v>
      </c>
      <c r="CM74" s="68" t="str">
        <f t="shared" si="128"/>
        <v>Strip Ball</v>
      </c>
      <c r="CN74" s="68" t="str">
        <f t="shared" si="129"/>
        <v>Strip Ball</v>
      </c>
      <c r="CO74" s="68" t="str">
        <f t="shared" si="130"/>
        <v>Strip Ball</v>
      </c>
      <c r="CP74" s="68" t="str">
        <f t="shared" si="131"/>
        <v>Strip Ball</v>
      </c>
      <c r="CQ74" s="68" t="str">
        <f t="shared" si="132"/>
        <v>Strip Ball</v>
      </c>
      <c r="CR74" s="68" t="str">
        <f t="shared" si="133"/>
        <v>Strip Ball</v>
      </c>
      <c r="CS74" s="68" t="str">
        <f t="shared" si="134"/>
        <v>Strip Ball</v>
      </c>
      <c r="CT74" s="68" t="str">
        <f t="shared" si="135"/>
        <v>Strip Ball</v>
      </c>
      <c r="CU74" s="68" t="str">
        <f t="shared" si="136"/>
        <v>Strip Ball</v>
      </c>
      <c r="CV74" s="68" t="str">
        <f t="shared" si="137"/>
        <v>Strip Ball</v>
      </c>
      <c r="CW74" s="2"/>
      <c r="CX74" s="2"/>
      <c r="CY74" s="2"/>
      <c r="CZ74" s="12"/>
      <c r="DA74" s="2"/>
      <c r="DB74" s="2"/>
    </row>
    <row r="75" spans="1:106" ht="15" hidden="1" customHeight="1">
      <c r="A75" s="12"/>
      <c r="B75" s="12"/>
      <c r="C75" s="12"/>
      <c r="D75" s="12"/>
      <c r="E75" s="12"/>
      <c r="F75" s="12"/>
      <c r="G75" s="12"/>
      <c r="H75" s="12"/>
      <c r="I75" s="12"/>
      <c r="J75" s="12"/>
      <c r="K75" s="12">
        <f t="shared" si="138"/>
        <v>5</v>
      </c>
      <c r="L75" s="12">
        <f t="shared" si="139"/>
        <v>1</v>
      </c>
      <c r="M75" s="12">
        <f t="shared" ref="M75:N75" si="177">IF(S75=0,0,(IF(S75&gt;6,6,(IF(S75&lt;1,1,S75)))))</f>
        <v>3</v>
      </c>
      <c r="N75" s="12">
        <f t="shared" si="177"/>
        <v>5</v>
      </c>
      <c r="O75" s="12">
        <f t="shared" si="141"/>
        <v>6</v>
      </c>
      <c r="P75" s="12"/>
      <c r="Q75" s="11">
        <f>IFERROR((VLOOKUP($BO$1&amp;C16,Teams!D:M,2,0)+AK75+AC75),0)</f>
        <v>5</v>
      </c>
      <c r="R75" s="11">
        <f>IFERROR((VLOOKUP($BO$1&amp;C16,Teams!D:M,3,0)+AL75+AD75),0)</f>
        <v>1</v>
      </c>
      <c r="S75" s="11">
        <f>IFERROR((VLOOKUP($BO$1&amp;C16,Teams!D:M,4,0)+AM75-AE75),0)</f>
        <v>3</v>
      </c>
      <c r="T75" s="11">
        <f>IFERROR((VLOOKUP($BO$1&amp;C16,Teams!D:M,5,0)+AN75-AF75),0)</f>
        <v>5</v>
      </c>
      <c r="U75" s="11">
        <f>IFERROR((VLOOKUP($BO$1&amp;C16,Teams!D:M,6,0)+AO75+AG75),0)</f>
        <v>6</v>
      </c>
      <c r="V75" s="12"/>
      <c r="W75" s="12">
        <f>IFERROR((VLOOKUP($BO$1&amp;C16,Teams!D:M,2,0)),0)</f>
        <v>5</v>
      </c>
      <c r="X75" s="12">
        <f>IFERROR((VLOOKUP($BO$1&amp;C16,Teams!D:M,3,0)),0)</f>
        <v>1</v>
      </c>
      <c r="Y75" s="12">
        <f>IFERROR((VLOOKUP($BO$1&amp;C16,Teams!D:M,4,0)),0)</f>
        <v>3</v>
      </c>
      <c r="Z75" s="12">
        <f>IFERROR((VLOOKUP($BO$1&amp;C16,Teams!D:M,5,0)),0)</f>
        <v>5</v>
      </c>
      <c r="AA75" s="12">
        <f>IFERROR((VLOOKUP($BO$1&amp;C16,Teams!D:M,6,0)),0)</f>
        <v>6</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5" t="s">
        <v>317</v>
      </c>
      <c r="BB75" s="12"/>
      <c r="BC75" s="12"/>
      <c r="BD75" s="72"/>
      <c r="BE75" s="72"/>
      <c r="BF75" s="2"/>
      <c r="BG75" s="2"/>
      <c r="BH75" s="71"/>
      <c r="BI75" s="72"/>
      <c r="BJ75" s="2"/>
      <c r="BK75" s="12"/>
      <c r="BL75" s="2"/>
      <c r="BM75" s="12"/>
      <c r="BN75" s="12"/>
      <c r="BO75" s="12"/>
      <c r="BP75" s="2"/>
      <c r="BQ75" s="2"/>
      <c r="BR75" s="2"/>
      <c r="BS75" s="75" t="str">
        <f>IF($J$25="Español","Profesional",(IF($J$25="Deutsch","Tackle",(IF($J$25="Français","Prise sûre","Sure Hands")))))</f>
        <v>Sure Hands</v>
      </c>
      <c r="BT75" s="12" t="s">
        <v>224</v>
      </c>
      <c r="BU75" s="75" t="str">
        <f>IF($J$25="Español","Profesional",(IF($J$25="Deutsch","Tackle",(IF($J$25="Français","Prise sûre","Sure Hands")))))</f>
        <v>Sure Hands</v>
      </c>
      <c r="BV75" s="12" t="s">
        <v>224</v>
      </c>
      <c r="BW75" s="75" t="str">
        <f>IF($J$25="Español","Profesional",(IF($J$25="Deutsch","Tackle",(IF($J$25="Français","Prise sûre","Sure Hands")))))</f>
        <v>Sure Hands</v>
      </c>
      <c r="BX75" s="12" t="s">
        <v>224</v>
      </c>
      <c r="BY75" s="75" t="str">
        <f>IF($J$25="Español","Profesional",(IF($J$25="Deutsch","Tackle",(IF($J$25="Français","Prise sûre","Sure Hands")))))</f>
        <v>Sure Hands</v>
      </c>
      <c r="BZ75" s="12" t="s">
        <v>224</v>
      </c>
      <c r="CA75" s="73"/>
      <c r="CB75" s="75" t="str">
        <f>IF($J$25="Español","Robar Balón",(IF($J$25="Deutsch","Unerschrocken",(IF($J$25="Français","Pro","Tackle")))))</f>
        <v>Tackle</v>
      </c>
      <c r="CC75" s="12" t="s">
        <v>224</v>
      </c>
      <c r="CD75" s="2"/>
      <c r="CE75" s="7"/>
      <c r="CF75" s="12"/>
      <c r="CG75" s="66" t="str">
        <f t="shared" si="122"/>
        <v>Sure Hands</v>
      </c>
      <c r="CH75" s="66" t="str">
        <f t="shared" si="123"/>
        <v>Sure Hands</v>
      </c>
      <c r="CI75" s="68" t="str">
        <f t="shared" si="124"/>
        <v>Sure Hands</v>
      </c>
      <c r="CJ75" s="68" t="str">
        <f t="shared" si="125"/>
        <v>Sure Hands</v>
      </c>
      <c r="CK75" s="68" t="str">
        <f t="shared" si="126"/>
        <v>Sure Hands</v>
      </c>
      <c r="CL75" s="68" t="str">
        <f t="shared" si="127"/>
        <v>Sure Hands</v>
      </c>
      <c r="CM75" s="68" t="str">
        <f t="shared" si="128"/>
        <v>Sure Hands</v>
      </c>
      <c r="CN75" s="68" t="str">
        <f t="shared" si="129"/>
        <v>Sure Hands</v>
      </c>
      <c r="CO75" s="68" t="str">
        <f t="shared" si="130"/>
        <v>Sure Hands</v>
      </c>
      <c r="CP75" s="68" t="str">
        <f t="shared" si="131"/>
        <v>Sure Hands</v>
      </c>
      <c r="CQ75" s="68" t="str">
        <f t="shared" si="132"/>
        <v>Sure Hands</v>
      </c>
      <c r="CR75" s="68" t="str">
        <f t="shared" si="133"/>
        <v>Sure Hands</v>
      </c>
      <c r="CS75" s="68" t="str">
        <f t="shared" si="134"/>
        <v>Sure Hands</v>
      </c>
      <c r="CT75" s="68" t="str">
        <f t="shared" si="135"/>
        <v>Sure Hands</v>
      </c>
      <c r="CU75" s="68" t="str">
        <f t="shared" si="136"/>
        <v>Sure Hands</v>
      </c>
      <c r="CV75" s="68" t="str">
        <f t="shared" si="137"/>
        <v>Sure Hands</v>
      </c>
      <c r="CW75" s="2"/>
      <c r="CX75" s="2"/>
      <c r="CY75" s="2"/>
      <c r="CZ75" s="12"/>
      <c r="DA75" s="2"/>
      <c r="DB75" s="2"/>
    </row>
    <row r="76" spans="1:106" ht="15" hidden="1" customHeight="1">
      <c r="A76" s="12"/>
      <c r="B76" s="12"/>
      <c r="C76" s="12"/>
      <c r="D76" s="12"/>
      <c r="E76" s="12"/>
      <c r="F76" s="12"/>
      <c r="G76" s="12"/>
      <c r="H76" s="12"/>
      <c r="I76" s="12"/>
      <c r="J76" s="12"/>
      <c r="K76" s="12">
        <f t="shared" si="138"/>
        <v>5</v>
      </c>
      <c r="L76" s="12">
        <f t="shared" si="139"/>
        <v>1</v>
      </c>
      <c r="M76" s="12">
        <f t="shared" ref="M76:N76" si="179">IF(S76=0,0,(IF(S76&gt;6,6,(IF(S76&lt;1,1,S76)))))</f>
        <v>3</v>
      </c>
      <c r="N76" s="12">
        <f t="shared" si="179"/>
        <v>5</v>
      </c>
      <c r="O76" s="12">
        <f t="shared" si="141"/>
        <v>6</v>
      </c>
      <c r="P76" s="12"/>
      <c r="Q76" s="11">
        <f>IFERROR((VLOOKUP($BO$1&amp;C17,Teams!D:M,2,0)+AK76+AC76),0)</f>
        <v>5</v>
      </c>
      <c r="R76" s="11">
        <f>IFERROR((VLOOKUP($BO$1&amp;C17,Teams!D:M,3,0)+AL76+AD76),0)</f>
        <v>1</v>
      </c>
      <c r="S76" s="11">
        <f>IFERROR((VLOOKUP($BO$1&amp;C17,Teams!D:M,4,0)+AM76-AE76),0)</f>
        <v>3</v>
      </c>
      <c r="T76" s="11">
        <f>IFERROR((VLOOKUP($BO$1&amp;C17,Teams!D:M,5,0)+AN76-AF76),0)</f>
        <v>5</v>
      </c>
      <c r="U76" s="11">
        <f>IFERROR((VLOOKUP($BO$1&amp;C17,Teams!D:M,6,0)+AO76+AG76),0)</f>
        <v>6</v>
      </c>
      <c r="V76" s="12"/>
      <c r="W76" s="12">
        <f>IFERROR((VLOOKUP($BO$1&amp;C17,Teams!D:M,2,0)),0)</f>
        <v>5</v>
      </c>
      <c r="X76" s="12">
        <f>IFERROR((VLOOKUP($BO$1&amp;C17,Teams!D:M,3,0)),0)</f>
        <v>1</v>
      </c>
      <c r="Y76" s="12">
        <f>IFERROR((VLOOKUP($BO$1&amp;C17,Teams!D:M,4,0)),0)</f>
        <v>3</v>
      </c>
      <c r="Z76" s="12">
        <f>IFERROR((VLOOKUP($BO$1&amp;C17,Teams!D:M,5,0)),0)</f>
        <v>5</v>
      </c>
      <c r="AA76" s="12">
        <f>IFERROR((VLOOKUP($BO$1&amp;C17,Teams!D:M,6,0)),0)</f>
        <v>6</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
      </c>
      <c r="BB76" s="12"/>
      <c r="BC76" s="12"/>
      <c r="BD76" s="72"/>
      <c r="BE76" s="72"/>
      <c r="BF76" s="2"/>
      <c r="BG76" s="2"/>
      <c r="BH76" s="71"/>
      <c r="BI76" s="72"/>
      <c r="BJ76" s="2"/>
      <c r="BK76" s="12"/>
      <c r="BL76" s="2"/>
      <c r="BM76" s="12"/>
      <c r="BN76" s="12"/>
      <c r="BO76" s="12"/>
      <c r="BP76" s="2"/>
      <c r="BQ76" s="2"/>
      <c r="BR76" s="2"/>
      <c r="BS76" s="75" t="str">
        <f>IF($J$25="Español","Robar Balón",(IF($J$25="Deutsch","Unerschrocken",(IF($J$25="Français","Pro","Tackle")))))</f>
        <v>Tackle</v>
      </c>
      <c r="BT76" s="12" t="s">
        <v>224</v>
      </c>
      <c r="BU76" s="75" t="str">
        <f>IF($J$25="Español","Robar Balón",(IF($J$25="Deutsch","Unerschrocken",(IF($J$25="Français","Pro","Tackle")))))</f>
        <v>Tackle</v>
      </c>
      <c r="BV76" s="12" t="s">
        <v>224</v>
      </c>
      <c r="BW76" s="75" t="str">
        <f>IF($J$25="Español","Robar Balón",(IF($J$25="Deutsch","Unerschrocken",(IF($J$25="Français","Pro","Tackle")))))</f>
        <v>Tackle</v>
      </c>
      <c r="BX76" s="12" t="s">
        <v>224</v>
      </c>
      <c r="BY76" s="75" t="str">
        <f>IF($J$25="Español","Robar Balón",(IF($J$25="Deutsch","Unerschrocken",(IF($J$25="Français","Pro","Tackle")))))</f>
        <v>Tackle</v>
      </c>
      <c r="BZ76" s="12" t="s">
        <v>224</v>
      </c>
      <c r="CA76" s="73"/>
      <c r="CB76" s="75" t="str">
        <f>IF($J$25="Español","Zafarse",(IF($J$25="Deutsch","Wrestling",(IF($J$25="Français","Tacle","Wrestle")))))</f>
        <v>Wrestle</v>
      </c>
      <c r="CC76" s="12" t="s">
        <v>224</v>
      </c>
      <c r="CD76" s="2"/>
      <c r="CE76" s="12"/>
      <c r="CF76" s="12"/>
      <c r="CG76" s="66" t="str">
        <f t="shared" si="122"/>
        <v>Tackle</v>
      </c>
      <c r="CH76" s="66" t="str">
        <f t="shared" si="123"/>
        <v>Tackle</v>
      </c>
      <c r="CI76" s="68" t="str">
        <f t="shared" si="124"/>
        <v>Tackle</v>
      </c>
      <c r="CJ76" s="68" t="str">
        <f t="shared" si="125"/>
        <v>Tackle</v>
      </c>
      <c r="CK76" s="68" t="str">
        <f t="shared" si="126"/>
        <v>Tackle</v>
      </c>
      <c r="CL76" s="68" t="str">
        <f t="shared" si="127"/>
        <v>Tackle</v>
      </c>
      <c r="CM76" s="68" t="str">
        <f t="shared" si="128"/>
        <v>Tackle</v>
      </c>
      <c r="CN76" s="68" t="str">
        <f t="shared" si="129"/>
        <v>Tackle</v>
      </c>
      <c r="CO76" s="68" t="str">
        <f t="shared" si="130"/>
        <v>Tackle</v>
      </c>
      <c r="CP76" s="68" t="str">
        <f t="shared" si="131"/>
        <v>Tackle</v>
      </c>
      <c r="CQ76" s="68" t="str">
        <f t="shared" si="132"/>
        <v>Tackle</v>
      </c>
      <c r="CR76" s="68" t="str">
        <f t="shared" si="133"/>
        <v>Tackle</v>
      </c>
      <c r="CS76" s="68" t="str">
        <f t="shared" si="134"/>
        <v>Tackle</v>
      </c>
      <c r="CT76" s="68" t="str">
        <f t="shared" si="135"/>
        <v>Tackle</v>
      </c>
      <c r="CU76" s="68" t="str">
        <f t="shared" si="136"/>
        <v>Tackle</v>
      </c>
      <c r="CV76" s="68" t="str">
        <f t="shared" si="137"/>
        <v>Tackle</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
      </c>
      <c r="BB77" s="12"/>
      <c r="BC77" s="12"/>
      <c r="BD77" s="12"/>
      <c r="BE77" s="72"/>
      <c r="BF77" s="2"/>
      <c r="BG77" s="2"/>
      <c r="BH77" s="71"/>
      <c r="BI77" s="72"/>
      <c r="BJ77" s="2"/>
      <c r="BK77" s="12"/>
      <c r="BL77" s="2"/>
      <c r="BM77" s="12"/>
      <c r="BN77" s="12"/>
      <c r="BO77" s="12"/>
      <c r="BP77" s="2"/>
      <c r="BQ77" s="2"/>
      <c r="BR77" s="2"/>
      <c r="BS77" s="75" t="str">
        <f>IF($J$25="Español","Zafarse",(IF($J$25="Deutsch","Wrestling",(IF($J$25="Français","Tacle","Wrestle")))))</f>
        <v>Wrestle</v>
      </c>
      <c r="BT77" s="12" t="s">
        <v>224</v>
      </c>
      <c r="BU77" s="75" t="str">
        <f>IF($J$25="Español","Zafarse",(IF($J$25="Deutsch","Wrestling",(IF($J$25="Français","Tacle","Wrestle")))))</f>
        <v>Wrestle</v>
      </c>
      <c r="BV77" s="12" t="s">
        <v>224</v>
      </c>
      <c r="BW77" s="75" t="str">
        <f>IF($J$25="Español","Zafarse",(IF($J$25="Deutsch","Wrestling",(IF($J$25="Français","Tacle","Wrestle")))))</f>
        <v>Wrestle</v>
      </c>
      <c r="BX77" s="12" t="s">
        <v>224</v>
      </c>
      <c r="BY77" s="75" t="str">
        <f>IF($J$25="Español","Zafarse",(IF($J$25="Deutsch","Wrestling",(IF($J$25="Français","Tacle","Wrestle")))))</f>
        <v>Wrestle</v>
      </c>
      <c r="BZ77" s="12" t="s">
        <v>224</v>
      </c>
      <c r="CA77" s="73"/>
      <c r="CB77" s="75" t="str">
        <f>IF($J$25="Español","Atrapar",(IF($J$25="Deutsch","Aufspringen",(IF($J$25="Français","Défenseur ","Catch")))))</f>
        <v>Catch</v>
      </c>
      <c r="CC77" s="12" t="s">
        <v>225</v>
      </c>
      <c r="CD77" s="2"/>
      <c r="CE77" s="7"/>
      <c r="CF77" s="12"/>
      <c r="CG77" s="66" t="str">
        <f t="shared" si="122"/>
        <v>Wrestle</v>
      </c>
      <c r="CH77" s="66" t="str">
        <f t="shared" si="123"/>
        <v>Wrestle</v>
      </c>
      <c r="CI77" s="68" t="str">
        <f t="shared" si="124"/>
        <v>Wrestle</v>
      </c>
      <c r="CJ77" s="68" t="str">
        <f t="shared" si="125"/>
        <v>Wrestle</v>
      </c>
      <c r="CK77" s="68" t="str">
        <f t="shared" si="126"/>
        <v>Wrestle</v>
      </c>
      <c r="CL77" s="68" t="str">
        <f t="shared" si="127"/>
        <v>Wrestle</v>
      </c>
      <c r="CM77" s="68" t="str">
        <f t="shared" si="128"/>
        <v>Wrestle</v>
      </c>
      <c r="CN77" s="68" t="str">
        <f t="shared" si="129"/>
        <v>Wrestle</v>
      </c>
      <c r="CO77" s="68" t="str">
        <f t="shared" si="130"/>
        <v>Wrestle</v>
      </c>
      <c r="CP77" s="68" t="str">
        <f t="shared" si="131"/>
        <v>Wrestle</v>
      </c>
      <c r="CQ77" s="68" t="str">
        <f t="shared" si="132"/>
        <v>Wrestle</v>
      </c>
      <c r="CR77" s="68" t="str">
        <f t="shared" si="133"/>
        <v>Wrestle</v>
      </c>
      <c r="CS77" s="68" t="str">
        <f t="shared" si="134"/>
        <v>Wrestle</v>
      </c>
      <c r="CT77" s="68" t="str">
        <f t="shared" si="135"/>
        <v>Wrestle</v>
      </c>
      <c r="CU77" s="68" t="str">
        <f t="shared" si="136"/>
        <v>Wrestle</v>
      </c>
      <c r="CV77" s="68" t="str">
        <f t="shared" si="137"/>
        <v>Wrestle</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58">
        <f>AG37+AG38+AG39+AG40+AG41+AG42+AG43+AG44+AG45+AG46+AG47+AG48+AG49+AG50+AG51+AG52</f>
        <v>90000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
      </c>
      <c r="BB78" s="12"/>
      <c r="BC78" s="12"/>
      <c r="BD78" s="12"/>
      <c r="BE78" s="72"/>
      <c r="BF78" s="2"/>
      <c r="BG78" s="2"/>
      <c r="BH78" s="2"/>
      <c r="BI78" s="2"/>
      <c r="BJ78" s="2"/>
      <c r="BK78" s="12"/>
      <c r="BL78" s="2"/>
      <c r="BM78" s="12"/>
      <c r="BN78" s="12"/>
      <c r="BO78" s="12"/>
      <c r="BP78" s="2"/>
      <c r="BQ78" s="2"/>
      <c r="BR78" s="2"/>
      <c r="BS78" s="75" t="str">
        <f>IF($J$25="Español","Atrapar",(IF($J$25="Deutsch","Aufspringen",(IF($J$25="Français","Défenseur ","Catch")))))</f>
        <v>Catch</v>
      </c>
      <c r="BT78" s="12" t="s">
        <v>225</v>
      </c>
      <c r="BU78" s="75" t="str">
        <f>IF($J$25="Español","Atrapar",(IF($J$25="Deutsch","Aufspringen",(IF($J$25="Français","Défenseur ","Catch")))))</f>
        <v>Catch</v>
      </c>
      <c r="BV78" s="12" t="s">
        <v>225</v>
      </c>
      <c r="BW78" s="75" t="str">
        <f>IF($J$25="Español","Atrapar",(IF($J$25="Deutsch","Aufspringen",(IF($J$25="Français","Défenseur ","Catch")))))</f>
        <v>Catch</v>
      </c>
      <c r="BX78" s="12" t="s">
        <v>225</v>
      </c>
      <c r="BY78" s="75" t="str">
        <f>IF($J$25="Español","Atrapar",(IF($J$25="Deutsch","Aufspringen",(IF($J$25="Français","Défenseur ","Catch")))))</f>
        <v>Catch</v>
      </c>
      <c r="BZ78" s="12" t="s">
        <v>225</v>
      </c>
      <c r="CA78" s="12"/>
      <c r="CB78" s="75" t="str">
        <f>IF($J$25="Español","Echarse a un Lado",(IF($J$25="Deutsch","Ausweichen",(IF($J$25="Français","Équilibre","Diving Catch")))))</f>
        <v>Diving Catch</v>
      </c>
      <c r="CC78" s="12" t="s">
        <v>225</v>
      </c>
      <c r="CD78" s="2"/>
      <c r="CE78" s="7"/>
      <c r="CF78" s="12"/>
      <c r="CG78" s="66" t="str">
        <f t="shared" si="122"/>
        <v>Catch</v>
      </c>
      <c r="CH78" s="66" t="str">
        <f t="shared" si="123"/>
        <v>Catch</v>
      </c>
      <c r="CI78" s="68" t="str">
        <f t="shared" si="124"/>
        <v>Catch</v>
      </c>
      <c r="CJ78" s="68" t="str">
        <f t="shared" si="125"/>
        <v>Catch</v>
      </c>
      <c r="CK78" s="68" t="str">
        <f t="shared" si="126"/>
        <v>Catch</v>
      </c>
      <c r="CL78" s="68" t="str">
        <f t="shared" si="127"/>
        <v>Catch</v>
      </c>
      <c r="CM78" s="68" t="str">
        <f t="shared" si="128"/>
        <v>Catch</v>
      </c>
      <c r="CN78" s="68" t="str">
        <f t="shared" si="129"/>
        <v>Catch</v>
      </c>
      <c r="CO78" s="68" t="str">
        <f t="shared" si="130"/>
        <v>Catch</v>
      </c>
      <c r="CP78" s="68" t="str">
        <f t="shared" si="131"/>
        <v>Catch</v>
      </c>
      <c r="CQ78" s="68" t="str">
        <f t="shared" si="132"/>
        <v>Catch</v>
      </c>
      <c r="CR78" s="68" t="str">
        <f t="shared" si="133"/>
        <v>Catch</v>
      </c>
      <c r="CS78" s="68" t="str">
        <f t="shared" si="134"/>
        <v>Catch</v>
      </c>
      <c r="CT78" s="68" t="str">
        <f t="shared" si="135"/>
        <v>Catch</v>
      </c>
      <c r="CU78" s="68" t="str">
        <f t="shared" si="136"/>
        <v>Catch</v>
      </c>
      <c r="CV78" s="68" t="str">
        <f t="shared" si="137"/>
        <v>Catch</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
      </c>
      <c r="BB79" s="12"/>
      <c r="BC79" s="12"/>
      <c r="BD79" s="12"/>
      <c r="BE79" s="72"/>
      <c r="BF79" s="2"/>
      <c r="BG79" s="2"/>
      <c r="BH79" s="2"/>
      <c r="BI79" s="2"/>
      <c r="BJ79" s="2"/>
      <c r="BK79" s="12"/>
      <c r="BL79" s="2"/>
      <c r="BM79" s="12"/>
      <c r="BN79" s="12"/>
      <c r="BO79" s="12"/>
      <c r="BP79" s="2"/>
      <c r="BQ79" s="2"/>
      <c r="BR79" s="2"/>
      <c r="BS79" s="75" t="str">
        <f>IF($J$25="Español","Echarse a un Lado",(IF($J$25="Deutsch","Ausweichen",(IF($J$25="Français","Équilibre","Diving Catch")))))</f>
        <v>Diving Catch</v>
      </c>
      <c r="BT79" s="12" t="s">
        <v>225</v>
      </c>
      <c r="BU79" s="75" t="str">
        <f>IF($J$25="Español","Echarse a un Lado",(IF($J$25="Deutsch","Ausweichen",(IF($J$25="Français","Équilibre","Diving Catch")))))</f>
        <v>Diving Catch</v>
      </c>
      <c r="BV79" s="12" t="s">
        <v>225</v>
      </c>
      <c r="BW79" s="75" t="str">
        <f>IF($J$25="Español","Echarse a un Lado",(IF($J$25="Deutsch","Ausweichen",(IF($J$25="Français","Équilibre","Diving Catch")))))</f>
        <v>Diving Catch</v>
      </c>
      <c r="BX79" s="12" t="s">
        <v>225</v>
      </c>
      <c r="BY79" s="75" t="str">
        <f>IF($J$25="Español","Echarse a un Lado",(IF($J$25="Deutsch","Ausweichen",(IF($J$25="Français","Équilibre","Diving Catch")))))</f>
        <v>Diving Catch</v>
      </c>
      <c r="BZ79" s="12" t="s">
        <v>225</v>
      </c>
      <c r="CA79" s="12"/>
      <c r="CB79" s="75" t="str">
        <f>IF($J$25="Español","En Pie de un Salto",(IF($J$25="Deutsch","Fangsicher",(IF($J$25="Français","Esquive","Diving Tackle")))))</f>
        <v>Diving Tackle</v>
      </c>
      <c r="CC79" s="12" t="s">
        <v>225</v>
      </c>
      <c r="CD79" s="2"/>
      <c r="CE79" s="7"/>
      <c r="CF79" s="12"/>
      <c r="CG79" s="66" t="str">
        <f t="shared" si="122"/>
        <v>Diving Catch</v>
      </c>
      <c r="CH79" s="66" t="str">
        <f t="shared" si="123"/>
        <v>Diving Catch</v>
      </c>
      <c r="CI79" s="68" t="str">
        <f t="shared" si="124"/>
        <v>Diving Catch</v>
      </c>
      <c r="CJ79" s="68" t="str">
        <f t="shared" si="125"/>
        <v>Diving Catch</v>
      </c>
      <c r="CK79" s="68" t="str">
        <f t="shared" si="126"/>
        <v>Diving Catch</v>
      </c>
      <c r="CL79" s="68" t="str">
        <f t="shared" si="127"/>
        <v>Diving Catch</v>
      </c>
      <c r="CM79" s="68" t="str">
        <f t="shared" si="128"/>
        <v>Diving Catch</v>
      </c>
      <c r="CN79" s="68" t="str">
        <f t="shared" si="129"/>
        <v>Diving Catch</v>
      </c>
      <c r="CO79" s="68" t="str">
        <f t="shared" si="130"/>
        <v>Diving Catch</v>
      </c>
      <c r="CP79" s="68" t="str">
        <f t="shared" si="131"/>
        <v>Diving Catch</v>
      </c>
      <c r="CQ79" s="68" t="str">
        <f t="shared" si="132"/>
        <v>Diving Catch</v>
      </c>
      <c r="CR79" s="68" t="str">
        <f t="shared" si="133"/>
        <v>Diving Catch</v>
      </c>
      <c r="CS79" s="68" t="str">
        <f t="shared" si="134"/>
        <v>Diving Catch</v>
      </c>
      <c r="CT79" s="68" t="str">
        <f t="shared" si="135"/>
        <v>Diving Catch</v>
      </c>
      <c r="CU79" s="68" t="str">
        <f t="shared" si="136"/>
        <v>Diving Catch</v>
      </c>
      <c r="CV79" s="68" t="str">
        <f t="shared" si="137"/>
        <v>Diving Catch</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
      </c>
      <c r="BB80" s="12"/>
      <c r="BC80" s="12"/>
      <c r="BD80" s="12"/>
      <c r="BE80" s="12"/>
      <c r="BF80" s="2"/>
      <c r="BG80" s="2"/>
      <c r="BH80" s="2"/>
      <c r="BI80" s="2"/>
      <c r="BJ80" s="2"/>
      <c r="BK80" s="12"/>
      <c r="BL80" s="2"/>
      <c r="BM80" s="12"/>
      <c r="BN80" s="12"/>
      <c r="BO80" s="12"/>
      <c r="BP80" s="2"/>
      <c r="BQ80" s="2"/>
      <c r="BR80" s="2"/>
      <c r="BS80" s="75" t="str">
        <f>IF($J$25="Español","En Pie de un Salto",(IF($J$25="Deutsch","Fangsicher",(IF($J$25="Français","Esquive","Diving Tackle")))))</f>
        <v>Diving Tackle</v>
      </c>
      <c r="BT80" s="12" t="s">
        <v>225</v>
      </c>
      <c r="BU80" s="75" t="str">
        <f>IF($J$25="Español","En Pie de un Salto",(IF($J$25="Deutsch","Fangsicher",(IF($J$25="Français","Esquive","Diving Tackle")))))</f>
        <v>Diving Tackle</v>
      </c>
      <c r="BV80" s="12" t="s">
        <v>225</v>
      </c>
      <c r="BW80" s="75" t="str">
        <f>IF($J$25="Español","En Pie de un Salto",(IF($J$25="Deutsch","Fangsicher",(IF($J$25="Français","Esquive","Diving Tackle")))))</f>
        <v>Diving Tackle</v>
      </c>
      <c r="BX80" s="12" t="s">
        <v>225</v>
      </c>
      <c r="BY80" s="75" t="str">
        <f>IF($J$25="Español","En Pie de un Salto",(IF($J$25="Deutsch","Fangsicher",(IF($J$25="Français","Esquive","Diving Tackle")))))</f>
        <v>Diving Tackle</v>
      </c>
      <c r="BZ80" s="12" t="s">
        <v>225</v>
      </c>
      <c r="CA80" s="12"/>
      <c r="CB80" s="75" t="str">
        <f>IF($J$25="Español","Esprintar",(IF($J$25="Deutsch","Fliegender Tackle",(IF($J$25="Français","Glissade contrôlée","Dodge")))))</f>
        <v>Dodge</v>
      </c>
      <c r="CC80" s="12" t="s">
        <v>225</v>
      </c>
      <c r="CD80" s="2"/>
      <c r="CE80" s="7"/>
      <c r="CF80" s="12"/>
      <c r="CG80" s="66" t="str">
        <f t="shared" si="122"/>
        <v>Diving Tackle</v>
      </c>
      <c r="CH80" s="66" t="str">
        <f t="shared" si="123"/>
        <v>Diving Tackle</v>
      </c>
      <c r="CI80" s="68" t="str">
        <f t="shared" si="124"/>
        <v>Diving Tackle</v>
      </c>
      <c r="CJ80" s="68" t="str">
        <f t="shared" si="125"/>
        <v>Diving Tackle</v>
      </c>
      <c r="CK80" s="68" t="str">
        <f t="shared" si="126"/>
        <v>Diving Tackle</v>
      </c>
      <c r="CL80" s="68" t="str">
        <f t="shared" si="127"/>
        <v>Diving Tackle</v>
      </c>
      <c r="CM80" s="68" t="str">
        <f t="shared" si="128"/>
        <v>Diving Tackle</v>
      </c>
      <c r="CN80" s="68" t="str">
        <f t="shared" si="129"/>
        <v>Diving Tackle</v>
      </c>
      <c r="CO80" s="68" t="str">
        <f t="shared" si="130"/>
        <v>Diving Tackle</v>
      </c>
      <c r="CP80" s="68" t="str">
        <f t="shared" si="131"/>
        <v>Diving Tackle</v>
      </c>
      <c r="CQ80" s="68" t="str">
        <f t="shared" si="132"/>
        <v>Diving Tackle</v>
      </c>
      <c r="CR80" s="68" t="str">
        <f t="shared" si="133"/>
        <v>Diving Tackle</v>
      </c>
      <c r="CS80" s="68" t="str">
        <f t="shared" si="134"/>
        <v>Diving Tackle</v>
      </c>
      <c r="CT80" s="68" t="str">
        <f t="shared" si="135"/>
        <v>Diving Tackle</v>
      </c>
      <c r="CU80" s="68" t="str">
        <f t="shared" si="136"/>
        <v>Diving Tackle</v>
      </c>
      <c r="CV80" s="68" t="str">
        <f t="shared" si="137"/>
        <v>Diving Tackle</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
      </c>
      <c r="BB81" s="12"/>
      <c r="BC81" s="12"/>
      <c r="BD81" s="12"/>
      <c r="BE81" s="12"/>
      <c r="BF81" s="2"/>
      <c r="BG81" s="2"/>
      <c r="BH81" s="2"/>
      <c r="BI81" s="2"/>
      <c r="BJ81" s="2"/>
      <c r="BK81" s="12"/>
      <c r="BL81" s="2"/>
      <c r="BM81" s="12"/>
      <c r="BN81" s="12"/>
      <c r="BO81" s="12"/>
      <c r="BP81" s="2"/>
      <c r="BQ81" s="2"/>
      <c r="BR81" s="2"/>
      <c r="BS81" s="75" t="str">
        <f>IF($J$25="Español","Esprintar",(IF($J$25="Deutsch","Fliegender Tackle",(IF($J$25="Français","Glissade contrôlée","Dodge")))))</f>
        <v>Dodge</v>
      </c>
      <c r="BT81" s="12" t="s">
        <v>225</v>
      </c>
      <c r="BU81" s="75" t="str">
        <f>IF($J$25="Español","Esprintar",(IF($J$25="Deutsch","Fliegender Tackle",(IF($J$25="Français","Glissade contrôlée","Dodge")))))</f>
        <v>Dodge</v>
      </c>
      <c r="BV81" s="12" t="s">
        <v>225</v>
      </c>
      <c r="BW81" s="75" t="str">
        <f>IF($J$25="Español","Esprintar",(IF($J$25="Deutsch","Fliegender Tackle",(IF($J$25="Français","Glissade contrôlée","Dodge")))))</f>
        <v>Dodge</v>
      </c>
      <c r="BX81" s="12" t="s">
        <v>225</v>
      </c>
      <c r="BY81" s="75" t="str">
        <f>IF($J$25="Español","Esprintar",(IF($J$25="Deutsch","Fliegender Tackle",(IF($J$25="Français","Glissade contrôlée","Dodge")))))</f>
        <v>Dodge</v>
      </c>
      <c r="BZ81" s="12" t="s">
        <v>225</v>
      </c>
      <c r="CA81" s="12"/>
      <c r="CB81" s="75" t="str">
        <f>IF($J$25="Español","Esquivar",(IF($J$25="Deutsch","Gewandt",(IF($J$25="Français","Libération contrôlée","Defensive")))))</f>
        <v>Defensive</v>
      </c>
      <c r="CC81" s="12" t="s">
        <v>225</v>
      </c>
      <c r="CD81" s="2"/>
      <c r="CE81" s="7"/>
      <c r="CF81" s="12"/>
      <c r="CG81" s="66" t="str">
        <f t="shared" si="122"/>
        <v>Dodge</v>
      </c>
      <c r="CH81" s="66" t="str">
        <f t="shared" si="123"/>
        <v>Dodge</v>
      </c>
      <c r="CI81" s="68" t="str">
        <f t="shared" si="124"/>
        <v>Dodge</v>
      </c>
      <c r="CJ81" s="68" t="str">
        <f t="shared" si="125"/>
        <v>Dodge</v>
      </c>
      <c r="CK81" s="68" t="str">
        <f t="shared" si="126"/>
        <v>Dodge</v>
      </c>
      <c r="CL81" s="68" t="str">
        <f t="shared" si="127"/>
        <v>Dodge</v>
      </c>
      <c r="CM81" s="68" t="str">
        <f t="shared" si="128"/>
        <v>Dodge</v>
      </c>
      <c r="CN81" s="68" t="str">
        <f t="shared" si="129"/>
        <v>Dodge</v>
      </c>
      <c r="CO81" s="68" t="str">
        <f t="shared" si="130"/>
        <v>Dodge</v>
      </c>
      <c r="CP81" s="68" t="str">
        <f t="shared" si="131"/>
        <v>Dodge</v>
      </c>
      <c r="CQ81" s="68" t="str">
        <f t="shared" si="132"/>
        <v>Dodge</v>
      </c>
      <c r="CR81" s="68" t="str">
        <f t="shared" si="133"/>
        <v>Dodge</v>
      </c>
      <c r="CS81" s="68" t="str">
        <f t="shared" si="134"/>
        <v>Dodge</v>
      </c>
      <c r="CT81" s="68" t="str">
        <f t="shared" si="135"/>
        <v>Dodge</v>
      </c>
      <c r="CU81" s="68" t="str">
        <f t="shared" si="136"/>
        <v>Dodge</v>
      </c>
      <c r="CV81" s="68" t="str">
        <f t="shared" si="137"/>
        <v>Dodge</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5" t="str">
        <f>IF($J$25="Español","Esquivar",(IF($J$25="Deutsch","Gewandt",(IF($J$25="Français","Libération contrôlée","Defensive")))))</f>
        <v>Defensive</v>
      </c>
      <c r="BT82" s="12" t="s">
        <v>225</v>
      </c>
      <c r="BU82" s="75" t="str">
        <f>IF($J$25="Español","Esquivar",(IF($J$25="Deutsch","Gewandt",(IF($J$25="Français","Libération contrôlée","Defensive")))))</f>
        <v>Defensive</v>
      </c>
      <c r="BV82" s="12" t="s">
        <v>225</v>
      </c>
      <c r="BW82" s="75" t="str">
        <f>IF($J$25="Español","Esquivar",(IF($J$25="Deutsch","Gewandt",(IF($J$25="Français","Libération contrôlée","Defensive")))))</f>
        <v>Defensive</v>
      </c>
      <c r="BX82" s="12" t="s">
        <v>225</v>
      </c>
      <c r="BY82" s="75" t="str">
        <f>IF($J$25="Español","Esquivar",(IF($J$25="Deutsch","Gewandt",(IF($J$25="Français","Libération contrôlée","Defensive")))))</f>
        <v>Defensive</v>
      </c>
      <c r="BZ82" s="12" t="s">
        <v>225</v>
      </c>
      <c r="CA82" s="73"/>
      <c r="CB82" s="75" t="str">
        <f>IF($J$25="Español","Furtivo",(IF($J$25="Deutsch","Hechtsprung",(IF($J$25="Français","Réception ","Jump Up")))))</f>
        <v>Jump Up</v>
      </c>
      <c r="CC82" s="12" t="s">
        <v>225</v>
      </c>
      <c r="CD82" s="2"/>
      <c r="CE82" s="7"/>
      <c r="CF82" s="12"/>
      <c r="CG82" s="66" t="str">
        <f t="shared" si="122"/>
        <v>Defensive</v>
      </c>
      <c r="CH82" s="66" t="str">
        <f t="shared" si="123"/>
        <v>Defensive</v>
      </c>
      <c r="CI82" s="68" t="str">
        <f t="shared" si="124"/>
        <v>Defensive</v>
      </c>
      <c r="CJ82" s="68" t="str">
        <f t="shared" si="125"/>
        <v>Defensive</v>
      </c>
      <c r="CK82" s="68" t="str">
        <f t="shared" si="126"/>
        <v>Defensive</v>
      </c>
      <c r="CL82" s="68" t="str">
        <f t="shared" si="127"/>
        <v>Defensive</v>
      </c>
      <c r="CM82" s="68" t="str">
        <f t="shared" si="128"/>
        <v>Defensive</v>
      </c>
      <c r="CN82" s="68" t="str">
        <f t="shared" si="129"/>
        <v>Defensive</v>
      </c>
      <c r="CO82" s="68" t="str">
        <f t="shared" si="130"/>
        <v>Defensive</v>
      </c>
      <c r="CP82" s="68" t="str">
        <f t="shared" si="131"/>
        <v>Defensive</v>
      </c>
      <c r="CQ82" s="68" t="str">
        <f t="shared" si="132"/>
        <v>Defensive</v>
      </c>
      <c r="CR82" s="68" t="str">
        <f t="shared" si="133"/>
        <v>Defensive</v>
      </c>
      <c r="CS82" s="68" t="str">
        <f t="shared" si="134"/>
        <v>Defensive</v>
      </c>
      <c r="CT82" s="68" t="str">
        <f t="shared" si="135"/>
        <v>Defensive</v>
      </c>
      <c r="CU82" s="68" t="str">
        <f t="shared" si="136"/>
        <v>Defensive</v>
      </c>
      <c r="CV82" s="68" t="str">
        <f t="shared" si="137"/>
        <v>Defensive</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5" t="str">
        <f>IF($J$25="Español","Furtivo",(IF($J$25="Deutsch","Hechtsprung",(IF($J$25="Français","Réception ","Jump Up")))))</f>
        <v>Jump Up</v>
      </c>
      <c r="BT83" s="12" t="s">
        <v>225</v>
      </c>
      <c r="BU83" s="75" t="str">
        <f>IF($J$25="Español","Furtivo",(IF($J$25="Deutsch","Hechtsprung",(IF($J$25="Français","Réception ","Jump Up")))))</f>
        <v>Jump Up</v>
      </c>
      <c r="BV83" s="12" t="s">
        <v>225</v>
      </c>
      <c r="BW83" s="75" t="str">
        <f>IF($J$25="Español","Furtivo",(IF($J$25="Deutsch","Hechtsprung",(IF($J$25="Français","Réception ","Jump Up")))))</f>
        <v>Jump Up</v>
      </c>
      <c r="BX83" s="12" t="s">
        <v>225</v>
      </c>
      <c r="BY83" s="75" t="str">
        <f>IF($J$25="Español","Furtivo",(IF($J$25="Deutsch","Hechtsprung",(IF($J$25="Français","Réception ","Jump Up")))))</f>
        <v>Jump Up</v>
      </c>
      <c r="BZ83" s="12" t="s">
        <v>225</v>
      </c>
      <c r="CA83" s="73"/>
      <c r="CB83" s="75" t="str">
        <f>IF($J$25="Español","Pies Firmes",(IF($J$25="Deutsch","Heimtückisch",(IF($J$25="Français","Réception plongeante ","Leap")))))</f>
        <v>Leap</v>
      </c>
      <c r="CC83" s="12" t="s">
        <v>225</v>
      </c>
      <c r="CD83" s="2"/>
      <c r="CE83" s="7"/>
      <c r="CF83" s="12"/>
      <c r="CG83" s="66" t="str">
        <f t="shared" si="122"/>
        <v>Jump Up</v>
      </c>
      <c r="CH83" s="66" t="str">
        <f t="shared" si="123"/>
        <v>Jump Up</v>
      </c>
      <c r="CI83" s="68" t="str">
        <f t="shared" si="124"/>
        <v>Jump Up</v>
      </c>
      <c r="CJ83" s="68" t="str">
        <f t="shared" si="125"/>
        <v>Jump Up</v>
      </c>
      <c r="CK83" s="68" t="str">
        <f t="shared" si="126"/>
        <v>Jump Up</v>
      </c>
      <c r="CL83" s="68" t="str">
        <f t="shared" si="127"/>
        <v>Jump Up</v>
      </c>
      <c r="CM83" s="68" t="str">
        <f t="shared" si="128"/>
        <v>Jump Up</v>
      </c>
      <c r="CN83" s="68" t="str">
        <f t="shared" si="129"/>
        <v>Jump Up</v>
      </c>
      <c r="CO83" s="68" t="str">
        <f t="shared" si="130"/>
        <v>Jump Up</v>
      </c>
      <c r="CP83" s="68" t="str">
        <f t="shared" si="131"/>
        <v>Jump Up</v>
      </c>
      <c r="CQ83" s="68" t="str">
        <f t="shared" si="132"/>
        <v>Jump Up</v>
      </c>
      <c r="CR83" s="68" t="str">
        <f t="shared" si="133"/>
        <v>Jump Up</v>
      </c>
      <c r="CS83" s="68" t="str">
        <f t="shared" si="134"/>
        <v>Jump Up</v>
      </c>
      <c r="CT83" s="68" t="str">
        <f t="shared" si="135"/>
        <v>Jump Up</v>
      </c>
      <c r="CU83" s="68" t="str">
        <f t="shared" si="136"/>
        <v>Jump Up</v>
      </c>
      <c r="CV83" s="68" t="str">
        <f t="shared" si="137"/>
        <v>Jump Up</v>
      </c>
      <c r="CW83" s="2"/>
      <c r="CX83" s="2"/>
      <c r="CY83" s="2"/>
      <c r="CZ83" s="12"/>
      <c r="DA83" s="2"/>
      <c r="DB83" s="2"/>
    </row>
    <row r="84" spans="1:106" ht="15" hidden="1" customHeight="1">
      <c r="A84" s="12"/>
      <c r="B84" s="302"/>
      <c r="C84" s="277"/>
      <c r="D84" s="277"/>
      <c r="E84" s="277"/>
      <c r="F84" s="277"/>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5" t="str">
        <f>IF($J$25="Español","Pies Firmes",(IF($J$25="Deutsch","Heimtückisch",(IF($J$25="Français","Réception plongeante ","Leap")))))</f>
        <v>Leap</v>
      </c>
      <c r="BT84" s="12" t="s">
        <v>225</v>
      </c>
      <c r="BU84" s="75" t="str">
        <f>IF($J$25="Español","Pies Firmes",(IF($J$25="Deutsch","Heimtückisch",(IF($J$25="Français","Réception plongeante ","Leap")))))</f>
        <v>Leap</v>
      </c>
      <c r="BV84" s="12" t="s">
        <v>225</v>
      </c>
      <c r="BW84" s="75" t="str">
        <f>IF($J$25="Español","Pies Firmes",(IF($J$25="Deutsch","Heimtückisch",(IF($J$25="Français","Réception plongeante ","Leap")))))</f>
        <v>Leap</v>
      </c>
      <c r="BX84" s="12" t="s">
        <v>225</v>
      </c>
      <c r="BY84" s="75" t="str">
        <f>IF($J$25="Español","Pies Firmes",(IF($J$25="Deutsch","Heimtückisch",(IF($J$25="Français","Réception plongeante ","Leap")))))</f>
        <v>Leap</v>
      </c>
      <c r="BZ84" s="12" t="s">
        <v>225</v>
      </c>
      <c r="CA84" s="73"/>
      <c r="CB84" s="75" t="str">
        <f>IF($J$25="Español","Placaje Heroico",(IF($J$25="Deutsch","Sichere Hände",(IF($J$25="Français","Rétablissement","Safe Pair of Hands")))))</f>
        <v>Safe Pair of Hands</v>
      </c>
      <c r="CC84" s="12" t="s">
        <v>225</v>
      </c>
      <c r="CD84" s="2"/>
      <c r="CE84" s="7" t="s">
        <v>291</v>
      </c>
      <c r="CF84" s="12"/>
      <c r="CG84" s="66" t="str">
        <f t="shared" si="122"/>
        <v>Leap</v>
      </c>
      <c r="CH84" s="66" t="str">
        <f t="shared" si="123"/>
        <v>Leap</v>
      </c>
      <c r="CI84" s="68" t="str">
        <f t="shared" si="124"/>
        <v>Leap</v>
      </c>
      <c r="CJ84" s="68" t="str">
        <f t="shared" si="125"/>
        <v>Leap</v>
      </c>
      <c r="CK84" s="68" t="str">
        <f t="shared" si="126"/>
        <v>Leap</v>
      </c>
      <c r="CL84" s="68" t="str">
        <f t="shared" si="127"/>
        <v>Leap</v>
      </c>
      <c r="CM84" s="68" t="str">
        <f t="shared" si="128"/>
        <v>Leap</v>
      </c>
      <c r="CN84" s="68" t="str">
        <f t="shared" si="129"/>
        <v>Leap</v>
      </c>
      <c r="CO84" s="68" t="str">
        <f t="shared" si="130"/>
        <v>Leap</v>
      </c>
      <c r="CP84" s="68" t="str">
        <f t="shared" si="131"/>
        <v>Leap</v>
      </c>
      <c r="CQ84" s="68" t="str">
        <f t="shared" si="132"/>
        <v>Leap</v>
      </c>
      <c r="CR84" s="68" t="str">
        <f t="shared" si="133"/>
        <v>Leap</v>
      </c>
      <c r="CS84" s="68" t="str">
        <f t="shared" si="134"/>
        <v>Leap</v>
      </c>
      <c r="CT84" s="68" t="str">
        <f t="shared" si="135"/>
        <v>Leap</v>
      </c>
      <c r="CU84" s="68" t="str">
        <f t="shared" si="136"/>
        <v>Leap</v>
      </c>
      <c r="CV84" s="68" t="str">
        <f t="shared" si="137"/>
        <v>Leap</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5" t="str">
        <f>IF($J$25="Español","Placaje Heroico",(IF($J$25="Deutsch","Sichere Hände",(IF($J$25="Français","Rétablissement","Safe Pair of Hands")))))</f>
        <v>Safe Pair of Hands</v>
      </c>
      <c r="BT85" s="12" t="s">
        <v>225</v>
      </c>
      <c r="BU85" s="75" t="str">
        <f>IF($J$25="Español","Placaje Heroico",(IF($J$25="Deutsch","Sichere Hände",(IF($J$25="Français","Rétablissement","Safe Pair of Hands")))))</f>
        <v>Safe Pair of Hands</v>
      </c>
      <c r="BV85" s="12" t="s">
        <v>225</v>
      </c>
      <c r="BW85" s="75" t="str">
        <f>IF($J$25="Español","Placaje Heroico",(IF($J$25="Deutsch","Sichere Hände",(IF($J$25="Français","Rétablissement","Safe Pair of Hands")))))</f>
        <v>Safe Pair of Hands</v>
      </c>
      <c r="BX85" s="12" t="s">
        <v>225</v>
      </c>
      <c r="BY85" s="75" t="str">
        <f>IF($J$25="Español","Placaje Heroico",(IF($J$25="Deutsch","Sichere Hände",(IF($J$25="Français","Rétablissement","Safe Pair of Hands")))))</f>
        <v>Safe Pair of Hands</v>
      </c>
      <c r="BZ85" s="12" t="s">
        <v>225</v>
      </c>
      <c r="CA85" s="73"/>
      <c r="CB85" s="75" t="str">
        <f>IF($J$25="Español","Proteger el Cuero",(IF($J$25="Deutsch","Springen",(IF($J$25="Français","Saut","Sidestep")))))</f>
        <v>Sidestep</v>
      </c>
      <c r="CC85" s="12" t="s">
        <v>225</v>
      </c>
      <c r="CD85" s="2"/>
      <c r="CE85" s="7"/>
      <c r="CF85" s="12"/>
      <c r="CG85" s="66" t="str">
        <f t="shared" si="122"/>
        <v>Safe Pair of Hands</v>
      </c>
      <c r="CH85" s="66" t="str">
        <f t="shared" si="123"/>
        <v>Safe Pair of Hands</v>
      </c>
      <c r="CI85" s="68" t="str">
        <f t="shared" si="124"/>
        <v>Safe Pair of Hands</v>
      </c>
      <c r="CJ85" s="68" t="str">
        <f t="shared" si="125"/>
        <v>Safe Pair of Hands</v>
      </c>
      <c r="CK85" s="68" t="str">
        <f t="shared" si="126"/>
        <v>Safe Pair of Hands</v>
      </c>
      <c r="CL85" s="68" t="str">
        <f t="shared" si="127"/>
        <v>Safe Pair of Hands</v>
      </c>
      <c r="CM85" s="68" t="str">
        <f t="shared" si="128"/>
        <v>Safe Pair of Hands</v>
      </c>
      <c r="CN85" s="68" t="str">
        <f t="shared" si="129"/>
        <v>Safe Pair of Hands</v>
      </c>
      <c r="CO85" s="68" t="str">
        <f t="shared" si="130"/>
        <v>Safe Pair of Hands</v>
      </c>
      <c r="CP85" s="68" t="str">
        <f t="shared" si="131"/>
        <v>Safe Pair of Hands</v>
      </c>
      <c r="CQ85" s="68" t="str">
        <f t="shared" si="132"/>
        <v>Safe Pair of Hands</v>
      </c>
      <c r="CR85" s="68" t="str">
        <f t="shared" si="133"/>
        <v>Safe Pair of Hands</v>
      </c>
      <c r="CS85" s="68" t="str">
        <f t="shared" si="134"/>
        <v>Safe Pair of Hands</v>
      </c>
      <c r="CT85" s="68" t="str">
        <f t="shared" si="135"/>
        <v>Safe Pair of Hands</v>
      </c>
      <c r="CU85" s="68" t="str">
        <f t="shared" si="136"/>
        <v>Safe Pair of Hands</v>
      </c>
      <c r="CV85" s="68" t="str">
        <f t="shared" si="137"/>
        <v>Safe Pair of Hands</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5" t="str">
        <f>IF($J$25="Español","Proteger el Cuero",(IF($J$25="Deutsch","Springen",(IF($J$25="Français","Saut","Sidestep")))))</f>
        <v>Sidestep</v>
      </c>
      <c r="BT86" s="12" t="s">
        <v>225</v>
      </c>
      <c r="BU86" s="75" t="str">
        <f>IF($J$25="Español","Proteger el Cuero",(IF($J$25="Deutsch","Springen",(IF($J$25="Français","Saut","Sidestep")))))</f>
        <v>Sidestep</v>
      </c>
      <c r="BV86" s="12" t="s">
        <v>225</v>
      </c>
      <c r="BW86" s="75" t="str">
        <f>IF($J$25="Español","Proteger el Cuero",(IF($J$25="Deutsch","Springen",(IF($J$25="Français","Saut","Sidestep")))))</f>
        <v>Sidestep</v>
      </c>
      <c r="BX86" s="12" t="s">
        <v>225</v>
      </c>
      <c r="BY86" s="75" t="str">
        <f>IF($J$25="Español","Proteger el Cuero",(IF($J$25="Deutsch","Springen",(IF($J$25="Français","Saut","Sidestep")))))</f>
        <v>Sidestep</v>
      </c>
      <c r="BZ86" s="12" t="s">
        <v>225</v>
      </c>
      <c r="CA86" s="12"/>
      <c r="CB86" s="75" t="str">
        <f>IF($J$25="Español","Recepción Heroica",(IF($J$25="Deutsch","Sprinten",(IF($J$25="Français","Sprint","Sneaky Git")))))</f>
        <v>Sneaky Git</v>
      </c>
      <c r="CC86" s="12" t="s">
        <v>225</v>
      </c>
      <c r="CD86" s="2"/>
      <c r="CE86" s="7"/>
      <c r="CF86" s="12"/>
      <c r="CG86" s="66" t="str">
        <f t="shared" si="122"/>
        <v>Sidestep</v>
      </c>
      <c r="CH86" s="66" t="str">
        <f t="shared" si="123"/>
        <v>Sidestep</v>
      </c>
      <c r="CI86" s="68" t="str">
        <f t="shared" si="124"/>
        <v>Sidestep</v>
      </c>
      <c r="CJ86" s="68" t="str">
        <f t="shared" si="125"/>
        <v>Sidestep</v>
      </c>
      <c r="CK86" s="68" t="str">
        <f t="shared" si="126"/>
        <v>Sidestep</v>
      </c>
      <c r="CL86" s="68" t="str">
        <f t="shared" si="127"/>
        <v>Sidestep</v>
      </c>
      <c r="CM86" s="68" t="str">
        <f t="shared" si="128"/>
        <v>Sidestep</v>
      </c>
      <c r="CN86" s="68" t="str">
        <f t="shared" si="129"/>
        <v>Sidestep</v>
      </c>
      <c r="CO86" s="68" t="str">
        <f t="shared" si="130"/>
        <v>Sidestep</v>
      </c>
      <c r="CP86" s="68" t="str">
        <f t="shared" si="131"/>
        <v>Sidestep</v>
      </c>
      <c r="CQ86" s="68" t="str">
        <f t="shared" si="132"/>
        <v>Sidestep</v>
      </c>
      <c r="CR86" s="68" t="str">
        <f t="shared" si="133"/>
        <v>Sidestep</v>
      </c>
      <c r="CS86" s="68" t="str">
        <f t="shared" si="134"/>
        <v>Sidestep</v>
      </c>
      <c r="CT86" s="68" t="str">
        <f t="shared" si="135"/>
        <v>Sidestep</v>
      </c>
      <c r="CU86" s="68" t="str">
        <f t="shared" si="136"/>
        <v>Sidestep</v>
      </c>
      <c r="CV86" s="68" t="str">
        <f t="shared" si="137"/>
        <v>Sidestep</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5" t="str">
        <f>IF($J$25="Español","Recepción Heroica",(IF($J$25="Deutsch","Sprinten",(IF($J$25="Français","Sprint","Sneaky Git")))))</f>
        <v>Sneaky Git</v>
      </c>
      <c r="BT87" s="12" t="s">
        <v>225</v>
      </c>
      <c r="BU87" s="75" t="str">
        <f>IF($J$25="Español","Recepción Heroica",(IF($J$25="Deutsch","Sprinten",(IF($J$25="Français","Sprint","Sneaky Git")))))</f>
        <v>Sneaky Git</v>
      </c>
      <c r="BV87" s="12" t="s">
        <v>225</v>
      </c>
      <c r="BW87" s="75" t="str">
        <f>IF($J$25="Español","Recepción Heroica",(IF($J$25="Deutsch","Sprinten",(IF($J$25="Français","Sprint","Sneaky Git")))))</f>
        <v>Sneaky Git</v>
      </c>
      <c r="BX87" s="12" t="s">
        <v>225</v>
      </c>
      <c r="BY87" s="75" t="str">
        <f>IF($J$25="Español","Recepción Heroica",(IF($J$25="Deutsch","Sprinten",(IF($J$25="Français","Sprint","Sneaky Git")))))</f>
        <v>Sneaky Git</v>
      </c>
      <c r="BZ87" s="12" t="s">
        <v>225</v>
      </c>
      <c r="CA87" s="12"/>
      <c r="CB87" s="75" t="str">
        <f>IF($J$25="Español","Romper Defensas",(IF($J$25="Deutsch","Sprintensicher",(IF($J$25="Français","Sournois","Sprint")))))</f>
        <v>Sprint</v>
      </c>
      <c r="CC87" s="12" t="s">
        <v>225</v>
      </c>
      <c r="CD87" s="2"/>
      <c r="CE87" s="7"/>
      <c r="CF87" s="12"/>
      <c r="CG87" s="66" t="str">
        <f t="shared" si="122"/>
        <v>Sneaky Git</v>
      </c>
      <c r="CH87" s="66" t="str">
        <f t="shared" si="123"/>
        <v>Sneaky Git</v>
      </c>
      <c r="CI87" s="68" t="str">
        <f t="shared" si="124"/>
        <v>Sneaky Git</v>
      </c>
      <c r="CJ87" s="68" t="str">
        <f t="shared" si="125"/>
        <v>Sneaky Git</v>
      </c>
      <c r="CK87" s="68" t="str">
        <f t="shared" si="126"/>
        <v>Sneaky Git</v>
      </c>
      <c r="CL87" s="68" t="str">
        <f t="shared" si="127"/>
        <v>Sneaky Git</v>
      </c>
      <c r="CM87" s="68" t="str">
        <f t="shared" si="128"/>
        <v>Sneaky Git</v>
      </c>
      <c r="CN87" s="68" t="str">
        <f t="shared" si="129"/>
        <v>Sneaky Git</v>
      </c>
      <c r="CO87" s="68" t="str">
        <f t="shared" si="130"/>
        <v>Sneaky Git</v>
      </c>
      <c r="CP87" s="68" t="str">
        <f t="shared" si="131"/>
        <v>Sneaky Git</v>
      </c>
      <c r="CQ87" s="68" t="str">
        <f t="shared" si="132"/>
        <v>Sneaky Git</v>
      </c>
      <c r="CR87" s="68" t="str">
        <f t="shared" si="133"/>
        <v>Sneaky Git</v>
      </c>
      <c r="CS87" s="68" t="str">
        <f t="shared" si="134"/>
        <v>Sneaky Git</v>
      </c>
      <c r="CT87" s="68" t="str">
        <f t="shared" si="135"/>
        <v>Sneaky Git</v>
      </c>
      <c r="CU87" s="68" t="str">
        <f t="shared" si="136"/>
        <v>Sneaky Git</v>
      </c>
      <c r="CV87" s="68" t="str">
        <f t="shared" si="137"/>
        <v>Sneaky Git</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5" t="str">
        <f>IF($J$25="Español","Romper Defensas",(IF($J$25="Deutsch","Sprintensicher",(IF($J$25="Français","Sournois","Sprint")))))</f>
        <v>Sprint</v>
      </c>
      <c r="BT88" s="12" t="s">
        <v>225</v>
      </c>
      <c r="BU88" s="75" t="str">
        <f>IF($J$25="Español","Romper Defensas",(IF($J$25="Deutsch","Sprintensicher",(IF($J$25="Français","Sournois","Sprint")))))</f>
        <v>Sprint</v>
      </c>
      <c r="BV88" s="12" t="s">
        <v>225</v>
      </c>
      <c r="BW88" s="75" t="str">
        <f>IF($J$25="Español","Romper Defensas",(IF($J$25="Deutsch","Sprintensicher",(IF($J$25="Français","Sournois","Sprint")))))</f>
        <v>Sprint</v>
      </c>
      <c r="BX88" s="12" t="s">
        <v>225</v>
      </c>
      <c r="BY88" s="75" t="str">
        <f>IF($J$25="Español","Romper Defensas",(IF($J$25="Deutsch","Sprintensicher",(IF($J$25="Français","Sournois","Sprint")))))</f>
        <v>Sprint</v>
      </c>
      <c r="BZ88" s="12" t="s">
        <v>225</v>
      </c>
      <c r="CA88" s="12"/>
      <c r="CB88" s="75" t="str">
        <f>IF($J$25="Español","Saltar",(IF($J$25="Deutsch","Wehrhaft",(IF($J$25="Français","Tacle plongeant ","Sure Feet")))))</f>
        <v>Sure Feet</v>
      </c>
      <c r="CC88" s="12" t="s">
        <v>225</v>
      </c>
      <c r="CD88" s="2"/>
      <c r="CE88" s="7"/>
      <c r="CF88" s="12"/>
      <c r="CG88" s="66" t="str">
        <f t="shared" si="122"/>
        <v>Sprint</v>
      </c>
      <c r="CH88" s="66" t="str">
        <f t="shared" si="123"/>
        <v>Sprint</v>
      </c>
      <c r="CI88" s="68" t="str">
        <f t="shared" si="124"/>
        <v>Sprint</v>
      </c>
      <c r="CJ88" s="68" t="str">
        <f t="shared" si="125"/>
        <v>Sprint</v>
      </c>
      <c r="CK88" s="68" t="str">
        <f t="shared" si="126"/>
        <v>Sprint</v>
      </c>
      <c r="CL88" s="68" t="str">
        <f t="shared" si="127"/>
        <v>Sprint</v>
      </c>
      <c r="CM88" s="68" t="str">
        <f t="shared" si="128"/>
        <v>Sprint</v>
      </c>
      <c r="CN88" s="68" t="str">
        <f t="shared" si="129"/>
        <v>Sprint</v>
      </c>
      <c r="CO88" s="68" t="str">
        <f t="shared" si="130"/>
        <v>Sprint</v>
      </c>
      <c r="CP88" s="68" t="str">
        <f t="shared" si="131"/>
        <v>Sprint</v>
      </c>
      <c r="CQ88" s="68" t="str">
        <f t="shared" si="132"/>
        <v>Sprint</v>
      </c>
      <c r="CR88" s="68" t="str">
        <f t="shared" si="133"/>
        <v>Sprint</v>
      </c>
      <c r="CS88" s="68" t="str">
        <f t="shared" si="134"/>
        <v>Sprint</v>
      </c>
      <c r="CT88" s="68" t="str">
        <f t="shared" si="135"/>
        <v>Sprint</v>
      </c>
      <c r="CU88" s="68" t="str">
        <f t="shared" si="136"/>
        <v>Sprint</v>
      </c>
      <c r="CV88" s="68" t="str">
        <f t="shared" si="137"/>
        <v>Sprint</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5" t="str">
        <f>IF($J$25="Español","Saltar",(IF($J$25="Deutsch","Wehrhaft",(IF($J$25="Français","Tacle plongeant ","Sure Feet")))))</f>
        <v>Sure Feet</v>
      </c>
      <c r="BT89" s="12" t="s">
        <v>225</v>
      </c>
      <c r="BU89" s="75" t="str">
        <f>IF($J$25="Español","Saltar",(IF($J$25="Deutsch","Wehrhaft",(IF($J$25="Français","Tacle plongeant ","Sure Feet")))))</f>
        <v>Sure Feet</v>
      </c>
      <c r="BV89" s="12" t="s">
        <v>225</v>
      </c>
      <c r="BW89" s="75" t="str">
        <f>IF($J$25="Español","Saltar",(IF($J$25="Deutsch","Wehrhaft",(IF($J$25="Français","Tacle plongeant ","Sure Feet")))))</f>
        <v>Sure Feet</v>
      </c>
      <c r="BX89" s="12" t="s">
        <v>225</v>
      </c>
      <c r="BY89" s="75" t="str">
        <f>IF($J$25="Español","Saltar",(IF($J$25="Deutsch","Wehrhaft",(IF($J$25="Français","Tacle plongeant ","Sure Feet")))))</f>
        <v>Sure Feet</v>
      </c>
      <c r="BZ89" s="12" t="s">
        <v>225</v>
      </c>
      <c r="CA89" s="12"/>
      <c r="CB89" s="12" t="str">
        <f>IF($J$25="Español","Atento al Balón",(IF($J$25="Deutsch","Abspiel",(IF($J$25="Français","Canonnier","Accurate")))))</f>
        <v>Accurate</v>
      </c>
      <c r="CC89" s="12" t="s">
        <v>227</v>
      </c>
      <c r="CD89" s="2"/>
      <c r="CE89" s="7"/>
      <c r="CF89" s="12"/>
      <c r="CG89" s="66" t="str">
        <f t="shared" si="122"/>
        <v>Sure Feet</v>
      </c>
      <c r="CH89" s="66" t="str">
        <f t="shared" si="123"/>
        <v>Sure Feet</v>
      </c>
      <c r="CI89" s="68" t="str">
        <f t="shared" si="124"/>
        <v>Sure Feet</v>
      </c>
      <c r="CJ89" s="68" t="str">
        <f t="shared" si="125"/>
        <v>Sure Feet</v>
      </c>
      <c r="CK89" s="68" t="str">
        <f t="shared" si="126"/>
        <v>Sure Feet</v>
      </c>
      <c r="CL89" s="68" t="str">
        <f t="shared" si="127"/>
        <v>Sure Feet</v>
      </c>
      <c r="CM89" s="68" t="str">
        <f t="shared" si="128"/>
        <v>Sure Feet</v>
      </c>
      <c r="CN89" s="68" t="str">
        <f t="shared" si="129"/>
        <v>Sure Feet</v>
      </c>
      <c r="CO89" s="68" t="str">
        <f t="shared" si="130"/>
        <v>Sure Feet</v>
      </c>
      <c r="CP89" s="68" t="str">
        <f t="shared" si="131"/>
        <v>Sure Feet</v>
      </c>
      <c r="CQ89" s="68" t="str">
        <f t="shared" si="132"/>
        <v>Sure Feet</v>
      </c>
      <c r="CR89" s="68" t="str">
        <f t="shared" si="133"/>
        <v>Sure Feet</v>
      </c>
      <c r="CS89" s="68" t="str">
        <f t="shared" si="134"/>
        <v>Sure Feet</v>
      </c>
      <c r="CT89" s="68" t="str">
        <f t="shared" si="135"/>
        <v>Sure Feet</v>
      </c>
      <c r="CU89" s="68" t="str">
        <f t="shared" si="136"/>
        <v>Sure Feet</v>
      </c>
      <c r="CV89" s="68" t="str">
        <f t="shared" si="137"/>
        <v>Sure Feet</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227</v>
      </c>
      <c r="BU90" s="75" t="str">
        <f>IF($J$25="Español","Abrirse Paso",(IF($J$25="Deutsch","Armhebel",(IF($J$25="Français","Bagarre","Arm Bar")))))</f>
        <v>Arm Bar</v>
      </c>
      <c r="BV90" s="12" t="s">
        <v>226</v>
      </c>
      <c r="BW90" s="12" t="str">
        <f>IF($J$25="Español","Atento al Balón",(IF($J$25="Deutsch","Abspiel",(IF($J$25="Français","Canonnier","Accurate")))))</f>
        <v>Accurate</v>
      </c>
      <c r="BX90" s="12" t="s">
        <v>227</v>
      </c>
      <c r="BY90" s="75" t="str">
        <f>IF($J$25="Español","Abrirse Paso",(IF($J$25="Deutsch","Armhebel",(IF($J$25="Français","Bagarre","Arm Bar")))))</f>
        <v>Arm Bar</v>
      </c>
      <c r="BZ90" s="12" t="s">
        <v>226</v>
      </c>
      <c r="CA90" s="12"/>
      <c r="CB90" s="12" t="str">
        <f>IF($J$25="Español","Cañonero",(IF($J$25="Deutsch","Hau wech das Leder",(IF($J$25="Français","Chef","Cannoneer")))))</f>
        <v>Cannoneer</v>
      </c>
      <c r="CC90" s="12" t="s">
        <v>227</v>
      </c>
      <c r="CD90" s="2"/>
      <c r="CE90" s="7"/>
      <c r="CF90" s="12"/>
      <c r="CG90" s="66" t="str">
        <f t="shared" si="122"/>
        <v>Accurate</v>
      </c>
      <c r="CH90" s="66" t="str">
        <f t="shared" si="123"/>
        <v>Accurate</v>
      </c>
      <c r="CI90" s="68" t="str">
        <f t="shared" si="124"/>
        <v>Arm Bar</v>
      </c>
      <c r="CJ90" s="68" t="str">
        <f t="shared" si="125"/>
        <v>Arm Bar</v>
      </c>
      <c r="CK90" s="68" t="str">
        <f t="shared" si="126"/>
        <v>Arm Bar</v>
      </c>
      <c r="CL90" s="68" t="str">
        <f t="shared" si="127"/>
        <v>Arm Bar</v>
      </c>
      <c r="CM90" s="68" t="str">
        <f t="shared" si="128"/>
        <v>Arm Bar</v>
      </c>
      <c r="CN90" s="68" t="str">
        <f t="shared" si="129"/>
        <v>Arm Bar</v>
      </c>
      <c r="CO90" s="68" t="str">
        <f t="shared" si="130"/>
        <v>Accurate</v>
      </c>
      <c r="CP90" s="68" t="str">
        <f t="shared" si="131"/>
        <v>Accurate</v>
      </c>
      <c r="CQ90" s="68" t="str">
        <f t="shared" si="132"/>
        <v>Arm Bar</v>
      </c>
      <c r="CR90" s="68" t="str">
        <f t="shared" si="133"/>
        <v>Arm Bar</v>
      </c>
      <c r="CS90" s="68" t="str">
        <f t="shared" si="134"/>
        <v>Arm Bar</v>
      </c>
      <c r="CT90" s="68" t="str">
        <f t="shared" si="135"/>
        <v>Arm Bar</v>
      </c>
      <c r="CU90" s="68" t="str">
        <f t="shared" si="136"/>
        <v>Arm Bar</v>
      </c>
      <c r="CV90" s="68" t="str">
        <f t="shared" si="137"/>
        <v>Arm Bar</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227</v>
      </c>
      <c r="BU91" s="75" t="str">
        <f>IF($J$25="Español","Apartar",(IF($J$25="Deutsch","Greifer",(IF($J$25="Français","Blocage multiple","Brawler")))))</f>
        <v>Brawler</v>
      </c>
      <c r="BV91" s="12" t="s">
        <v>226</v>
      </c>
      <c r="BW91" s="12" t="str">
        <f>IF($J$25="Español","Cañonero",(IF($J$25="Deutsch","Hau wech das Leder",(IF($J$25="Français","Chef","Cannoneer")))))</f>
        <v>Cannoneer</v>
      </c>
      <c r="BX91" s="12" t="s">
        <v>227</v>
      </c>
      <c r="BY91" s="75" t="str">
        <f>IF($J$25="Español","Apartar",(IF($J$25="Deutsch","Greifer",(IF($J$25="Français","Blocage multiple","Brawler")))))</f>
        <v>Brawler</v>
      </c>
      <c r="BZ91" s="12" t="s">
        <v>226</v>
      </c>
      <c r="CA91" s="12"/>
      <c r="CB91" s="75" t="str">
        <f>IF($J$25="Español","Dejada",(IF($J$25="Deutsch","Im Laufen passen",(IF($J$25="Français","Délestage","Cloud Burster")))))</f>
        <v>Cloud Burster</v>
      </c>
      <c r="CC91" s="12" t="s">
        <v>227</v>
      </c>
      <c r="CD91" s="2"/>
      <c r="CE91" s="7"/>
      <c r="CF91" s="12"/>
      <c r="CG91" s="66" t="str">
        <f t="shared" si="122"/>
        <v>Cannoneer</v>
      </c>
      <c r="CH91" s="66" t="str">
        <f t="shared" si="123"/>
        <v>Cannoneer</v>
      </c>
      <c r="CI91" s="68" t="str">
        <f t="shared" si="124"/>
        <v>Brawler</v>
      </c>
      <c r="CJ91" s="68" t="str">
        <f t="shared" si="125"/>
        <v>Brawler</v>
      </c>
      <c r="CK91" s="68" t="str">
        <f t="shared" si="126"/>
        <v>Brawler</v>
      </c>
      <c r="CL91" s="68" t="str">
        <f t="shared" si="127"/>
        <v>Brawler</v>
      </c>
      <c r="CM91" s="68" t="str">
        <f t="shared" si="128"/>
        <v>Brawler</v>
      </c>
      <c r="CN91" s="68" t="str">
        <f t="shared" si="129"/>
        <v>Brawler</v>
      </c>
      <c r="CO91" s="68" t="str">
        <f t="shared" si="130"/>
        <v>Cannoneer</v>
      </c>
      <c r="CP91" s="68" t="str">
        <f t="shared" si="131"/>
        <v>Cannoneer</v>
      </c>
      <c r="CQ91" s="68" t="str">
        <f t="shared" si="132"/>
        <v>Brawler</v>
      </c>
      <c r="CR91" s="68" t="str">
        <f t="shared" si="133"/>
        <v>Brawler</v>
      </c>
      <c r="CS91" s="68" t="str">
        <f t="shared" si="134"/>
        <v>Brawler</v>
      </c>
      <c r="CT91" s="68" t="str">
        <f t="shared" si="135"/>
        <v>Brawler</v>
      </c>
      <c r="CU91" s="68" t="str">
        <f t="shared" si="136"/>
        <v>Brawler</v>
      </c>
      <c r="CV91" s="68" t="str">
        <f t="shared" si="137"/>
        <v>Brawler</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5" t="str">
        <f>IF($J$25="Español","Dejada",(IF($J$25="Deutsch","Im Laufen passen",(IF($J$25="Français","Délestage","Cloud Burster")))))</f>
        <v>Cloud Burster</v>
      </c>
      <c r="BT92" s="12" t="s">
        <v>227</v>
      </c>
      <c r="BU92" s="75" t="str">
        <f>IF($J$25="Español","Brazo Fuerte",(IF($J$25="Deutsch","Knochenbrecher (+1)",(IF($J$25="Français","Bras musclé","Break Tackle")))))</f>
        <v>Break Tackle</v>
      </c>
      <c r="BV92" s="12" t="s">
        <v>226</v>
      </c>
      <c r="BW92" s="75" t="str">
        <f>IF($J$25="Español","Dejada",(IF($J$25="Deutsch","Im Laufen passen",(IF($J$25="Français","Délestage","Cloud Burster")))))</f>
        <v>Cloud Burster</v>
      </c>
      <c r="BX92" s="12" t="s">
        <v>227</v>
      </c>
      <c r="BY92" s="75" t="str">
        <f>IF($J$25="Español","Brazo Fuerte",(IF($J$25="Deutsch","Knochenbrecher (+1)",(IF($J$25="Français","Bras musclé","Break Tackle")))))</f>
        <v>Break Tackle</v>
      </c>
      <c r="BZ92" s="12" t="s">
        <v>226</v>
      </c>
      <c r="CA92" s="12"/>
      <c r="CB92" s="75" t="str">
        <f>IF($J$25="Español","Líder",(IF($J$25="Deutsch","In die Wolken",(IF($J$25="Français","Fumblerooskie","Dump-Off")))))</f>
        <v>Dump-Off</v>
      </c>
      <c r="CC92" s="12" t="s">
        <v>227</v>
      </c>
      <c r="CD92" s="2"/>
      <c r="CE92" s="7"/>
      <c r="CF92" s="12"/>
      <c r="CG92" s="66" t="str">
        <f t="shared" si="122"/>
        <v>Cloud Burster</v>
      </c>
      <c r="CH92" s="66" t="str">
        <f t="shared" si="123"/>
        <v>Cloud Burster</v>
      </c>
      <c r="CI92" s="68" t="str">
        <f t="shared" si="124"/>
        <v>Break Tackle</v>
      </c>
      <c r="CJ92" s="68" t="str">
        <f t="shared" si="125"/>
        <v>Break Tackle</v>
      </c>
      <c r="CK92" s="68" t="str">
        <f t="shared" si="126"/>
        <v>Break Tackle</v>
      </c>
      <c r="CL92" s="68" t="str">
        <f t="shared" si="127"/>
        <v>Break Tackle</v>
      </c>
      <c r="CM92" s="68" t="str">
        <f t="shared" si="128"/>
        <v>Break Tackle</v>
      </c>
      <c r="CN92" s="68" t="str">
        <f t="shared" si="129"/>
        <v>Break Tackle</v>
      </c>
      <c r="CO92" s="68" t="str">
        <f t="shared" si="130"/>
        <v>Cloud Burster</v>
      </c>
      <c r="CP92" s="68" t="str">
        <f t="shared" si="131"/>
        <v>Cloud Burster</v>
      </c>
      <c r="CQ92" s="68" t="str">
        <f t="shared" si="132"/>
        <v>Break Tackle</v>
      </c>
      <c r="CR92" s="68" t="str">
        <f t="shared" si="133"/>
        <v>Break Tackle</v>
      </c>
      <c r="CS92" s="68" t="str">
        <f t="shared" si="134"/>
        <v>Break Tackle</v>
      </c>
      <c r="CT92" s="68" t="str">
        <f t="shared" si="135"/>
        <v>Break Tackle</v>
      </c>
      <c r="CU92" s="68" t="str">
        <f t="shared" si="136"/>
        <v>Break Tackle</v>
      </c>
      <c r="CV92" s="68" t="str">
        <f t="shared" si="137"/>
        <v>Break Tackle</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5" t="str">
        <f>IF($J$25="Español","Líder",(IF($J$25="Deutsch","In die Wolken",(IF($J$25="Français","Fumblerooskie","Dump-Off")))))</f>
        <v>Dump-Off</v>
      </c>
      <c r="BT93" s="12" t="s">
        <v>227</v>
      </c>
      <c r="BU93" s="75" t="str">
        <f>IF($J$25="Español","Cabeza Dura",(IF($J$25="Deutsch","Mehrfachblock",(IF($J$25="Français","Châtaigne (+1)","Grab")))))</f>
        <v>Grab</v>
      </c>
      <c r="BV93" s="12" t="s">
        <v>226</v>
      </c>
      <c r="BW93" s="75" t="str">
        <f>IF($J$25="Español","Líder",(IF($J$25="Deutsch","In die Wolken",(IF($J$25="Français","Fumblerooskie","Dump-Off")))))</f>
        <v>Dump-Off</v>
      </c>
      <c r="BX93" s="12" t="s">
        <v>227</v>
      </c>
      <c r="BY93" s="75" t="str">
        <f>IF($J$25="Español","Cabeza Dura",(IF($J$25="Deutsch","Mehrfachblock",(IF($J$25="Français","Châtaigne (+1)","Grab")))))</f>
        <v>Grab</v>
      </c>
      <c r="BZ93" s="12" t="s">
        <v>226</v>
      </c>
      <c r="CA93" s="73"/>
      <c r="CB93" s="75" t="str">
        <f>IF($J$25="Español","Nervios de Acero",(IF($J$25="Deutsch","Immer am Ball",(IF($J$25="Français","Nerfs d’acier","Fumblerooskie")))))</f>
        <v>Fumblerooskie</v>
      </c>
      <c r="CC93" s="12" t="s">
        <v>227</v>
      </c>
      <c r="CD93" s="2"/>
      <c r="CE93" s="7"/>
      <c r="CF93" s="12"/>
      <c r="CG93" s="66" t="str">
        <f t="shared" si="122"/>
        <v>Dump-Off</v>
      </c>
      <c r="CH93" s="66" t="str">
        <f t="shared" si="123"/>
        <v>Dump-Off</v>
      </c>
      <c r="CI93" s="68" t="str">
        <f t="shared" si="124"/>
        <v>Grab</v>
      </c>
      <c r="CJ93" s="68" t="str">
        <f t="shared" si="125"/>
        <v>Grab</v>
      </c>
      <c r="CK93" s="68" t="str">
        <f t="shared" si="126"/>
        <v>Grab</v>
      </c>
      <c r="CL93" s="68" t="str">
        <f t="shared" si="127"/>
        <v>Grab</v>
      </c>
      <c r="CM93" s="68" t="str">
        <f t="shared" si="128"/>
        <v>Grab</v>
      </c>
      <c r="CN93" s="68" t="str">
        <f t="shared" si="129"/>
        <v>Grab</v>
      </c>
      <c r="CO93" s="68" t="str">
        <f t="shared" si="130"/>
        <v>Dump-Off</v>
      </c>
      <c r="CP93" s="68" t="str">
        <f t="shared" si="131"/>
        <v>Dump-Off</v>
      </c>
      <c r="CQ93" s="68" t="str">
        <f t="shared" si="132"/>
        <v>Grab</v>
      </c>
      <c r="CR93" s="68" t="str">
        <f t="shared" si="133"/>
        <v>Grab</v>
      </c>
      <c r="CS93" s="68" t="str">
        <f t="shared" si="134"/>
        <v>Grab</v>
      </c>
      <c r="CT93" s="68" t="str">
        <f t="shared" si="135"/>
        <v>Grab</v>
      </c>
      <c r="CU93" s="68" t="str">
        <f t="shared" si="136"/>
        <v>Grab</v>
      </c>
      <c r="CV93" s="68" t="str">
        <f t="shared" si="137"/>
        <v>Grab</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5" t="str">
        <f>IF($J$25="Español","Nervios de Acero",(IF($J$25="Deutsch","Immer am Ball",(IF($J$25="Français","Nerfs d’acier","Fumblerooskie")))))</f>
        <v>Fumblerooskie</v>
      </c>
      <c r="BT94" s="12" t="s">
        <v>227</v>
      </c>
      <c r="BU94" s="75" t="str">
        <f>IF($J$25="Español","Crujir",(IF($J$25="Deutsch","Ramme",(IF($J$25="Français","Clé de bras","Guard")))))</f>
        <v>Guard</v>
      </c>
      <c r="BV94" s="12" t="s">
        <v>226</v>
      </c>
      <c r="BW94" s="75" t="str">
        <f>IF($J$25="Español","Nervios de Acero",(IF($J$25="Deutsch","Immer am Ball",(IF($J$25="Français","Nerfs d’acier","Fumblerooskie")))))</f>
        <v>Fumblerooskie</v>
      </c>
      <c r="BX94" s="12" t="s">
        <v>227</v>
      </c>
      <c r="BY94" s="75" t="str">
        <f>IF($J$25="Español","Crujir",(IF($J$25="Deutsch","Ramme",(IF($J$25="Français","Clé de bras","Guard")))))</f>
        <v>Guard</v>
      </c>
      <c r="BZ94" s="12" t="s">
        <v>226</v>
      </c>
      <c r="CA94" s="73"/>
      <c r="CB94" s="75" t="str">
        <f>IF($J$25="Español","Partenubes",(IF($J$25="Deutsch","Kanonier",(IF($J$25="Français","Passe","Hail Mary Pass")))))</f>
        <v>Hail Mary Pass</v>
      </c>
      <c r="CC94" s="12" t="s">
        <v>227</v>
      </c>
      <c r="CD94" s="2"/>
      <c r="CE94" s="7"/>
      <c r="CF94" s="12"/>
      <c r="CG94" s="66" t="str">
        <f t="shared" si="122"/>
        <v>Fumblerooskie</v>
      </c>
      <c r="CH94" s="66" t="str">
        <f t="shared" si="123"/>
        <v>Fumblerooskie</v>
      </c>
      <c r="CI94" s="68" t="str">
        <f t="shared" si="124"/>
        <v>Guard</v>
      </c>
      <c r="CJ94" s="68" t="str">
        <f t="shared" si="125"/>
        <v>Guard</v>
      </c>
      <c r="CK94" s="68" t="str">
        <f t="shared" si="126"/>
        <v>Guard</v>
      </c>
      <c r="CL94" s="68" t="str">
        <f t="shared" si="127"/>
        <v>Guard</v>
      </c>
      <c r="CM94" s="68" t="str">
        <f t="shared" si="128"/>
        <v>Guard</v>
      </c>
      <c r="CN94" s="68" t="str">
        <f t="shared" si="129"/>
        <v>Guard</v>
      </c>
      <c r="CO94" s="68" t="str">
        <f t="shared" si="130"/>
        <v>Fumblerooskie</v>
      </c>
      <c r="CP94" s="68" t="str">
        <f t="shared" si="131"/>
        <v>Fumblerooskie</v>
      </c>
      <c r="CQ94" s="68" t="str">
        <f t="shared" si="132"/>
        <v>Guard</v>
      </c>
      <c r="CR94" s="68" t="str">
        <f t="shared" si="133"/>
        <v>Guard</v>
      </c>
      <c r="CS94" s="68" t="str">
        <f t="shared" si="134"/>
        <v>Guard</v>
      </c>
      <c r="CT94" s="68" t="str">
        <f t="shared" si="135"/>
        <v>Guard</v>
      </c>
      <c r="CU94" s="68" t="str">
        <f t="shared" si="136"/>
        <v>Guard</v>
      </c>
      <c r="CV94" s="68" t="str">
        <f t="shared" si="137"/>
        <v>Guard</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5" t="str">
        <f>IF($J$25="Español","Partenubes",(IF($J$25="Deutsch","Kanonier",(IF($J$25="Français","Passe","Hail Mary Pass")))))</f>
        <v>Hail Mary Pass</v>
      </c>
      <c r="BT95" s="12" t="s">
        <v>227</v>
      </c>
      <c r="BU95" s="12" t="str">
        <f>IF($J$25="Español","Defensa",(IF($J$25="Deutsch","Raufbold",(IF($J$25="Français","Crâne épais","Juggernaut")))))</f>
        <v>Juggernaut</v>
      </c>
      <c r="BV95" s="12" t="s">
        <v>226</v>
      </c>
      <c r="BW95" s="75" t="str">
        <f>IF($J$25="Español","Partenubes",(IF($J$25="Deutsch","Kanonier",(IF($J$25="Français","Passe","Hail Mary Pass")))))</f>
        <v>Hail Mary Pass</v>
      </c>
      <c r="BX95" s="12" t="s">
        <v>227</v>
      </c>
      <c r="BY95" s="12" t="str">
        <f>IF($J$25="Español","Defensa",(IF($J$25="Deutsch","Raufbold",(IF($J$25="Français","Crâne épais","Juggernaut")))))</f>
        <v>Juggernaut</v>
      </c>
      <c r="BZ95" s="12" t="s">
        <v>226</v>
      </c>
      <c r="CA95" s="73"/>
      <c r="CB95" s="75" t="str">
        <f>IF($J$25="Español","Pasar",(IF($J$25="Deutsch","Nerven aus Stahl",(IF($J$25="Français","Passe assurée","Leader")))))</f>
        <v>Leader</v>
      </c>
      <c r="CC95" s="12" t="s">
        <v>227</v>
      </c>
      <c r="CD95" s="2"/>
      <c r="CE95" s="7"/>
      <c r="CF95" s="12"/>
      <c r="CG95" s="66" t="str">
        <f t="shared" si="122"/>
        <v>Hail Mary Pass</v>
      </c>
      <c r="CH95" s="66" t="str">
        <f t="shared" si="123"/>
        <v>Hail Mary Pass</v>
      </c>
      <c r="CI95" s="68" t="str">
        <f t="shared" si="124"/>
        <v>Juggernaut</v>
      </c>
      <c r="CJ95" s="68" t="str">
        <f t="shared" si="125"/>
        <v>Juggernaut</v>
      </c>
      <c r="CK95" s="68" t="str">
        <f t="shared" si="126"/>
        <v>Juggernaut</v>
      </c>
      <c r="CL95" s="68" t="str">
        <f t="shared" si="127"/>
        <v>Juggernaut</v>
      </c>
      <c r="CM95" s="68" t="str">
        <f t="shared" si="128"/>
        <v>Juggernaut</v>
      </c>
      <c r="CN95" s="68" t="str">
        <f t="shared" si="129"/>
        <v>Juggernaut</v>
      </c>
      <c r="CO95" s="68" t="str">
        <f t="shared" si="130"/>
        <v>Hail Mary Pass</v>
      </c>
      <c r="CP95" s="68" t="str">
        <f t="shared" si="131"/>
        <v>Hail Mary Pass</v>
      </c>
      <c r="CQ95" s="68" t="str">
        <f t="shared" si="132"/>
        <v>Juggernaut</v>
      </c>
      <c r="CR95" s="68" t="str">
        <f t="shared" si="133"/>
        <v>Juggernaut</v>
      </c>
      <c r="CS95" s="68" t="str">
        <f t="shared" si="134"/>
        <v>Juggernaut</v>
      </c>
      <c r="CT95" s="68" t="str">
        <f t="shared" si="135"/>
        <v>Juggernaut</v>
      </c>
      <c r="CU95" s="68" t="str">
        <f t="shared" si="136"/>
        <v>Juggernaut</v>
      </c>
      <c r="CV95" s="68" t="str">
        <f t="shared" si="137"/>
        <v>Juggernaut</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5" t="str">
        <f>IF($J$25="Español","Pasar",(IF($J$25="Deutsch","Nerven aus Stahl",(IF($J$25="Français","Passe assurée","Leader")))))</f>
        <v>Leader</v>
      </c>
      <c r="BT96" s="12" t="s">
        <v>227</v>
      </c>
      <c r="BU96" s="12" t="str">
        <f>IF($J$25="Español","Golpe Mortífero (+1)",(IF($J$25="Deutsch","Schweres Gerät",(IF($J$25="Français","Esquive en force","Mighty Blow (+1)")))))</f>
        <v>Mighty Blow (+1)</v>
      </c>
      <c r="BV96" s="12" t="s">
        <v>226</v>
      </c>
      <c r="BW96" s="75" t="str">
        <f>IF($J$25="Español","Pasar",(IF($J$25="Deutsch","Nerven aus Stahl",(IF($J$25="Français","Passe assurée","Leader")))))</f>
        <v>Leader</v>
      </c>
      <c r="BX96" s="12" t="s">
        <v>227</v>
      </c>
      <c r="BY96" s="12" t="str">
        <f>IF($J$25="Español","Golpe Mortífero (+1)",(IF($J$25="Deutsch","Schweres Gerät",(IF($J$25="Français","Esquive en force","Mighty Blow (+1)")))))</f>
        <v>Mighty Blow (+1)</v>
      </c>
      <c r="BZ96" s="12" t="s">
        <v>226</v>
      </c>
      <c r="CA96" s="73"/>
      <c r="CB96" s="75" t="str">
        <f>IF($J$25="Español","Pase a la Carrera",(IF($J$25="Deutsch","Scheinpatzer",(IF($J$25="Français","Passe dans la course","Nerves of Steel")))))</f>
        <v>Nerves of Steel</v>
      </c>
      <c r="CC96" s="12" t="s">
        <v>227</v>
      </c>
      <c r="CD96" s="2"/>
      <c r="CE96" s="7"/>
      <c r="CF96" s="12"/>
      <c r="CG96" s="66" t="str">
        <f t="shared" si="122"/>
        <v>Leader</v>
      </c>
      <c r="CH96" s="66" t="str">
        <f t="shared" si="123"/>
        <v>Leader</v>
      </c>
      <c r="CI96" s="68" t="str">
        <f t="shared" si="124"/>
        <v>Mighty Blow (+1)</v>
      </c>
      <c r="CJ96" s="68" t="str">
        <f t="shared" si="125"/>
        <v>Mighty Blow (+1)</v>
      </c>
      <c r="CK96" s="68" t="str">
        <f t="shared" si="126"/>
        <v>Mighty Blow (+1)</v>
      </c>
      <c r="CL96" s="68" t="str">
        <f t="shared" si="127"/>
        <v>Mighty Blow (+1)</v>
      </c>
      <c r="CM96" s="68" t="str">
        <f t="shared" si="128"/>
        <v>Mighty Blow (+1)</v>
      </c>
      <c r="CN96" s="68" t="str">
        <f t="shared" si="129"/>
        <v>Mighty Blow (+1)</v>
      </c>
      <c r="CO96" s="68" t="str">
        <f t="shared" si="130"/>
        <v>Leader</v>
      </c>
      <c r="CP96" s="68" t="str">
        <f t="shared" si="131"/>
        <v>Leader</v>
      </c>
      <c r="CQ96" s="68" t="str">
        <f t="shared" si="132"/>
        <v>Mighty Blow (+1)</v>
      </c>
      <c r="CR96" s="68" t="str">
        <f t="shared" si="133"/>
        <v>Mighty Blow (+1)</v>
      </c>
      <c r="CS96" s="68" t="str">
        <f t="shared" si="134"/>
        <v>Mighty Blow (+1)</v>
      </c>
      <c r="CT96" s="68" t="str">
        <f t="shared" si="135"/>
        <v>Mighty Blow (+1)</v>
      </c>
      <c r="CU96" s="68" t="str">
        <f t="shared" si="136"/>
        <v>Mighty Blow (+1)</v>
      </c>
      <c r="CV96" s="68" t="str">
        <f t="shared" si="137"/>
        <v>Mighty Blow (+1)</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69"/>
      <c r="AZ97" s="11">
        <v>290000</v>
      </c>
      <c r="BA97" s="69"/>
      <c r="BB97" s="69"/>
      <c r="BC97" s="12"/>
      <c r="BD97" s="69"/>
      <c r="BE97" s="12"/>
      <c r="BF97" s="2"/>
      <c r="BG97" s="2"/>
      <c r="BH97" s="25"/>
      <c r="BI97" s="25"/>
      <c r="BJ97" s="25"/>
      <c r="BK97" s="12"/>
      <c r="BL97" s="2"/>
      <c r="BM97" s="12"/>
      <c r="BN97" s="12"/>
      <c r="BO97" s="12"/>
      <c r="BP97" s="2"/>
      <c r="BQ97" s="2"/>
      <c r="BR97" s="2"/>
      <c r="BS97" s="75" t="str">
        <f>IF($J$25="Español","Pase a la Carrera",(IF($J$25="Deutsch","Scheinpatzer",(IF($J$25="Français","Passe dans la course","Nerves of Steel")))))</f>
        <v>Nerves of Steel</v>
      </c>
      <c r="BT97" s="12" t="s">
        <v>227</v>
      </c>
      <c r="BU97" s="12" t="str">
        <f>IF($J$25="Español","Imparable",(IF($J$25="Deutsch","Standfest",(IF($J$25="Français","Garde","Multiple Blocks")))))</f>
        <v>Multiple Blocks</v>
      </c>
      <c r="BV97" s="12" t="s">
        <v>226</v>
      </c>
      <c r="BW97" s="75" t="str">
        <f>IF($J$25="Español","Pase a la Carrera",(IF($J$25="Deutsch","Scheinpatzer",(IF($J$25="Français","Passe dans la course","Nerves of Steel")))))</f>
        <v>Nerves of Steel</v>
      </c>
      <c r="BX97" s="12" t="s">
        <v>227</v>
      </c>
      <c r="BY97" s="12" t="str">
        <f>IF($J$25="Español","Imparable",(IF($J$25="Deutsch","Standfest",(IF($J$25="Français","Garde","Multiple Blocks")))))</f>
        <v>Multiple Blocks</v>
      </c>
      <c r="BZ97" s="12" t="s">
        <v>226</v>
      </c>
      <c r="CA97" s="73"/>
      <c r="CB97" s="75" t="str">
        <f>IF($J$25="Español","Pase a lo Loco",(IF($J$25="Deutsch","Sicherer Pass",(IF($J$25="Français","Passe désespérée","On the Ball")))))</f>
        <v>On the Ball</v>
      </c>
      <c r="CC97" s="12" t="s">
        <v>227</v>
      </c>
      <c r="CD97" s="2"/>
      <c r="CE97" s="7"/>
      <c r="CF97" s="12"/>
      <c r="CG97" s="66" t="str">
        <f t="shared" si="122"/>
        <v>Nerves of Steel</v>
      </c>
      <c r="CH97" s="66" t="str">
        <f t="shared" si="123"/>
        <v>Nerves of Steel</v>
      </c>
      <c r="CI97" s="68" t="str">
        <f t="shared" si="124"/>
        <v>Multiple Blocks</v>
      </c>
      <c r="CJ97" s="68" t="str">
        <f t="shared" si="125"/>
        <v>Multiple Blocks</v>
      </c>
      <c r="CK97" s="68" t="str">
        <f t="shared" si="126"/>
        <v>Multiple Blocks</v>
      </c>
      <c r="CL97" s="68" t="str">
        <f t="shared" si="127"/>
        <v>Multiple Blocks</v>
      </c>
      <c r="CM97" s="68" t="str">
        <f t="shared" si="128"/>
        <v>Multiple Blocks</v>
      </c>
      <c r="CN97" s="68" t="str">
        <f t="shared" si="129"/>
        <v>Multiple Blocks</v>
      </c>
      <c r="CO97" s="68" t="str">
        <f t="shared" si="130"/>
        <v>Nerves of Steel</v>
      </c>
      <c r="CP97" s="68" t="str">
        <f t="shared" si="131"/>
        <v>Nerves of Steel</v>
      </c>
      <c r="CQ97" s="68" t="str">
        <f t="shared" si="132"/>
        <v>Multiple Blocks</v>
      </c>
      <c r="CR97" s="68" t="str">
        <f t="shared" si="133"/>
        <v>Multiple Blocks</v>
      </c>
      <c r="CS97" s="68" t="str">
        <f t="shared" si="134"/>
        <v>Multiple Blocks</v>
      </c>
      <c r="CT97" s="68" t="str">
        <f t="shared" si="135"/>
        <v>Multiple Blocks</v>
      </c>
      <c r="CU97" s="68" t="str">
        <f t="shared" si="136"/>
        <v>Multiple Blocks</v>
      </c>
      <c r="CV97" s="68" t="str">
        <f t="shared" si="137"/>
        <v>Multiple Blocks</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2"/>
      <c r="AZ98" s="11">
        <v>300000</v>
      </c>
      <c r="BA98" s="72"/>
      <c r="BB98" s="72"/>
      <c r="BC98" s="12"/>
      <c r="BD98" s="72"/>
      <c r="BE98" s="12"/>
      <c r="BF98" s="2"/>
      <c r="BG98" s="12"/>
      <c r="BH98" s="12"/>
      <c r="BI98" s="12"/>
      <c r="BJ98" s="12"/>
      <c r="BK98" s="12"/>
      <c r="BL98" s="2"/>
      <c r="BM98" s="12"/>
      <c r="BN98" s="12"/>
      <c r="BO98" s="12"/>
      <c r="BP98" s="2"/>
      <c r="BQ98" s="2"/>
      <c r="BR98" s="2"/>
      <c r="BS98" s="75" t="str">
        <f>IF($J$25="Español","Pase a lo Loco",(IF($J$25="Deutsch","Sicherer Pass",(IF($J$25="Français","Passe désespérée","On the Ball")))))</f>
        <v>On the Ball</v>
      </c>
      <c r="BT98" s="12" t="s">
        <v>227</v>
      </c>
      <c r="BU98" s="12" t="str">
        <f>IF($J$25="Español","Llave de Brazo",(IF($J$25="Deutsch","Starker Wurfarm",(IF($J$25="Français","Juggernaut","Pile Diver")))))</f>
        <v>Pile Diver</v>
      </c>
      <c r="BV98" s="12" t="s">
        <v>226</v>
      </c>
      <c r="BW98" s="75" t="str">
        <f>IF($J$25="Español","Pase a lo Loco",(IF($J$25="Deutsch","Sicherer Pass",(IF($J$25="Français","Passe désespérée","On the Ball")))))</f>
        <v>On the Ball</v>
      </c>
      <c r="BX98" s="12" t="s">
        <v>227</v>
      </c>
      <c r="BY98" s="12" t="str">
        <f>IF($J$25="Español","Llave de Brazo",(IF($J$25="Deutsch","Starker Wurfarm",(IF($J$25="Français","Juggernaut","Pile Diver")))))</f>
        <v>Pile Diver</v>
      </c>
      <c r="BZ98" s="12" t="s">
        <v>226</v>
      </c>
      <c r="CA98" s="12"/>
      <c r="CB98" s="75" t="str">
        <f>IF($J$25="Español","Pase Precipitado",(IF($J$25="Deutsch","Teamkapitän",(IF($J$25="Français","Perce-nuage","Pass")))))</f>
        <v>Pass</v>
      </c>
      <c r="CC98" s="12" t="s">
        <v>227</v>
      </c>
      <c r="CD98" s="2"/>
      <c r="CE98" s="7"/>
      <c r="CF98" s="12"/>
      <c r="CG98" s="66" t="str">
        <f t="shared" si="122"/>
        <v>On the Ball</v>
      </c>
      <c r="CH98" s="66" t="str">
        <f t="shared" si="123"/>
        <v>On the Ball</v>
      </c>
      <c r="CI98" s="68" t="str">
        <f t="shared" si="124"/>
        <v>Pile Diver</v>
      </c>
      <c r="CJ98" s="68" t="str">
        <f t="shared" si="125"/>
        <v>Pile Diver</v>
      </c>
      <c r="CK98" s="68" t="str">
        <f t="shared" si="126"/>
        <v>Pile Diver</v>
      </c>
      <c r="CL98" s="68" t="str">
        <f t="shared" si="127"/>
        <v>Pile Diver</v>
      </c>
      <c r="CM98" s="68" t="str">
        <f t="shared" si="128"/>
        <v>Pile Diver</v>
      </c>
      <c r="CN98" s="68" t="str">
        <f t="shared" si="129"/>
        <v>Pile Diver</v>
      </c>
      <c r="CO98" s="68" t="str">
        <f t="shared" si="130"/>
        <v>On the Ball</v>
      </c>
      <c r="CP98" s="68" t="str">
        <f t="shared" si="131"/>
        <v>On the Ball</v>
      </c>
      <c r="CQ98" s="68" t="str">
        <f t="shared" si="132"/>
        <v>Pile Diver</v>
      </c>
      <c r="CR98" s="68" t="str">
        <f t="shared" si="133"/>
        <v>Pile Diver</v>
      </c>
      <c r="CS98" s="68" t="str">
        <f t="shared" si="134"/>
        <v>Pile Diver</v>
      </c>
      <c r="CT98" s="68" t="str">
        <f t="shared" si="135"/>
        <v>Pile Diver</v>
      </c>
      <c r="CU98" s="68" t="str">
        <f t="shared" si="136"/>
        <v>Pile Diver</v>
      </c>
      <c r="CV98" s="68" t="str">
        <f t="shared" si="137"/>
        <v>Pile Diver</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2"/>
      <c r="AZ99" s="11">
        <v>310000</v>
      </c>
      <c r="BA99" s="72"/>
      <c r="BB99" s="72"/>
      <c r="BC99" s="12"/>
      <c r="BD99" s="72"/>
      <c r="BE99" s="12"/>
      <c r="BF99" s="2"/>
      <c r="BG99" s="12"/>
      <c r="BH99" s="2"/>
      <c r="BI99" s="25"/>
      <c r="BJ99" s="2"/>
      <c r="BK99" s="12"/>
      <c r="BL99" s="2"/>
      <c r="BM99" s="12"/>
      <c r="BN99" s="12"/>
      <c r="BO99" s="12"/>
      <c r="BP99" s="2"/>
      <c r="BQ99" s="2"/>
      <c r="BR99" s="2"/>
      <c r="BS99" s="75" t="str">
        <f>IF($J$25="Español","Pase Precipitado",(IF($J$25="Deutsch","Teamkapitän",(IF($J$25="Français","Perce-nuage","Pass")))))</f>
        <v>Pass</v>
      </c>
      <c r="BT99" s="12" t="s">
        <v>227</v>
      </c>
      <c r="BU99" s="12" t="str">
        <f>IF($J$25="Español","Luchador",(IF($J$25="Deutsch","Tackle durchbrechen",(IF($J$25="Français","Mateau-pilon","Stand Firm")))))</f>
        <v>Stand Firm</v>
      </c>
      <c r="BV99" s="12" t="s">
        <v>226</v>
      </c>
      <c r="BW99" s="75" t="str">
        <f>IF($J$25="Español","Pase Precipitado",(IF($J$25="Deutsch","Teamkapitän",(IF($J$25="Français","Perce-nuage","Pass")))))</f>
        <v>Pass</v>
      </c>
      <c r="BX99" s="12" t="s">
        <v>227</v>
      </c>
      <c r="BY99" s="12" t="str">
        <f>IF($J$25="Español","Luchador",(IF($J$25="Deutsch","Tackle durchbrechen",(IF($J$25="Français","Mateau-pilon","Stand Firm")))))</f>
        <v>Stand Firm</v>
      </c>
      <c r="BZ99" s="12" t="s">
        <v>226</v>
      </c>
      <c r="CA99" s="12"/>
      <c r="CB99" s="75" t="str">
        <f>IF($J$25="Español","Pase Seguro",(IF($J$25="Deutsch","Wurfsicher",(IF($J$25="Français","Précision","Running Pass")))))</f>
        <v>Running Pass</v>
      </c>
      <c r="CC99" s="12" t="s">
        <v>227</v>
      </c>
      <c r="CD99" s="2"/>
      <c r="CE99" s="7"/>
      <c r="CF99" s="12"/>
      <c r="CG99" s="66" t="str">
        <f t="shared" si="122"/>
        <v>Pass</v>
      </c>
      <c r="CH99" s="66" t="str">
        <f t="shared" si="123"/>
        <v>Pass</v>
      </c>
      <c r="CI99" s="68" t="str">
        <f t="shared" si="124"/>
        <v>Stand Firm</v>
      </c>
      <c r="CJ99" s="68" t="str">
        <f t="shared" si="125"/>
        <v>Stand Firm</v>
      </c>
      <c r="CK99" s="68" t="str">
        <f t="shared" si="126"/>
        <v>Stand Firm</v>
      </c>
      <c r="CL99" s="68" t="str">
        <f t="shared" si="127"/>
        <v>Stand Firm</v>
      </c>
      <c r="CM99" s="68" t="str">
        <f t="shared" si="128"/>
        <v>Stand Firm</v>
      </c>
      <c r="CN99" s="68" t="str">
        <f t="shared" si="129"/>
        <v>Stand Firm</v>
      </c>
      <c r="CO99" s="68" t="str">
        <f t="shared" si="130"/>
        <v>Pass</v>
      </c>
      <c r="CP99" s="68" t="str">
        <f t="shared" si="131"/>
        <v>Pass</v>
      </c>
      <c r="CQ99" s="68" t="str">
        <f t="shared" si="132"/>
        <v>Stand Firm</v>
      </c>
      <c r="CR99" s="68" t="str">
        <f t="shared" si="133"/>
        <v>Stand Firm</v>
      </c>
      <c r="CS99" s="68" t="str">
        <f t="shared" si="134"/>
        <v>Stand Firm</v>
      </c>
      <c r="CT99" s="68" t="str">
        <f t="shared" si="135"/>
        <v>Stand Firm</v>
      </c>
      <c r="CU99" s="68" t="str">
        <f t="shared" si="136"/>
        <v>Stand Firm</v>
      </c>
      <c r="CV99" s="68" t="str">
        <f t="shared" si="137"/>
        <v>Stand Firm</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2"/>
      <c r="AZ100" s="11">
        <v>320000</v>
      </c>
      <c r="BA100" s="72"/>
      <c r="BB100" s="72"/>
      <c r="BC100" s="12"/>
      <c r="BD100" s="72"/>
      <c r="BE100" s="12"/>
      <c r="BF100" s="12"/>
      <c r="BG100" s="12"/>
      <c r="BH100" s="2"/>
      <c r="BI100" s="12"/>
      <c r="BJ100" s="2"/>
      <c r="BK100" s="12"/>
      <c r="BL100" s="2"/>
      <c r="BM100" s="12"/>
      <c r="BN100" s="12"/>
      <c r="BO100" s="12"/>
      <c r="BP100" s="2"/>
      <c r="BQ100" s="2"/>
      <c r="BR100" s="2"/>
      <c r="BS100" s="75" t="str">
        <f>IF($J$25="Español","Pase Seguro",(IF($J$25="Deutsch","Wurfsicher",(IF($J$25="Français","Précision","Running Pass")))))</f>
        <v>Running Pass</v>
      </c>
      <c r="BT100" s="12" t="s">
        <v>227</v>
      </c>
      <c r="BU100" s="12" t="str">
        <f>IF($J$25="Español","Mantenerse Firme",(IF($J$25="Deutsch","Robust",(IF($J$25="Français","Projection","Strong Arm")))))</f>
        <v>Strong Arm</v>
      </c>
      <c r="BV100" s="12" t="s">
        <v>226</v>
      </c>
      <c r="BW100" s="75" t="str">
        <f>IF($J$25="Español","Pase Seguro",(IF($J$25="Deutsch","Wurfsicher",(IF($J$25="Français","Précision","Running Pass")))))</f>
        <v>Running Pass</v>
      </c>
      <c r="BX100" s="12" t="s">
        <v>227</v>
      </c>
      <c r="BY100" s="12" t="str">
        <f>IF($J$25="Español","Mantenerse Firme",(IF($J$25="Deutsch","Robust",(IF($J$25="Français","Projection","Strong Arm")))))</f>
        <v>Strong Arm</v>
      </c>
      <c r="BZ100" s="12" t="s">
        <v>226</v>
      </c>
      <c r="CA100" s="12"/>
      <c r="CB100" s="75" t="str">
        <f>IF($J$25="Español","Precisión",(IF($J$25="Deutsch","Zielsicher",(IF($J$25="Français","Sur le ballon","Safe Pass")))))</f>
        <v>Safe Pass</v>
      </c>
      <c r="CC100" s="12" t="s">
        <v>227</v>
      </c>
      <c r="CD100" s="2"/>
      <c r="CE100" s="7"/>
      <c r="CF100" s="12"/>
      <c r="CG100" s="66" t="str">
        <f t="shared" si="122"/>
        <v>Running Pass</v>
      </c>
      <c r="CH100" s="66" t="str">
        <f t="shared" si="123"/>
        <v>Running Pass</v>
      </c>
      <c r="CI100" s="68" t="str">
        <f t="shared" si="124"/>
        <v>Strong Arm</v>
      </c>
      <c r="CJ100" s="68" t="str">
        <f t="shared" si="125"/>
        <v>Strong Arm</v>
      </c>
      <c r="CK100" s="68" t="str">
        <f t="shared" si="126"/>
        <v>Strong Arm</v>
      </c>
      <c r="CL100" s="68" t="str">
        <f t="shared" si="127"/>
        <v>Strong Arm</v>
      </c>
      <c r="CM100" s="68" t="str">
        <f t="shared" si="128"/>
        <v>Strong Arm</v>
      </c>
      <c r="CN100" s="68" t="str">
        <f t="shared" si="129"/>
        <v>Strong Arm</v>
      </c>
      <c r="CO100" s="68" t="str">
        <f t="shared" si="130"/>
        <v>Running Pass</v>
      </c>
      <c r="CP100" s="68" t="str">
        <f t="shared" si="131"/>
        <v>Running Pass</v>
      </c>
      <c r="CQ100" s="68" t="str">
        <f t="shared" si="132"/>
        <v>Strong Arm</v>
      </c>
      <c r="CR100" s="68" t="str">
        <f t="shared" si="133"/>
        <v>Strong Arm</v>
      </c>
      <c r="CS100" s="68" t="str">
        <f t="shared" si="134"/>
        <v>Strong Arm</v>
      </c>
      <c r="CT100" s="68" t="str">
        <f t="shared" si="135"/>
        <v>Strong Arm</v>
      </c>
      <c r="CU100" s="68" t="str">
        <f t="shared" si="136"/>
        <v>Strong Arm</v>
      </c>
      <c r="CV100" s="68" t="str">
        <f t="shared" si="137"/>
        <v>Strong Arm</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2"/>
      <c r="AZ101" s="11">
        <v>330000</v>
      </c>
      <c r="BA101" s="72"/>
      <c r="BB101" s="72"/>
      <c r="BC101" s="12"/>
      <c r="BD101" s="72"/>
      <c r="BE101" s="12"/>
      <c r="BF101" s="12"/>
      <c r="BG101" s="12"/>
      <c r="BH101" s="2"/>
      <c r="BI101" s="2"/>
      <c r="BJ101" s="2"/>
      <c r="BK101" s="12"/>
      <c r="BL101" s="2"/>
      <c r="BM101" s="12"/>
      <c r="BN101" s="12"/>
      <c r="BO101" s="12"/>
      <c r="BP101" s="2"/>
      <c r="BQ101" s="2"/>
      <c r="BR101" s="2"/>
      <c r="BS101" s="75" t="str">
        <f>IF($J$25="Español","Precisión",(IF($J$25="Deutsch","Zielsicher",(IF($J$25="Français","Sur le ballon","Safe Pass")))))</f>
        <v>Safe Pass</v>
      </c>
      <c r="BT101" s="12" t="s">
        <v>227</v>
      </c>
      <c r="BU101" s="12" t="str">
        <f>IF($J$25="Español","Placaje Múltiple",(IF($J$25="Deutsch","Unterstützen",(IF($J$25="Français","Stabilité","Thick Skull")))))</f>
        <v>Thick Skull</v>
      </c>
      <c r="BV101" s="12" t="s">
        <v>226</v>
      </c>
      <c r="BW101" s="75" t="str">
        <f>IF($J$25="Español","Precisión",(IF($J$25="Deutsch","Zielsicher",(IF($J$25="Français","Sur le ballon","Safe Pass")))))</f>
        <v>Safe Pass</v>
      </c>
      <c r="BX101" s="12" t="s">
        <v>227</v>
      </c>
      <c r="BY101" s="12" t="str">
        <f>IF($J$25="Español","Placaje Múltiple",(IF($J$25="Deutsch","Unterstützen",(IF($J$25="Français","Stabilité","Thick Skull")))))</f>
        <v>Thick Skull</v>
      </c>
      <c r="BZ101" s="12" t="s">
        <v>226</v>
      </c>
      <c r="CA101" s="12"/>
      <c r="CB101" s="75" t="str">
        <f>IF($J$25="Español","Abrirse Paso",(IF($J$25="Deutsch","Armhebel",(IF($J$25="Français","Bagarre","Arm Bar")))))</f>
        <v>Arm Bar</v>
      </c>
      <c r="CC101" s="12" t="s">
        <v>226</v>
      </c>
      <c r="CD101" s="2"/>
      <c r="CE101" s="7"/>
      <c r="CF101" s="12"/>
      <c r="CG101" s="66" t="str">
        <f t="shared" si="122"/>
        <v>Safe Pass</v>
      </c>
      <c r="CH101" s="66" t="str">
        <f t="shared" si="123"/>
        <v>Safe Pass</v>
      </c>
      <c r="CI101" s="68" t="str">
        <f t="shared" si="124"/>
        <v>Thick Skull</v>
      </c>
      <c r="CJ101" s="68" t="str">
        <f t="shared" si="125"/>
        <v>Thick Skull</v>
      </c>
      <c r="CK101" s="68" t="str">
        <f t="shared" si="126"/>
        <v>Thick Skull</v>
      </c>
      <c r="CL101" s="68" t="str">
        <f t="shared" si="127"/>
        <v>Thick Skull</v>
      </c>
      <c r="CM101" s="68" t="str">
        <f t="shared" si="128"/>
        <v>Thick Skull</v>
      </c>
      <c r="CN101" s="68" t="str">
        <f t="shared" si="129"/>
        <v>Thick Skull</v>
      </c>
      <c r="CO101" s="68" t="str">
        <f t="shared" si="130"/>
        <v>Safe Pass</v>
      </c>
      <c r="CP101" s="68" t="str">
        <f t="shared" si="131"/>
        <v>Safe Pass</v>
      </c>
      <c r="CQ101" s="68" t="str">
        <f t="shared" si="132"/>
        <v>Thick Skull</v>
      </c>
      <c r="CR101" s="68" t="str">
        <f t="shared" si="133"/>
        <v>Thick Skull</v>
      </c>
      <c r="CS101" s="68" t="str">
        <f t="shared" si="134"/>
        <v>Thick Skull</v>
      </c>
      <c r="CT101" s="68" t="str">
        <f t="shared" si="135"/>
        <v>Thick Skull</v>
      </c>
      <c r="CU101" s="68" t="str">
        <f t="shared" si="136"/>
        <v>Thick Skull</v>
      </c>
      <c r="CV101" s="68" t="str">
        <f t="shared" si="137"/>
        <v>Thick Skull</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2"/>
      <c r="AZ102" s="11">
        <v>340000</v>
      </c>
      <c r="BA102" s="72"/>
      <c r="BB102" s="72"/>
      <c r="BC102" s="12"/>
      <c r="BD102" s="72"/>
      <c r="BE102" s="12"/>
      <c r="BF102" s="12"/>
      <c r="BG102" s="12"/>
      <c r="BH102" s="2"/>
      <c r="BI102" s="2"/>
      <c r="BJ102" s="2"/>
      <c r="BK102" s="12"/>
      <c r="BL102" s="2"/>
      <c r="BM102" s="12"/>
      <c r="BN102" s="12"/>
      <c r="BO102" s="12"/>
      <c r="BP102" s="2"/>
      <c r="BQ102" s="2"/>
      <c r="BR102" s="2"/>
      <c r="BS102" s="75" t="str">
        <f>IF($J$25="Español","Abrirse Paso",(IF($J$25="Deutsch","Armhebel",(IF($J$25="Français","Bagarre","Arm Bar")))))</f>
        <v>Arm Bar</v>
      </c>
      <c r="BT102" s="12" t="s">
        <v>226</v>
      </c>
      <c r="BU102" s="75" t="str">
        <f>IF($J$25="Español","Apariencia Asquerosa",(IF($J$25="Deutsch","Abstoßendes Aussehen",(IF($J$25="Français","Bras supplémentaire","Big Hand")))))</f>
        <v>Big Hand</v>
      </c>
      <c r="BV102" s="12" t="s">
        <v>228</v>
      </c>
      <c r="BW102" s="75" t="str">
        <f>IF($J$25="Español","Abrirse Paso",(IF($J$25="Deutsch","Armhebel",(IF($J$25="Français","Bagarre","Arm Bar")))))</f>
        <v>Arm Bar</v>
      </c>
      <c r="BX102" s="12" t="s">
        <v>226</v>
      </c>
      <c r="BY102" s="12" t="str">
        <f t="shared" ref="BY102:BZ102" si="181">""</f>
        <v/>
      </c>
      <c r="BZ102" s="12" t="str">
        <f t="shared" si="181"/>
        <v/>
      </c>
      <c r="CA102" s="12"/>
      <c r="CB102" s="75" t="str">
        <f>IF($J$25="Español","Apartar",(IF($J$25="Deutsch","Greifer",(IF($J$25="Français","Blocage multiple","Brawler")))))</f>
        <v>Brawler</v>
      </c>
      <c r="CC102" s="12" t="s">
        <v>226</v>
      </c>
      <c r="CD102" s="2"/>
      <c r="CE102" s="7"/>
      <c r="CF102" s="12"/>
      <c r="CG102" s="66" t="str">
        <f t="shared" si="122"/>
        <v>Arm Bar</v>
      </c>
      <c r="CH102" s="66" t="str">
        <f t="shared" si="123"/>
        <v>Arm Bar</v>
      </c>
      <c r="CI102" s="68" t="str">
        <f t="shared" si="124"/>
        <v/>
      </c>
      <c r="CJ102" s="68" t="str">
        <f t="shared" si="125"/>
        <v/>
      </c>
      <c r="CK102" s="68" t="str">
        <f t="shared" si="126"/>
        <v/>
      </c>
      <c r="CL102" s="68" t="str">
        <f t="shared" si="127"/>
        <v/>
      </c>
      <c r="CM102" s="68" t="str">
        <f t="shared" si="128"/>
        <v/>
      </c>
      <c r="CN102" s="68" t="str">
        <f t="shared" si="129"/>
        <v/>
      </c>
      <c r="CO102" s="68" t="str">
        <f t="shared" si="130"/>
        <v>Arm Bar</v>
      </c>
      <c r="CP102" s="68" t="str">
        <f t="shared" si="131"/>
        <v>Arm Bar</v>
      </c>
      <c r="CQ102" s="68" t="str">
        <f t="shared" si="132"/>
        <v/>
      </c>
      <c r="CR102" s="68" t="str">
        <f t="shared" si="133"/>
        <v/>
      </c>
      <c r="CS102" s="68" t="str">
        <f t="shared" si="134"/>
        <v/>
      </c>
      <c r="CT102" s="68" t="str">
        <f t="shared" si="135"/>
        <v/>
      </c>
      <c r="CU102" s="68" t="str">
        <f t="shared" si="136"/>
        <v/>
      </c>
      <c r="CV102" s="68" t="str">
        <f t="shared" si="137"/>
        <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2"/>
      <c r="AZ103" s="11">
        <v>350000</v>
      </c>
      <c r="BA103" s="72"/>
      <c r="BB103" s="72"/>
      <c r="BC103" s="12"/>
      <c r="BD103" s="72"/>
      <c r="BE103" s="12"/>
      <c r="BF103" s="2"/>
      <c r="BG103" s="2"/>
      <c r="BH103" s="2"/>
      <c r="BI103" s="2"/>
      <c r="BJ103" s="2"/>
      <c r="BK103" s="12"/>
      <c r="BL103" s="2"/>
      <c r="BM103" s="12"/>
      <c r="BN103" s="12"/>
      <c r="BO103" s="12"/>
      <c r="BP103" s="2"/>
      <c r="BQ103" s="2"/>
      <c r="BR103" s="2"/>
      <c r="BS103" s="75" t="str">
        <f>IF($J$25="Español","Apartar",(IF($J$25="Deutsch","Greifer",(IF($J$25="Français","Blocage multiple","Brawler")))))</f>
        <v>Brawler</v>
      </c>
      <c r="BT103" s="12" t="s">
        <v>226</v>
      </c>
      <c r="BU103" s="75" t="str">
        <f>IF($J$25="Español","Boca Monstruosa",(IF($J$25="Deutsch","Eisenharte Haut",(IF($J$25="Français","Cornes","Claw / Claws")))))</f>
        <v>Claw / Claws</v>
      </c>
      <c r="BV103" s="12" t="s">
        <v>228</v>
      </c>
      <c r="BW103" s="75" t="str">
        <f>IF($J$25="Español","Apartar",(IF($J$25="Deutsch","Greifer",(IF($J$25="Français","Blocage multiple","Brawler")))))</f>
        <v>Brawler</v>
      </c>
      <c r="BX103" s="12" t="s">
        <v>226</v>
      </c>
      <c r="BY103" s="12" t="str">
        <f t="shared" ref="BY103:BZ103" si="182">""</f>
        <v/>
      </c>
      <c r="BZ103" s="12" t="str">
        <f t="shared" si="182"/>
        <v/>
      </c>
      <c r="CA103" s="73"/>
      <c r="CB103" s="75" t="str">
        <f>IF($J$25="Español","Brazo Fuerte",(IF($J$25="Deutsch","Knochenbrecher (+1)",(IF($J$25="Français","Bras musclé","Break Tackle")))))</f>
        <v>Break Tackle</v>
      </c>
      <c r="CC103" s="12" t="s">
        <v>226</v>
      </c>
      <c r="CD103" s="2"/>
      <c r="CE103" s="7"/>
      <c r="CF103" s="12"/>
      <c r="CG103" s="66" t="str">
        <f t="shared" si="122"/>
        <v>Brawler</v>
      </c>
      <c r="CH103" s="66" t="str">
        <f t="shared" si="123"/>
        <v>Brawler</v>
      </c>
      <c r="CI103" s="68" t="str">
        <f t="shared" si="124"/>
        <v/>
      </c>
      <c r="CJ103" s="68" t="str">
        <f t="shared" si="125"/>
        <v/>
      </c>
      <c r="CK103" s="68" t="str">
        <f t="shared" si="126"/>
        <v/>
      </c>
      <c r="CL103" s="68" t="str">
        <f t="shared" si="127"/>
        <v/>
      </c>
      <c r="CM103" s="68" t="str">
        <f t="shared" si="128"/>
        <v/>
      </c>
      <c r="CN103" s="68" t="str">
        <f t="shared" si="129"/>
        <v/>
      </c>
      <c r="CO103" s="68" t="str">
        <f t="shared" si="130"/>
        <v>Brawler</v>
      </c>
      <c r="CP103" s="68" t="str">
        <f t="shared" si="131"/>
        <v>Brawler</v>
      </c>
      <c r="CQ103" s="68" t="str">
        <f t="shared" si="132"/>
        <v/>
      </c>
      <c r="CR103" s="68" t="str">
        <f t="shared" si="133"/>
        <v/>
      </c>
      <c r="CS103" s="68" t="str">
        <f t="shared" si="134"/>
        <v/>
      </c>
      <c r="CT103" s="68" t="str">
        <f t="shared" si="135"/>
        <v/>
      </c>
      <c r="CU103" s="68" t="str">
        <f t="shared" si="136"/>
        <v/>
      </c>
      <c r="CV103" s="68" t="str">
        <f t="shared" si="137"/>
        <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69"/>
      <c r="AZ104" s="11">
        <v>360000</v>
      </c>
      <c r="BA104" s="69"/>
      <c r="BB104" s="69"/>
      <c r="BC104" s="12"/>
      <c r="BD104" s="69"/>
      <c r="BE104" s="12"/>
      <c r="BF104" s="2"/>
      <c r="BG104" s="2"/>
      <c r="BH104" s="2"/>
      <c r="BI104" s="2"/>
      <c r="BJ104" s="2"/>
      <c r="BK104" s="12"/>
      <c r="BL104" s="2"/>
      <c r="BM104" s="12"/>
      <c r="BN104" s="12"/>
      <c r="BO104" s="12"/>
      <c r="BP104" s="2"/>
      <c r="BQ104" s="2"/>
      <c r="BR104" s="2"/>
      <c r="BS104" s="75" t="str">
        <f>IF($J$25="Español","Brazo Fuerte",(IF($J$25="Deutsch","Knochenbrecher (+1)",(IF($J$25="Français","Bras musclé","Break Tackle")))))</f>
        <v>Break Tackle</v>
      </c>
      <c r="BT104" s="12" t="s">
        <v>226</v>
      </c>
      <c r="BU104" s="75" t="str">
        <f>IF($J$25="Español","Brazos Adicionales",(IF($J$25="Deutsch","Große Hand",(IF($J$25="Français","Deux tête","Disturbing Presence")))))</f>
        <v>Disturbing Presence</v>
      </c>
      <c r="BV104" s="12" t="s">
        <v>228</v>
      </c>
      <c r="BW104" s="75" t="str">
        <f>IF($J$25="Español","Brazo Fuerte",(IF($J$25="Deutsch","Knochenbrecher (+1)",(IF($J$25="Français","Bras musclé","Break Tackle")))))</f>
        <v>Break Tackle</v>
      </c>
      <c r="BX104" s="12" t="s">
        <v>226</v>
      </c>
      <c r="BY104" s="12" t="str">
        <f t="shared" ref="BY104:BZ104" si="183">""</f>
        <v/>
      </c>
      <c r="BZ104" s="12" t="str">
        <f t="shared" si="183"/>
        <v/>
      </c>
      <c r="CA104" s="73"/>
      <c r="CB104" s="75" t="str">
        <f>IF($J$25="Español","Cabeza Dura",(IF($J$25="Deutsch","Mehrfachblock",(IF($J$25="Français","Châtaigne (+1)","Grab")))))</f>
        <v>Grab</v>
      </c>
      <c r="CC104" s="12" t="s">
        <v>226</v>
      </c>
      <c r="CD104" s="2"/>
      <c r="CE104" s="7"/>
      <c r="CF104" s="12"/>
      <c r="CG104" s="66" t="str">
        <f t="shared" si="122"/>
        <v>Break Tackle</v>
      </c>
      <c r="CH104" s="66" t="str">
        <f t="shared" si="123"/>
        <v>Break Tackle</v>
      </c>
      <c r="CI104" s="68" t="str">
        <f t="shared" si="124"/>
        <v/>
      </c>
      <c r="CJ104" s="68" t="str">
        <f t="shared" si="125"/>
        <v/>
      </c>
      <c r="CK104" s="68" t="str">
        <f t="shared" si="126"/>
        <v/>
      </c>
      <c r="CL104" s="68" t="str">
        <f t="shared" si="127"/>
        <v/>
      </c>
      <c r="CM104" s="68" t="str">
        <f t="shared" si="128"/>
        <v/>
      </c>
      <c r="CN104" s="68" t="str">
        <f t="shared" si="129"/>
        <v/>
      </c>
      <c r="CO104" s="68" t="str">
        <f t="shared" si="130"/>
        <v>Break Tackle</v>
      </c>
      <c r="CP104" s="68" t="str">
        <f t="shared" si="131"/>
        <v>Break Tackle</v>
      </c>
      <c r="CQ104" s="68" t="str">
        <f t="shared" si="132"/>
        <v/>
      </c>
      <c r="CR104" s="68" t="str">
        <f t="shared" si="133"/>
        <v/>
      </c>
      <c r="CS104" s="68" t="str">
        <f t="shared" si="134"/>
        <v/>
      </c>
      <c r="CT104" s="68" t="str">
        <f t="shared" si="135"/>
        <v/>
      </c>
      <c r="CU104" s="68" t="str">
        <f t="shared" si="136"/>
        <v/>
      </c>
      <c r="CV104" s="68" t="str">
        <f t="shared" si="137"/>
        <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2"/>
      <c r="AZ105" s="11">
        <v>370000</v>
      </c>
      <c r="BA105" s="72"/>
      <c r="BB105" s="72"/>
      <c r="BC105" s="12"/>
      <c r="BD105" s="72"/>
      <c r="BE105" s="12"/>
      <c r="BF105" s="2"/>
      <c r="BG105" s="2"/>
      <c r="BH105" s="2"/>
      <c r="BI105" s="2"/>
      <c r="BJ105" s="2"/>
      <c r="BK105" s="12"/>
      <c r="BL105" s="2"/>
      <c r="BM105" s="12"/>
      <c r="BN105" s="12"/>
      <c r="BO105" s="12"/>
      <c r="BP105" s="2"/>
      <c r="BQ105" s="2"/>
      <c r="BR105" s="2"/>
      <c r="BS105" s="75" t="str">
        <f>IF($J$25="Español","Cabeza Dura",(IF($J$25="Deutsch","Mehrfachblock",(IF($J$25="Français","Châtaigne (+1)","Grab")))))</f>
        <v>Grab</v>
      </c>
      <c r="BT105" s="12" t="s">
        <v>226</v>
      </c>
      <c r="BU105" s="75" t="str">
        <f>IF($J$25="Español","Cola Prensil",(IF($J$25="Deutsch","Hörner",(IF($J$25="Français","Grande gueule","Extra Arms")))))</f>
        <v>Extra Arms</v>
      </c>
      <c r="BV105" s="12" t="s">
        <v>228</v>
      </c>
      <c r="BW105" s="75" t="str">
        <f>IF($J$25="Español","Cabeza Dura",(IF($J$25="Deutsch","Mehrfachblock",(IF($J$25="Français","Châtaigne (+1)","Grab")))))</f>
        <v>Grab</v>
      </c>
      <c r="BX105" s="12" t="s">
        <v>226</v>
      </c>
      <c r="BY105" s="12" t="str">
        <f t="shared" ref="BY105:BZ105" si="184">""</f>
        <v/>
      </c>
      <c r="BZ105" s="12" t="str">
        <f t="shared" si="184"/>
        <v/>
      </c>
      <c r="CA105" s="73"/>
      <c r="CB105" s="75" t="str">
        <f>IF($J$25="Español","Crujir",(IF($J$25="Deutsch","Ramme",(IF($J$25="Français","Clé de bras","Guard")))))</f>
        <v>Guard</v>
      </c>
      <c r="CC105" s="12" t="s">
        <v>226</v>
      </c>
      <c r="CD105" s="2"/>
      <c r="CE105" s="7"/>
      <c r="CF105" s="12"/>
      <c r="CG105" s="66" t="str">
        <f t="shared" si="122"/>
        <v>Grab</v>
      </c>
      <c r="CH105" s="66" t="str">
        <f t="shared" si="123"/>
        <v>Grab</v>
      </c>
      <c r="CI105" s="68" t="str">
        <f t="shared" si="124"/>
        <v/>
      </c>
      <c r="CJ105" s="68" t="str">
        <f t="shared" si="125"/>
        <v/>
      </c>
      <c r="CK105" s="68" t="str">
        <f t="shared" si="126"/>
        <v/>
      </c>
      <c r="CL105" s="68" t="str">
        <f t="shared" si="127"/>
        <v/>
      </c>
      <c r="CM105" s="68" t="str">
        <f t="shared" si="128"/>
        <v/>
      </c>
      <c r="CN105" s="68" t="str">
        <f t="shared" si="129"/>
        <v/>
      </c>
      <c r="CO105" s="68" t="str">
        <f t="shared" si="130"/>
        <v>Grab</v>
      </c>
      <c r="CP105" s="68" t="str">
        <f t="shared" si="131"/>
        <v>Grab</v>
      </c>
      <c r="CQ105" s="68" t="str">
        <f t="shared" si="132"/>
        <v/>
      </c>
      <c r="CR105" s="68" t="str">
        <f t="shared" si="133"/>
        <v/>
      </c>
      <c r="CS105" s="68" t="str">
        <f t="shared" si="134"/>
        <v/>
      </c>
      <c r="CT105" s="68" t="str">
        <f t="shared" si="135"/>
        <v/>
      </c>
      <c r="CU105" s="68" t="str">
        <f t="shared" si="136"/>
        <v/>
      </c>
      <c r="CV105" s="68" t="str">
        <f t="shared" si="137"/>
        <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2"/>
      <c r="AZ106" s="11">
        <v>380000</v>
      </c>
      <c r="BA106" s="72"/>
      <c r="BB106" s="72"/>
      <c r="BC106" s="12"/>
      <c r="BD106" s="72"/>
      <c r="BE106" s="12"/>
      <c r="BF106" s="2"/>
      <c r="BG106" s="2"/>
      <c r="BH106" s="2"/>
      <c r="BI106" s="2"/>
      <c r="BJ106" s="2"/>
      <c r="BK106" s="12"/>
      <c r="BL106" s="2"/>
      <c r="BM106" s="12"/>
      <c r="BN106" s="12"/>
      <c r="BO106" s="12"/>
      <c r="BP106" s="2"/>
      <c r="BQ106" s="2"/>
      <c r="BR106" s="2"/>
      <c r="BS106" s="75" t="str">
        <f>IF($J$25="Español","Crujir",(IF($J$25="Deutsch","Ramme",(IF($J$25="Français","Clé de bras","Guard")))))</f>
        <v>Guard</v>
      </c>
      <c r="BT106" s="12" t="s">
        <v>226</v>
      </c>
      <c r="BU106" s="75" t="str">
        <f>IF($J$25="Español","Cuernos",(IF($J$25="Deutsch","Klammerschwanz",(IF($J$25="Français","Griffes","Foul Appearance")))))</f>
        <v>Foul Appearance</v>
      </c>
      <c r="BV106" s="12" t="s">
        <v>228</v>
      </c>
      <c r="BW106" s="75" t="str">
        <f>IF($J$25="Español","Crujir",(IF($J$25="Deutsch","Ramme",(IF($J$25="Français","Clé de bras","Guard")))))</f>
        <v>Guard</v>
      </c>
      <c r="BX106" s="12" t="s">
        <v>226</v>
      </c>
      <c r="BY106" s="12" t="str">
        <f t="shared" ref="BY106:BZ106" si="185">""</f>
        <v/>
      </c>
      <c r="BZ106" s="12" t="str">
        <f t="shared" si="185"/>
        <v/>
      </c>
      <c r="CA106" s="73"/>
      <c r="CB106" s="12" t="str">
        <f>IF($J$25="Español","Defensa",(IF($J$25="Deutsch","Raufbold",(IF($J$25="Français","Crâne épais","Juggernaut")))))</f>
        <v>Juggernaut</v>
      </c>
      <c r="CC106" s="12" t="s">
        <v>226</v>
      </c>
      <c r="CD106" s="2"/>
      <c r="CE106" s="7"/>
      <c r="CF106" s="12"/>
      <c r="CG106" s="66" t="str">
        <f t="shared" si="122"/>
        <v>Guard</v>
      </c>
      <c r="CH106" s="66" t="str">
        <f t="shared" si="123"/>
        <v>Guard</v>
      </c>
      <c r="CI106" s="68" t="str">
        <f t="shared" si="124"/>
        <v/>
      </c>
      <c r="CJ106" s="68" t="str">
        <f t="shared" si="125"/>
        <v/>
      </c>
      <c r="CK106" s="68" t="str">
        <f t="shared" si="126"/>
        <v/>
      </c>
      <c r="CL106" s="68" t="str">
        <f t="shared" si="127"/>
        <v/>
      </c>
      <c r="CM106" s="68" t="str">
        <f t="shared" si="128"/>
        <v/>
      </c>
      <c r="CN106" s="68" t="str">
        <f t="shared" si="129"/>
        <v/>
      </c>
      <c r="CO106" s="68" t="str">
        <f t="shared" si="130"/>
        <v>Guard</v>
      </c>
      <c r="CP106" s="68" t="str">
        <f t="shared" si="131"/>
        <v>Guard</v>
      </c>
      <c r="CQ106" s="68" t="str">
        <f t="shared" si="132"/>
        <v/>
      </c>
      <c r="CR106" s="68" t="str">
        <f t="shared" si="133"/>
        <v/>
      </c>
      <c r="CS106" s="68" t="str">
        <f t="shared" si="134"/>
        <v/>
      </c>
      <c r="CT106" s="68" t="str">
        <f t="shared" si="135"/>
        <v/>
      </c>
      <c r="CU106" s="68" t="str">
        <f t="shared" si="136"/>
        <v/>
      </c>
      <c r="CV106" s="68" t="str">
        <f t="shared" si="137"/>
        <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2"/>
      <c r="AZ107" s="11">
        <v>390000</v>
      </c>
      <c r="BA107" s="72"/>
      <c r="BB107" s="72"/>
      <c r="BC107" s="12"/>
      <c r="BD107" s="72"/>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226</v>
      </c>
      <c r="BU107" s="75" t="str">
        <f>IF($J$25="Español","Dos Cabezas",(IF($J$25="Deutsch","Klauen",(IF($J$25="Français","Main démesurée","Horns")))))</f>
        <v>Horns</v>
      </c>
      <c r="BV107" s="12" t="s">
        <v>228</v>
      </c>
      <c r="BW107" s="12" t="str">
        <f>IF($J$25="Español","Defensa",(IF($J$25="Deutsch","Raufbold",(IF($J$25="Français","Crâne épais","Juggernaut")))))</f>
        <v>Juggernaut</v>
      </c>
      <c r="BX107" s="12" t="s">
        <v>226</v>
      </c>
      <c r="BY107" s="12" t="str">
        <f t="shared" ref="BY107:BZ107" si="186">""</f>
        <v/>
      </c>
      <c r="BZ107" s="12" t="str">
        <f t="shared" si="186"/>
        <v/>
      </c>
      <c r="CA107" s="73"/>
      <c r="CB107" s="12" t="str">
        <f>IF($J$25="Español","Golpe Mortífero (+1)",(IF($J$25="Deutsch","Schweres Gerät",(IF($J$25="Français","Esquive en force","Mighty Blow (+1)")))))</f>
        <v>Mighty Blow (+1)</v>
      </c>
      <c r="CC107" s="12" t="s">
        <v>226</v>
      </c>
      <c r="CD107" s="2"/>
      <c r="CE107" s="7"/>
      <c r="CF107" s="12"/>
      <c r="CG107" s="66" t="str">
        <f t="shared" si="122"/>
        <v>Juggernaut</v>
      </c>
      <c r="CH107" s="66" t="str">
        <f t="shared" si="123"/>
        <v>Juggernaut</v>
      </c>
      <c r="CI107" s="68" t="str">
        <f t="shared" si="124"/>
        <v/>
      </c>
      <c r="CJ107" s="68" t="str">
        <f t="shared" si="125"/>
        <v/>
      </c>
      <c r="CK107" s="68" t="str">
        <f t="shared" si="126"/>
        <v/>
      </c>
      <c r="CL107" s="68" t="str">
        <f t="shared" si="127"/>
        <v/>
      </c>
      <c r="CM107" s="68" t="str">
        <f t="shared" si="128"/>
        <v/>
      </c>
      <c r="CN107" s="68" t="str">
        <f t="shared" si="129"/>
        <v/>
      </c>
      <c r="CO107" s="68" t="str">
        <f t="shared" si="130"/>
        <v>Juggernaut</v>
      </c>
      <c r="CP107" s="68" t="str">
        <f t="shared" si="131"/>
        <v>Juggernaut</v>
      </c>
      <c r="CQ107" s="68" t="str">
        <f t="shared" si="132"/>
        <v/>
      </c>
      <c r="CR107" s="68" t="str">
        <f t="shared" si="133"/>
        <v/>
      </c>
      <c r="CS107" s="68" t="str">
        <f t="shared" si="134"/>
        <v/>
      </c>
      <c r="CT107" s="68" t="str">
        <f t="shared" si="135"/>
        <v/>
      </c>
      <c r="CU107" s="68" t="str">
        <f t="shared" si="136"/>
        <v/>
      </c>
      <c r="CV107" s="68" t="str">
        <f t="shared" si="137"/>
        <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2"/>
      <c r="AZ108" s="11">
        <v>400000</v>
      </c>
      <c r="BA108" s="72"/>
      <c r="BB108" s="72"/>
      <c r="BC108" s="12"/>
      <c r="BD108" s="72"/>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226</v>
      </c>
      <c r="BU108" s="12" t="str">
        <f>IF($J$25="Español","Garra / Garras",(IF($J$25="Deutsch","Monströses Maul",(IF($J$25="Français","Queue préhensile","Iron Hard Skin")))))</f>
        <v>Iron Hard Skin</v>
      </c>
      <c r="BV108" s="12" t="s">
        <v>228</v>
      </c>
      <c r="BW108" s="12" t="str">
        <f>IF($J$25="Español","Golpe Mortífero (+1)",(IF($J$25="Deutsch","Schweres Gerät",(IF($J$25="Français","Esquive en force","Mighty Blow (+1)")))))</f>
        <v>Mighty Blow (+1)</v>
      </c>
      <c r="BX108" s="12" t="s">
        <v>226</v>
      </c>
      <c r="BY108" s="12" t="str">
        <f t="shared" ref="BY108:BZ108" si="187">""</f>
        <v/>
      </c>
      <c r="BZ108" s="12" t="str">
        <f t="shared" si="187"/>
        <v/>
      </c>
      <c r="CA108" s="73"/>
      <c r="CB108" s="12" t="str">
        <f>IF($J$25="Español","Imparable",(IF($J$25="Deutsch","Standfest",(IF($J$25="Français","Garde","Multiple Blocks")))))</f>
        <v>Multiple Blocks</v>
      </c>
      <c r="CC108" s="12" t="s">
        <v>226</v>
      </c>
      <c r="CD108" s="2"/>
      <c r="CE108" s="7"/>
      <c r="CF108" s="12"/>
      <c r="CG108" s="66" t="str">
        <f t="shared" si="122"/>
        <v>Mighty Blow (+1)</v>
      </c>
      <c r="CH108" s="66" t="str">
        <f t="shared" si="123"/>
        <v>Mighty Blow (+1)</v>
      </c>
      <c r="CI108" s="68" t="str">
        <f t="shared" si="124"/>
        <v/>
      </c>
      <c r="CJ108" s="68" t="str">
        <f t="shared" si="125"/>
        <v/>
      </c>
      <c r="CK108" s="68" t="str">
        <f t="shared" si="126"/>
        <v/>
      </c>
      <c r="CL108" s="68" t="str">
        <f t="shared" si="127"/>
        <v/>
      </c>
      <c r="CM108" s="68" t="str">
        <f t="shared" si="128"/>
        <v/>
      </c>
      <c r="CN108" s="68" t="str">
        <f t="shared" si="129"/>
        <v/>
      </c>
      <c r="CO108" s="68" t="str">
        <f t="shared" si="130"/>
        <v>Mighty Blow (+1)</v>
      </c>
      <c r="CP108" s="68" t="str">
        <f t="shared" si="131"/>
        <v>Mighty Blow (+1)</v>
      </c>
      <c r="CQ108" s="68" t="str">
        <f t="shared" si="132"/>
        <v/>
      </c>
      <c r="CR108" s="68" t="str">
        <f t="shared" si="133"/>
        <v/>
      </c>
      <c r="CS108" s="68" t="str">
        <f t="shared" si="134"/>
        <v/>
      </c>
      <c r="CT108" s="68" t="str">
        <f t="shared" si="135"/>
        <v/>
      </c>
      <c r="CU108" s="68" t="str">
        <f t="shared" si="136"/>
        <v/>
      </c>
      <c r="CV108" s="68" t="str">
        <f t="shared" si="137"/>
        <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2"/>
      <c r="AZ109" s="11">
        <v>410000</v>
      </c>
      <c r="BA109" s="72"/>
      <c r="BB109" s="72"/>
      <c r="BC109" s="12"/>
      <c r="BD109" s="72"/>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226</v>
      </c>
      <c r="BU109" s="12" t="str">
        <f>IF($J$25="Español","Mano Grande",(IF($J$25="Deutsch","Sehr lange Beine",(IF($J$25="Français","Peau de fer","Monstrous Mouth")))))</f>
        <v>Monstrous Mouth</v>
      </c>
      <c r="BV109" s="12" t="s">
        <v>228</v>
      </c>
      <c r="BW109" s="12" t="str">
        <f>IF($J$25="Español","Imparable",(IF($J$25="Deutsch","Standfest",(IF($J$25="Français","Garde","Multiple Blocks")))))</f>
        <v>Multiple Blocks</v>
      </c>
      <c r="BX109" s="12" t="s">
        <v>226</v>
      </c>
      <c r="BY109" s="12" t="str">
        <f t="shared" ref="BY109:BZ109" si="188">""</f>
        <v/>
      </c>
      <c r="BZ109" s="12" t="str">
        <f t="shared" si="188"/>
        <v/>
      </c>
      <c r="CA109" s="73"/>
      <c r="CB109" s="12" t="str">
        <f>IF($J$25="Español","Llave de Brazo",(IF($J$25="Deutsch","Starker Wurfarm",(IF($J$25="Français","Juggernaut","Pile Diver")))))</f>
        <v>Pile Diver</v>
      </c>
      <c r="CC109" s="12" t="s">
        <v>226</v>
      </c>
      <c r="CD109" s="2"/>
      <c r="CE109" s="7"/>
      <c r="CF109" s="12"/>
      <c r="CG109" s="66" t="str">
        <f t="shared" si="122"/>
        <v>Multiple Blocks</v>
      </c>
      <c r="CH109" s="66" t="str">
        <f t="shared" si="123"/>
        <v>Multiple Blocks</v>
      </c>
      <c r="CI109" s="68" t="str">
        <f t="shared" si="124"/>
        <v/>
      </c>
      <c r="CJ109" s="68" t="str">
        <f t="shared" si="125"/>
        <v/>
      </c>
      <c r="CK109" s="68" t="str">
        <f t="shared" si="126"/>
        <v/>
      </c>
      <c r="CL109" s="68" t="str">
        <f t="shared" si="127"/>
        <v/>
      </c>
      <c r="CM109" s="68" t="str">
        <f t="shared" si="128"/>
        <v/>
      </c>
      <c r="CN109" s="68" t="str">
        <f t="shared" si="129"/>
        <v/>
      </c>
      <c r="CO109" s="68" t="str">
        <f t="shared" si="130"/>
        <v>Multiple Blocks</v>
      </c>
      <c r="CP109" s="68" t="str">
        <f t="shared" si="131"/>
        <v>Multiple Blocks</v>
      </c>
      <c r="CQ109" s="68" t="str">
        <f t="shared" si="132"/>
        <v/>
      </c>
      <c r="CR109" s="68" t="str">
        <f t="shared" si="133"/>
        <v/>
      </c>
      <c r="CS109" s="68" t="str">
        <f t="shared" si="134"/>
        <v/>
      </c>
      <c r="CT109" s="68" t="str">
        <f t="shared" si="135"/>
        <v/>
      </c>
      <c r="CU109" s="68" t="str">
        <f t="shared" si="136"/>
        <v/>
      </c>
      <c r="CV109" s="68" t="str">
        <f t="shared" si="137"/>
        <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2"/>
      <c r="AZ110" s="11">
        <v>420000</v>
      </c>
      <c r="BA110" s="72"/>
      <c r="BB110" s="72"/>
      <c r="BC110" s="12"/>
      <c r="BD110" s="72"/>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226</v>
      </c>
      <c r="BU110" s="75" t="str">
        <f>IF($J$25="Español","Piel Ferrea",(IF($J$25="Deutsch","Tentakel",(IF($J$25="Français","Présence perturbante","Prehensile Tail")))))</f>
        <v>Prehensile Tail</v>
      </c>
      <c r="BV110" s="12" t="s">
        <v>228</v>
      </c>
      <c r="BW110" s="12" t="str">
        <f>IF($J$25="Español","Llave de Brazo",(IF($J$25="Deutsch","Starker Wurfarm",(IF($J$25="Français","Juggernaut","Pile Diver")))))</f>
        <v>Pile Diver</v>
      </c>
      <c r="BX110" s="12" t="s">
        <v>226</v>
      </c>
      <c r="BY110" s="12" t="str">
        <f t="shared" ref="BY110:BZ110" si="189">""</f>
        <v/>
      </c>
      <c r="BZ110" s="12" t="str">
        <f t="shared" si="189"/>
        <v/>
      </c>
      <c r="CA110" s="12"/>
      <c r="CB110" s="12" t="str">
        <f>IF($J$25="Español","Luchador",(IF($J$25="Deutsch","Tackle durchbrechen",(IF($J$25="Français","Mateau-pilon","Stand Firm")))))</f>
        <v>Stand Firm</v>
      </c>
      <c r="CC110" s="12" t="s">
        <v>226</v>
      </c>
      <c r="CD110" s="2"/>
      <c r="CE110" s="7"/>
      <c r="CF110" s="12"/>
      <c r="CG110" s="66" t="str">
        <f t="shared" si="122"/>
        <v>Pile Diver</v>
      </c>
      <c r="CH110" s="66" t="str">
        <f t="shared" si="123"/>
        <v>Pile Diver</v>
      </c>
      <c r="CI110" s="68" t="str">
        <f t="shared" si="124"/>
        <v/>
      </c>
      <c r="CJ110" s="68" t="str">
        <f t="shared" si="125"/>
        <v/>
      </c>
      <c r="CK110" s="68" t="str">
        <f t="shared" si="126"/>
        <v/>
      </c>
      <c r="CL110" s="68" t="str">
        <f t="shared" si="127"/>
        <v/>
      </c>
      <c r="CM110" s="68" t="str">
        <f t="shared" si="128"/>
        <v/>
      </c>
      <c r="CN110" s="68" t="str">
        <f t="shared" si="129"/>
        <v/>
      </c>
      <c r="CO110" s="68" t="str">
        <f t="shared" si="130"/>
        <v>Pile Diver</v>
      </c>
      <c r="CP110" s="68" t="str">
        <f t="shared" si="131"/>
        <v>Pile Diver</v>
      </c>
      <c r="CQ110" s="68" t="str">
        <f t="shared" si="132"/>
        <v/>
      </c>
      <c r="CR110" s="68" t="str">
        <f t="shared" si="133"/>
        <v/>
      </c>
      <c r="CS110" s="68" t="str">
        <f t="shared" si="134"/>
        <v/>
      </c>
      <c r="CT110" s="68" t="str">
        <f t="shared" si="135"/>
        <v/>
      </c>
      <c r="CU110" s="68" t="str">
        <f t="shared" si="136"/>
        <v/>
      </c>
      <c r="CV110" s="68" t="str">
        <f t="shared" si="137"/>
        <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226</v>
      </c>
      <c r="BU111" s="75" t="str">
        <f>IF($J$25="Español","Piernas muy Largas",(IF($J$25="Deutsch","Verstörende Präsenz",(IF($J$25="Français","Répulsion","Tentacles")))))</f>
        <v>Tentacles</v>
      </c>
      <c r="BV111" s="12" t="s">
        <v>228</v>
      </c>
      <c r="BW111" s="12" t="str">
        <f>IF($J$25="Español","Luchador",(IF($J$25="Deutsch","Tackle durchbrechen",(IF($J$25="Français","Mateau-pilon","Stand Firm")))))</f>
        <v>Stand Firm</v>
      </c>
      <c r="BX111" s="12" t="s">
        <v>226</v>
      </c>
      <c r="BY111" s="12" t="str">
        <f t="shared" ref="BY111:BZ111" si="190">""</f>
        <v/>
      </c>
      <c r="BZ111" s="12" t="str">
        <f t="shared" si="190"/>
        <v/>
      </c>
      <c r="CA111" s="12"/>
      <c r="CB111" s="12" t="str">
        <f>IF($J$25="Español","Mantenerse Firme",(IF($J$25="Deutsch","Robust",(IF($J$25="Français","Projection","Strong Arm")))))</f>
        <v>Strong Arm</v>
      </c>
      <c r="CC111" s="12" t="s">
        <v>226</v>
      </c>
      <c r="CD111" s="2"/>
      <c r="CE111" s="7"/>
      <c r="CF111" s="12"/>
      <c r="CG111" s="66" t="str">
        <f t="shared" si="122"/>
        <v>Stand Firm</v>
      </c>
      <c r="CH111" s="66" t="str">
        <f t="shared" si="123"/>
        <v>Stand Firm</v>
      </c>
      <c r="CI111" s="68" t="str">
        <f t="shared" si="124"/>
        <v/>
      </c>
      <c r="CJ111" s="68" t="str">
        <f t="shared" si="125"/>
        <v/>
      </c>
      <c r="CK111" s="68" t="str">
        <f t="shared" si="126"/>
        <v/>
      </c>
      <c r="CL111" s="68" t="str">
        <f t="shared" si="127"/>
        <v/>
      </c>
      <c r="CM111" s="68" t="str">
        <f t="shared" si="128"/>
        <v/>
      </c>
      <c r="CN111" s="68" t="str">
        <f t="shared" si="129"/>
        <v/>
      </c>
      <c r="CO111" s="68" t="str">
        <f t="shared" si="130"/>
        <v>Stand Firm</v>
      </c>
      <c r="CP111" s="68" t="str">
        <f t="shared" si="131"/>
        <v>Stand Firm</v>
      </c>
      <c r="CQ111" s="68" t="str">
        <f t="shared" si="132"/>
        <v/>
      </c>
      <c r="CR111" s="68" t="str">
        <f t="shared" si="133"/>
        <v/>
      </c>
      <c r="CS111" s="68" t="str">
        <f t="shared" si="134"/>
        <v/>
      </c>
      <c r="CT111" s="68" t="str">
        <f t="shared" si="135"/>
        <v/>
      </c>
      <c r="CU111" s="68" t="str">
        <f t="shared" si="136"/>
        <v/>
      </c>
      <c r="CV111" s="68" t="str">
        <f t="shared" si="137"/>
        <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226</v>
      </c>
      <c r="BU112" s="75" t="str">
        <f>IF($J$25="Español","Presencia Perturbadora",(IF($J$25="Deutsch","Zwei Köpfe",(IF($J$25="Français","Tentacule","Two Heads")))))</f>
        <v>Two Heads</v>
      </c>
      <c r="BV112" s="12" t="s">
        <v>228</v>
      </c>
      <c r="BW112" s="12" t="str">
        <f>IF($J$25="Español","Mantenerse Firme",(IF($J$25="Deutsch","Robust",(IF($J$25="Français","Projection","Strong Arm")))))</f>
        <v>Strong Arm</v>
      </c>
      <c r="BX112" s="12" t="s">
        <v>226</v>
      </c>
      <c r="BY112" s="12" t="str">
        <f t="shared" ref="BY112:BZ112" si="191">""</f>
        <v/>
      </c>
      <c r="BZ112" s="12" t="str">
        <f t="shared" si="191"/>
        <v/>
      </c>
      <c r="CA112" s="12"/>
      <c r="CB112" s="12" t="str">
        <f>IF($J$25="Español","Placaje Múltiple",(IF($J$25="Deutsch","Unterstützen",(IF($J$25="Français","Stabilité","Thick Skull")))))</f>
        <v>Thick Skull</v>
      </c>
      <c r="CC112" s="12" t="s">
        <v>226</v>
      </c>
      <c r="CD112" s="2"/>
      <c r="CE112" s="7"/>
      <c r="CF112" s="12"/>
      <c r="CG112" s="66" t="str">
        <f t="shared" si="122"/>
        <v>Strong Arm</v>
      </c>
      <c r="CH112" s="66" t="str">
        <f t="shared" si="123"/>
        <v>Strong Arm</v>
      </c>
      <c r="CI112" s="68" t="str">
        <f t="shared" si="124"/>
        <v/>
      </c>
      <c r="CJ112" s="68" t="str">
        <f t="shared" si="125"/>
        <v/>
      </c>
      <c r="CK112" s="68" t="str">
        <f t="shared" si="126"/>
        <v/>
      </c>
      <c r="CL112" s="68" t="str">
        <f t="shared" si="127"/>
        <v/>
      </c>
      <c r="CM112" s="68" t="str">
        <f t="shared" si="128"/>
        <v/>
      </c>
      <c r="CN112" s="68" t="str">
        <f t="shared" si="129"/>
        <v/>
      </c>
      <c r="CO112" s="68" t="str">
        <f t="shared" si="130"/>
        <v>Strong Arm</v>
      </c>
      <c r="CP112" s="68" t="str">
        <f t="shared" si="131"/>
        <v>Strong Arm</v>
      </c>
      <c r="CQ112" s="68" t="str">
        <f t="shared" si="132"/>
        <v/>
      </c>
      <c r="CR112" s="68" t="str">
        <f t="shared" si="133"/>
        <v/>
      </c>
      <c r="CS112" s="68" t="str">
        <f t="shared" si="134"/>
        <v/>
      </c>
      <c r="CT112" s="68" t="str">
        <f t="shared" si="135"/>
        <v/>
      </c>
      <c r="CU112" s="68" t="str">
        <f t="shared" si="136"/>
        <v/>
      </c>
      <c r="CV112" s="68" t="str">
        <f t="shared" si="137"/>
        <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226</v>
      </c>
      <c r="BU113" s="75" t="str">
        <f>IF($J$25="Español","Tentáculos",(IF($J$25="Deutsch","Zusätzliche Arme",(IF($J$25="Français","Très longues jambes","Very Long Legs")))))</f>
        <v>Very Long Legs</v>
      </c>
      <c r="BV113" s="12" t="s">
        <v>228</v>
      </c>
      <c r="BW113" s="12" t="str">
        <f>IF($J$25="Español","Placaje Múltiple",(IF($J$25="Deutsch","Unterstützen",(IF($J$25="Français","Stabilité","Thick Skull")))))</f>
        <v>Thick Skull</v>
      </c>
      <c r="BX113" s="12" t="s">
        <v>226</v>
      </c>
      <c r="BY113" s="12" t="str">
        <f t="shared" ref="BY113:BZ113" si="192">""</f>
        <v/>
      </c>
      <c r="BZ113" s="12" t="str">
        <f t="shared" si="192"/>
        <v/>
      </c>
      <c r="CA113" s="12"/>
      <c r="CB113" s="75" t="str">
        <f>IF($J$25="Español","Apariencia Asquerosa",(IF($J$25="Deutsch","Abstoßendes Aussehen",(IF($J$25="Français","Bras supplémentaire","Big Hand")))))</f>
        <v>Big Hand</v>
      </c>
      <c r="CC113" s="12" t="s">
        <v>228</v>
      </c>
      <c r="CD113" s="2"/>
      <c r="CE113" s="7"/>
      <c r="CF113" s="12"/>
      <c r="CG113" s="66" t="str">
        <f t="shared" si="122"/>
        <v>Thick Skull</v>
      </c>
      <c r="CH113" s="66" t="str">
        <f t="shared" si="123"/>
        <v>Thick Skull</v>
      </c>
      <c r="CI113" s="68" t="str">
        <f t="shared" si="124"/>
        <v/>
      </c>
      <c r="CJ113" s="68" t="str">
        <f t="shared" si="125"/>
        <v/>
      </c>
      <c r="CK113" s="68" t="str">
        <f t="shared" si="126"/>
        <v/>
      </c>
      <c r="CL113" s="68" t="str">
        <f t="shared" si="127"/>
        <v/>
      </c>
      <c r="CM113" s="68" t="str">
        <f t="shared" si="128"/>
        <v/>
      </c>
      <c r="CN113" s="68" t="str">
        <f t="shared" si="129"/>
        <v/>
      </c>
      <c r="CO113" s="68" t="str">
        <f t="shared" si="130"/>
        <v>Thick Skull</v>
      </c>
      <c r="CP113" s="68" t="str">
        <f t="shared" si="131"/>
        <v>Thick Skull</v>
      </c>
      <c r="CQ113" s="68" t="str">
        <f t="shared" si="132"/>
        <v/>
      </c>
      <c r="CR113" s="68" t="str">
        <f t="shared" si="133"/>
        <v/>
      </c>
      <c r="CS113" s="68" t="str">
        <f t="shared" si="134"/>
        <v/>
      </c>
      <c r="CT113" s="68" t="str">
        <f t="shared" si="135"/>
        <v/>
      </c>
      <c r="CU113" s="68" t="str">
        <f t="shared" si="136"/>
        <v/>
      </c>
      <c r="CV113" s="68" t="str">
        <f t="shared" si="137"/>
        <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5" t="str">
        <f>IF($J$25="Español","Apariencia Asquerosa",(IF($J$25="Deutsch","Abstoßendes Aussehen",(IF($J$25="Français","Bras supplémentaire","Big Hand")))))</f>
        <v>Big Hand</v>
      </c>
      <c r="BT114" s="12" t="s">
        <v>228</v>
      </c>
      <c r="BU114" s="12" t="str">
        <f t="shared" ref="BU114:BZ114" si="193">""</f>
        <v/>
      </c>
      <c r="BV114" s="12" t="str">
        <f t="shared" si="193"/>
        <v/>
      </c>
      <c r="BW114" s="12" t="str">
        <f t="shared" si="193"/>
        <v/>
      </c>
      <c r="BX114" s="12" t="str">
        <f t="shared" si="193"/>
        <v/>
      </c>
      <c r="BY114" s="12" t="str">
        <f t="shared" si="193"/>
        <v/>
      </c>
      <c r="BZ114" s="12" t="str">
        <f t="shared" si="193"/>
        <v/>
      </c>
      <c r="CA114" s="12"/>
      <c r="CB114" s="75" t="str">
        <f>IF($J$25="Español","Boca Monstruosa",(IF($J$25="Deutsch","Eisenharte Haut",(IF($J$25="Français","Cornes","Claw / Claws")))))</f>
        <v>Claw / Claws</v>
      </c>
      <c r="CC114" s="12" t="s">
        <v>228</v>
      </c>
      <c r="CD114" s="2"/>
      <c r="CE114" s="7"/>
      <c r="CF114" s="12"/>
      <c r="CG114" s="66" t="str">
        <f t="shared" si="122"/>
        <v/>
      </c>
      <c r="CH114" s="66" t="str">
        <f t="shared" si="123"/>
        <v/>
      </c>
      <c r="CI114" s="68" t="str">
        <f t="shared" si="124"/>
        <v/>
      </c>
      <c r="CJ114" s="68" t="str">
        <f t="shared" si="125"/>
        <v/>
      </c>
      <c r="CK114" s="68" t="str">
        <f t="shared" si="126"/>
        <v/>
      </c>
      <c r="CL114" s="68" t="str">
        <f t="shared" si="127"/>
        <v/>
      </c>
      <c r="CM114" s="68" t="str">
        <f t="shared" si="128"/>
        <v/>
      </c>
      <c r="CN114" s="68" t="str">
        <f t="shared" si="129"/>
        <v/>
      </c>
      <c r="CO114" s="68" t="str">
        <f t="shared" si="130"/>
        <v/>
      </c>
      <c r="CP114" s="68" t="str">
        <f t="shared" si="131"/>
        <v/>
      </c>
      <c r="CQ114" s="68" t="str">
        <f t="shared" si="132"/>
        <v/>
      </c>
      <c r="CR114" s="68" t="str">
        <f t="shared" si="133"/>
        <v/>
      </c>
      <c r="CS114" s="68" t="str">
        <f t="shared" si="134"/>
        <v/>
      </c>
      <c r="CT114" s="68" t="str">
        <f t="shared" si="135"/>
        <v/>
      </c>
      <c r="CU114" s="68" t="str">
        <f t="shared" si="136"/>
        <v/>
      </c>
      <c r="CV114" s="68" t="str">
        <f t="shared" si="137"/>
        <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5" t="str">
        <f>IF($J$25="Español","Boca Monstruosa",(IF($J$25="Deutsch","Eisenharte Haut",(IF($J$25="Français","Cornes","Claw / Claws")))))</f>
        <v>Claw / Claws</v>
      </c>
      <c r="BT115" s="12" t="s">
        <v>228</v>
      </c>
      <c r="BU115" s="12" t="str">
        <f t="shared" ref="BU115:BZ115" si="194">""</f>
        <v/>
      </c>
      <c r="BV115" s="12" t="str">
        <f t="shared" si="194"/>
        <v/>
      </c>
      <c r="BW115" s="12" t="str">
        <f t="shared" si="194"/>
        <v/>
      </c>
      <c r="BX115" s="12" t="str">
        <f t="shared" si="194"/>
        <v/>
      </c>
      <c r="BY115" s="12" t="str">
        <f t="shared" si="194"/>
        <v/>
      </c>
      <c r="BZ115" s="12" t="str">
        <f t="shared" si="194"/>
        <v/>
      </c>
      <c r="CA115" s="12"/>
      <c r="CB115" s="75" t="str">
        <f>IF($J$25="Español","Brazos Adicionales",(IF($J$25="Deutsch","Große Hand",(IF($J$25="Français","Deux tête","Disturbing Presence")))))</f>
        <v>Disturbing Presence</v>
      </c>
      <c r="CC115" s="12" t="s">
        <v>228</v>
      </c>
      <c r="CD115" s="2"/>
      <c r="CE115" s="7"/>
      <c r="CF115" s="12"/>
      <c r="CG115" s="66" t="str">
        <f t="shared" si="122"/>
        <v/>
      </c>
      <c r="CH115" s="66" t="str">
        <f t="shared" si="123"/>
        <v/>
      </c>
      <c r="CI115" s="68" t="str">
        <f t="shared" si="124"/>
        <v/>
      </c>
      <c r="CJ115" s="68" t="str">
        <f t="shared" si="125"/>
        <v/>
      </c>
      <c r="CK115" s="68" t="str">
        <f t="shared" si="126"/>
        <v/>
      </c>
      <c r="CL115" s="68" t="str">
        <f t="shared" si="127"/>
        <v/>
      </c>
      <c r="CM115" s="68" t="str">
        <f t="shared" si="128"/>
        <v/>
      </c>
      <c r="CN115" s="68" t="str">
        <f t="shared" si="129"/>
        <v/>
      </c>
      <c r="CO115" s="68" t="str">
        <f t="shared" si="130"/>
        <v/>
      </c>
      <c r="CP115" s="68" t="str">
        <f t="shared" si="131"/>
        <v/>
      </c>
      <c r="CQ115" s="68" t="str">
        <f t="shared" si="132"/>
        <v/>
      </c>
      <c r="CR115" s="68" t="str">
        <f t="shared" si="133"/>
        <v/>
      </c>
      <c r="CS115" s="68" t="str">
        <f t="shared" si="134"/>
        <v/>
      </c>
      <c r="CT115" s="68" t="str">
        <f t="shared" si="135"/>
        <v/>
      </c>
      <c r="CU115" s="68" t="str">
        <f t="shared" si="136"/>
        <v/>
      </c>
      <c r="CV115" s="68" t="str">
        <f t="shared" si="137"/>
        <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5" t="str">
        <f>IF($J$25="Español","Brazos Adicionales",(IF($J$25="Deutsch","Große Hand",(IF($J$25="Français","Deux tête","Disturbing Presence")))))</f>
        <v>Disturbing Presence</v>
      </c>
      <c r="BT116" s="12" t="s">
        <v>228</v>
      </c>
      <c r="BU116" s="12" t="str">
        <f t="shared" ref="BU116:BZ116" si="195">""</f>
        <v/>
      </c>
      <c r="BV116" s="12" t="str">
        <f t="shared" si="195"/>
        <v/>
      </c>
      <c r="BW116" s="12" t="str">
        <f t="shared" si="195"/>
        <v/>
      </c>
      <c r="BX116" s="12" t="str">
        <f t="shared" si="195"/>
        <v/>
      </c>
      <c r="BY116" s="12" t="str">
        <f t="shared" si="195"/>
        <v/>
      </c>
      <c r="BZ116" s="12" t="str">
        <f t="shared" si="195"/>
        <v/>
      </c>
      <c r="CA116" s="12"/>
      <c r="CB116" s="75" t="str">
        <f>IF($J$25="Español","Cola Prensil",(IF($J$25="Deutsch","Hörner",(IF($J$25="Français","Grande gueule","Extra Arms")))))</f>
        <v>Extra Arms</v>
      </c>
      <c r="CC116" s="12" t="s">
        <v>228</v>
      </c>
      <c r="CD116" s="2"/>
      <c r="CE116" s="7"/>
      <c r="CF116" s="12"/>
      <c r="CG116" s="66" t="str">
        <f t="shared" si="122"/>
        <v/>
      </c>
      <c r="CH116" s="66" t="str">
        <f t="shared" si="123"/>
        <v/>
      </c>
      <c r="CI116" s="68" t="str">
        <f t="shared" si="124"/>
        <v/>
      </c>
      <c r="CJ116" s="68" t="str">
        <f t="shared" si="125"/>
        <v/>
      </c>
      <c r="CK116" s="68" t="str">
        <f t="shared" si="126"/>
        <v/>
      </c>
      <c r="CL116" s="68" t="str">
        <f t="shared" si="127"/>
        <v/>
      </c>
      <c r="CM116" s="68" t="str">
        <f t="shared" si="128"/>
        <v/>
      </c>
      <c r="CN116" s="68" t="str">
        <f t="shared" si="129"/>
        <v/>
      </c>
      <c r="CO116" s="68" t="str">
        <f t="shared" si="130"/>
        <v/>
      </c>
      <c r="CP116" s="68" t="str">
        <f t="shared" si="131"/>
        <v/>
      </c>
      <c r="CQ116" s="68" t="str">
        <f t="shared" si="132"/>
        <v/>
      </c>
      <c r="CR116" s="68" t="str">
        <f t="shared" si="133"/>
        <v/>
      </c>
      <c r="CS116" s="68" t="str">
        <f t="shared" si="134"/>
        <v/>
      </c>
      <c r="CT116" s="68" t="str">
        <f t="shared" si="135"/>
        <v/>
      </c>
      <c r="CU116" s="68" t="str">
        <f t="shared" si="136"/>
        <v/>
      </c>
      <c r="CV116" s="68" t="str">
        <f t="shared" si="137"/>
        <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5" t="str">
        <f>IF($J$25="Español","Cola Prensil",(IF($J$25="Deutsch","Hörner",(IF($J$25="Français","Grande gueule","Extra Arms")))))</f>
        <v>Extra Arms</v>
      </c>
      <c r="BT117" s="12" t="s">
        <v>228</v>
      </c>
      <c r="BU117" s="12" t="str">
        <f t="shared" ref="BU117:BZ117" si="196">""</f>
        <v/>
      </c>
      <c r="BV117" s="12" t="str">
        <f t="shared" si="196"/>
        <v/>
      </c>
      <c r="BW117" s="12" t="str">
        <f t="shared" si="196"/>
        <v/>
      </c>
      <c r="BX117" s="12" t="str">
        <f t="shared" si="196"/>
        <v/>
      </c>
      <c r="BY117" s="12" t="str">
        <f t="shared" si="196"/>
        <v/>
      </c>
      <c r="BZ117" s="12" t="str">
        <f t="shared" si="196"/>
        <v/>
      </c>
      <c r="CA117" s="12"/>
      <c r="CB117" s="75" t="str">
        <f>IF($J$25="Español","Cuernos",(IF($J$25="Deutsch","Klammerschwanz",(IF($J$25="Français","Griffes","Foul Appearance")))))</f>
        <v>Foul Appearance</v>
      </c>
      <c r="CC117" s="12" t="s">
        <v>228</v>
      </c>
      <c r="CD117" s="2"/>
      <c r="CE117" s="7"/>
      <c r="CF117" s="12"/>
      <c r="CG117" s="66" t="str">
        <f t="shared" si="122"/>
        <v/>
      </c>
      <c r="CH117" s="66" t="str">
        <f t="shared" si="123"/>
        <v/>
      </c>
      <c r="CI117" s="68" t="str">
        <f t="shared" si="124"/>
        <v/>
      </c>
      <c r="CJ117" s="68" t="str">
        <f t="shared" si="125"/>
        <v/>
      </c>
      <c r="CK117" s="68" t="str">
        <f t="shared" si="126"/>
        <v/>
      </c>
      <c r="CL117" s="68" t="str">
        <f t="shared" si="127"/>
        <v/>
      </c>
      <c r="CM117" s="68" t="str">
        <f t="shared" si="128"/>
        <v/>
      </c>
      <c r="CN117" s="68" t="str">
        <f t="shared" si="129"/>
        <v/>
      </c>
      <c r="CO117" s="68" t="str">
        <f t="shared" si="130"/>
        <v/>
      </c>
      <c r="CP117" s="68" t="str">
        <f t="shared" si="131"/>
        <v/>
      </c>
      <c r="CQ117" s="68" t="str">
        <f t="shared" si="132"/>
        <v/>
      </c>
      <c r="CR117" s="68" t="str">
        <f t="shared" si="133"/>
        <v/>
      </c>
      <c r="CS117" s="68" t="str">
        <f t="shared" si="134"/>
        <v/>
      </c>
      <c r="CT117" s="68" t="str">
        <f t="shared" si="135"/>
        <v/>
      </c>
      <c r="CU117" s="68" t="str">
        <f t="shared" si="136"/>
        <v/>
      </c>
      <c r="CV117" s="68" t="str">
        <f t="shared" si="137"/>
        <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5" t="str">
        <f>IF($J$25="Español","Cuernos",(IF($J$25="Deutsch","Klammerschwanz",(IF($J$25="Français","Griffes","Foul Appearance")))))</f>
        <v>Foul Appearance</v>
      </c>
      <c r="BT118" s="12" t="s">
        <v>228</v>
      </c>
      <c r="BU118" s="12" t="str">
        <f t="shared" ref="BU118:BZ118" si="197">""</f>
        <v/>
      </c>
      <c r="BV118" s="12" t="str">
        <f t="shared" si="197"/>
        <v/>
      </c>
      <c r="BW118" s="12" t="str">
        <f t="shared" si="197"/>
        <v/>
      </c>
      <c r="BX118" s="12" t="str">
        <f t="shared" si="197"/>
        <v/>
      </c>
      <c r="BY118" s="12" t="str">
        <f t="shared" si="197"/>
        <v/>
      </c>
      <c r="BZ118" s="12" t="str">
        <f t="shared" si="197"/>
        <v/>
      </c>
      <c r="CA118" s="12"/>
      <c r="CB118" s="75" t="str">
        <f>IF($J$25="Español","Dos Cabezas",(IF($J$25="Deutsch","Klauen",(IF($J$25="Français","Main démesurée","Horns")))))</f>
        <v>Horns</v>
      </c>
      <c r="CC118" s="12" t="s">
        <v>228</v>
      </c>
      <c r="CD118" s="2"/>
      <c r="CE118" s="7"/>
      <c r="CF118" s="12"/>
      <c r="CG118" s="66" t="str">
        <f t="shared" si="122"/>
        <v/>
      </c>
      <c r="CH118" s="66" t="str">
        <f t="shared" si="123"/>
        <v/>
      </c>
      <c r="CI118" s="68" t="str">
        <f t="shared" si="124"/>
        <v/>
      </c>
      <c r="CJ118" s="68" t="str">
        <f t="shared" si="125"/>
        <v/>
      </c>
      <c r="CK118" s="68" t="str">
        <f t="shared" si="126"/>
        <v/>
      </c>
      <c r="CL118" s="68" t="str">
        <f t="shared" si="127"/>
        <v/>
      </c>
      <c r="CM118" s="68" t="str">
        <f t="shared" si="128"/>
        <v/>
      </c>
      <c r="CN118" s="68" t="str">
        <f t="shared" si="129"/>
        <v/>
      </c>
      <c r="CO118" s="68" t="str">
        <f t="shared" si="130"/>
        <v/>
      </c>
      <c r="CP118" s="68" t="str">
        <f t="shared" si="131"/>
        <v/>
      </c>
      <c r="CQ118" s="68" t="str">
        <f t="shared" si="132"/>
        <v/>
      </c>
      <c r="CR118" s="68" t="str">
        <f t="shared" si="133"/>
        <v/>
      </c>
      <c r="CS118" s="68" t="str">
        <f t="shared" si="134"/>
        <v/>
      </c>
      <c r="CT118" s="68" t="str">
        <f t="shared" si="135"/>
        <v/>
      </c>
      <c r="CU118" s="68" t="str">
        <f t="shared" si="136"/>
        <v/>
      </c>
      <c r="CV118" s="68" t="str">
        <f t="shared" si="137"/>
        <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5" t="str">
        <f>IF($J$25="Español","Dos Cabezas",(IF($J$25="Deutsch","Klauen",(IF($J$25="Français","Main démesurée","Horns")))))</f>
        <v>Horns</v>
      </c>
      <c r="BT119" s="12" t="s">
        <v>228</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228</v>
      </c>
      <c r="CD119" s="2"/>
      <c r="CE119" s="7"/>
      <c r="CF119" s="12"/>
      <c r="CG119" s="66" t="str">
        <f t="shared" si="122"/>
        <v/>
      </c>
      <c r="CH119" s="66" t="str">
        <f t="shared" si="123"/>
        <v/>
      </c>
      <c r="CI119" s="68" t="str">
        <f t="shared" si="124"/>
        <v/>
      </c>
      <c r="CJ119" s="68" t="str">
        <f t="shared" si="125"/>
        <v/>
      </c>
      <c r="CK119" s="68" t="str">
        <f t="shared" si="126"/>
        <v/>
      </c>
      <c r="CL119" s="68" t="str">
        <f t="shared" si="127"/>
        <v/>
      </c>
      <c r="CM119" s="68" t="str">
        <f t="shared" si="128"/>
        <v/>
      </c>
      <c r="CN119" s="68" t="str">
        <f t="shared" si="129"/>
        <v/>
      </c>
      <c r="CO119" s="68" t="str">
        <f t="shared" si="130"/>
        <v/>
      </c>
      <c r="CP119" s="68" t="str">
        <f t="shared" si="131"/>
        <v/>
      </c>
      <c r="CQ119" s="68" t="str">
        <f t="shared" si="132"/>
        <v/>
      </c>
      <c r="CR119" s="68" t="str">
        <f t="shared" si="133"/>
        <v/>
      </c>
      <c r="CS119" s="68" t="str">
        <f t="shared" si="134"/>
        <v/>
      </c>
      <c r="CT119" s="68" t="str">
        <f t="shared" si="135"/>
        <v/>
      </c>
      <c r="CU119" s="68" t="str">
        <f t="shared" si="136"/>
        <v/>
      </c>
      <c r="CV119" s="68" t="str">
        <f t="shared" si="137"/>
        <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228</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228</v>
      </c>
      <c r="CD120" s="2"/>
      <c r="CE120" s="7"/>
      <c r="CF120" s="12"/>
      <c r="CG120" s="66" t="str">
        <f t="shared" si="122"/>
        <v/>
      </c>
      <c r="CH120" s="66" t="str">
        <f t="shared" si="123"/>
        <v/>
      </c>
      <c r="CI120" s="68" t="str">
        <f t="shared" si="124"/>
        <v/>
      </c>
      <c r="CJ120" s="68" t="str">
        <f t="shared" si="125"/>
        <v/>
      </c>
      <c r="CK120" s="68" t="str">
        <f t="shared" si="126"/>
        <v/>
      </c>
      <c r="CL120" s="68" t="str">
        <f t="shared" si="127"/>
        <v/>
      </c>
      <c r="CM120" s="68" t="str">
        <f t="shared" si="128"/>
        <v/>
      </c>
      <c r="CN120" s="68" t="str">
        <f t="shared" si="129"/>
        <v/>
      </c>
      <c r="CO120" s="68" t="str">
        <f t="shared" si="130"/>
        <v/>
      </c>
      <c r="CP120" s="68" t="str">
        <f t="shared" si="131"/>
        <v/>
      </c>
      <c r="CQ120" s="68" t="str">
        <f t="shared" si="132"/>
        <v/>
      </c>
      <c r="CR120" s="68" t="str">
        <f t="shared" si="133"/>
        <v/>
      </c>
      <c r="CS120" s="68" t="str">
        <f t="shared" si="134"/>
        <v/>
      </c>
      <c r="CT120" s="68" t="str">
        <f t="shared" si="135"/>
        <v/>
      </c>
      <c r="CU120" s="68" t="str">
        <f t="shared" si="136"/>
        <v/>
      </c>
      <c r="CV120" s="68" t="str">
        <f t="shared" si="137"/>
        <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228</v>
      </c>
      <c r="BU121" s="12" t="str">
        <f t="shared" ref="BU121:BZ121" si="200">""</f>
        <v/>
      </c>
      <c r="BV121" s="12" t="str">
        <f t="shared" si="200"/>
        <v/>
      </c>
      <c r="BW121" s="12" t="str">
        <f t="shared" si="200"/>
        <v/>
      </c>
      <c r="BX121" s="12" t="str">
        <f t="shared" si="200"/>
        <v/>
      </c>
      <c r="BY121" s="12" t="str">
        <f t="shared" si="200"/>
        <v/>
      </c>
      <c r="BZ121" s="12" t="str">
        <f t="shared" si="200"/>
        <v/>
      </c>
      <c r="CA121" s="12"/>
      <c r="CB121" s="75" t="str">
        <f>IF($J$25="Español","Piel Ferrea",(IF($J$25="Deutsch","Tentakel",(IF($J$25="Français","Présence perturbante","Prehensile Tail")))))</f>
        <v>Prehensile Tail</v>
      </c>
      <c r="CC121" s="12" t="s">
        <v>228</v>
      </c>
      <c r="CD121" s="2"/>
      <c r="CE121" s="7"/>
      <c r="CF121" s="12"/>
      <c r="CG121" s="66" t="str">
        <f t="shared" si="122"/>
        <v/>
      </c>
      <c r="CH121" s="66" t="str">
        <f t="shared" si="123"/>
        <v/>
      </c>
      <c r="CI121" s="68" t="str">
        <f t="shared" si="124"/>
        <v/>
      </c>
      <c r="CJ121" s="68" t="str">
        <f t="shared" si="125"/>
        <v/>
      </c>
      <c r="CK121" s="68" t="str">
        <f t="shared" si="126"/>
        <v/>
      </c>
      <c r="CL121" s="68" t="str">
        <f t="shared" si="127"/>
        <v/>
      </c>
      <c r="CM121" s="68" t="str">
        <f t="shared" si="128"/>
        <v/>
      </c>
      <c r="CN121" s="68" t="str">
        <f t="shared" si="129"/>
        <v/>
      </c>
      <c r="CO121" s="68" t="str">
        <f t="shared" si="130"/>
        <v/>
      </c>
      <c r="CP121" s="68" t="str">
        <f t="shared" si="131"/>
        <v/>
      </c>
      <c r="CQ121" s="68" t="str">
        <f t="shared" si="132"/>
        <v/>
      </c>
      <c r="CR121" s="68" t="str">
        <f t="shared" si="133"/>
        <v/>
      </c>
      <c r="CS121" s="68" t="str">
        <f t="shared" si="134"/>
        <v/>
      </c>
      <c r="CT121" s="68" t="str">
        <f t="shared" si="135"/>
        <v/>
      </c>
      <c r="CU121" s="68" t="str">
        <f t="shared" si="136"/>
        <v/>
      </c>
      <c r="CV121" s="68" t="str">
        <f t="shared" si="137"/>
        <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5" t="str">
        <f>IF($J$25="Español","Piel Ferrea",(IF($J$25="Deutsch","Tentakel",(IF($J$25="Français","Présence perturbante","Prehensile Tail")))))</f>
        <v>Prehensile Tail</v>
      </c>
      <c r="BT122" s="12" t="s">
        <v>228</v>
      </c>
      <c r="BU122" s="12" t="str">
        <f t="shared" ref="BU122:BZ122" si="201">""</f>
        <v/>
      </c>
      <c r="BV122" s="12" t="str">
        <f t="shared" si="201"/>
        <v/>
      </c>
      <c r="BW122" s="12" t="str">
        <f t="shared" si="201"/>
        <v/>
      </c>
      <c r="BX122" s="12" t="str">
        <f t="shared" si="201"/>
        <v/>
      </c>
      <c r="BY122" s="12" t="str">
        <f t="shared" si="201"/>
        <v/>
      </c>
      <c r="BZ122" s="12" t="str">
        <f t="shared" si="201"/>
        <v/>
      </c>
      <c r="CA122" s="12"/>
      <c r="CB122" s="75" t="str">
        <f>IF($J$25="Español","Piernas muy Largas",(IF($J$25="Deutsch","Verstörende Präsenz",(IF($J$25="Français","Répulsion","Tentacles")))))</f>
        <v>Tentacles</v>
      </c>
      <c r="CC122" s="12" t="s">
        <v>228</v>
      </c>
      <c r="CD122" s="2"/>
      <c r="CE122" s="7"/>
      <c r="CF122" s="12"/>
      <c r="CG122" s="66" t="str">
        <f t="shared" si="122"/>
        <v/>
      </c>
      <c r="CH122" s="66" t="str">
        <f t="shared" si="123"/>
        <v/>
      </c>
      <c r="CI122" s="68" t="str">
        <f t="shared" si="124"/>
        <v/>
      </c>
      <c r="CJ122" s="68" t="str">
        <f t="shared" si="125"/>
        <v/>
      </c>
      <c r="CK122" s="68" t="str">
        <f t="shared" si="126"/>
        <v/>
      </c>
      <c r="CL122" s="68" t="str">
        <f t="shared" si="127"/>
        <v/>
      </c>
      <c r="CM122" s="68" t="str">
        <f t="shared" si="128"/>
        <v/>
      </c>
      <c r="CN122" s="68" t="str">
        <f t="shared" si="129"/>
        <v/>
      </c>
      <c r="CO122" s="68" t="str">
        <f t="shared" si="130"/>
        <v/>
      </c>
      <c r="CP122" s="68" t="str">
        <f t="shared" si="131"/>
        <v/>
      </c>
      <c r="CQ122" s="68" t="str">
        <f t="shared" si="132"/>
        <v/>
      </c>
      <c r="CR122" s="68" t="str">
        <f t="shared" si="133"/>
        <v/>
      </c>
      <c r="CS122" s="68" t="str">
        <f t="shared" si="134"/>
        <v/>
      </c>
      <c r="CT122" s="68" t="str">
        <f t="shared" si="135"/>
        <v/>
      </c>
      <c r="CU122" s="68" t="str">
        <f t="shared" si="136"/>
        <v/>
      </c>
      <c r="CV122" s="68" t="str">
        <f t="shared" si="137"/>
        <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5" t="str">
        <f>IF($J$25="Español","Piernas muy Largas",(IF($J$25="Deutsch","Verstörende Präsenz",(IF($J$25="Français","Répulsion","Tentacles")))))</f>
        <v>Tentacles</v>
      </c>
      <c r="BT123" s="12" t="s">
        <v>228</v>
      </c>
      <c r="BU123" s="12" t="str">
        <f t="shared" ref="BU123:BZ123" si="202">""</f>
        <v/>
      </c>
      <c r="BV123" s="12" t="str">
        <f t="shared" si="202"/>
        <v/>
      </c>
      <c r="BW123" s="12" t="str">
        <f t="shared" si="202"/>
        <v/>
      </c>
      <c r="BX123" s="12" t="str">
        <f t="shared" si="202"/>
        <v/>
      </c>
      <c r="BY123" s="12" t="str">
        <f t="shared" si="202"/>
        <v/>
      </c>
      <c r="BZ123" s="12" t="str">
        <f t="shared" si="202"/>
        <v/>
      </c>
      <c r="CA123" s="12"/>
      <c r="CB123" s="75" t="str">
        <f>IF($J$25="Español","Presencia Perturbadora",(IF($J$25="Deutsch","Zwei Köpfe",(IF($J$25="Français","Tentacule","Two Heads")))))</f>
        <v>Two Heads</v>
      </c>
      <c r="CC123" s="12" t="s">
        <v>228</v>
      </c>
      <c r="CD123" s="2"/>
      <c r="CE123" s="7"/>
      <c r="CF123" s="12"/>
      <c r="CG123" s="66" t="str">
        <f t="shared" si="122"/>
        <v/>
      </c>
      <c r="CH123" s="66" t="str">
        <f t="shared" si="123"/>
        <v/>
      </c>
      <c r="CI123" s="68" t="str">
        <f t="shared" si="124"/>
        <v/>
      </c>
      <c r="CJ123" s="68" t="str">
        <f t="shared" si="125"/>
        <v/>
      </c>
      <c r="CK123" s="68" t="str">
        <f t="shared" si="126"/>
        <v/>
      </c>
      <c r="CL123" s="68" t="str">
        <f t="shared" si="127"/>
        <v/>
      </c>
      <c r="CM123" s="68" t="str">
        <f t="shared" si="128"/>
        <v/>
      </c>
      <c r="CN123" s="68" t="str">
        <f t="shared" si="129"/>
        <v/>
      </c>
      <c r="CO123" s="68" t="str">
        <f t="shared" si="130"/>
        <v/>
      </c>
      <c r="CP123" s="68" t="str">
        <f t="shared" si="131"/>
        <v/>
      </c>
      <c r="CQ123" s="68" t="str">
        <f t="shared" si="132"/>
        <v/>
      </c>
      <c r="CR123" s="68" t="str">
        <f t="shared" si="133"/>
        <v/>
      </c>
      <c r="CS123" s="68" t="str">
        <f t="shared" si="134"/>
        <v/>
      </c>
      <c r="CT123" s="68" t="str">
        <f t="shared" si="135"/>
        <v/>
      </c>
      <c r="CU123" s="68" t="str">
        <f t="shared" si="136"/>
        <v/>
      </c>
      <c r="CV123" s="68" t="str">
        <f t="shared" si="137"/>
        <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5" t="str">
        <f>IF($J$25="Español","Presencia Perturbadora",(IF($J$25="Deutsch","Zwei Köpfe",(IF($J$25="Français","Tentacule","Two Heads")))))</f>
        <v>Two Heads</v>
      </c>
      <c r="BT124" s="12" t="s">
        <v>228</v>
      </c>
      <c r="BU124" s="12" t="str">
        <f t="shared" ref="BU124:BZ124" si="203">""</f>
        <v/>
      </c>
      <c r="BV124" s="12" t="str">
        <f t="shared" si="203"/>
        <v/>
      </c>
      <c r="BW124" s="12" t="str">
        <f t="shared" si="203"/>
        <v/>
      </c>
      <c r="BX124" s="12" t="str">
        <f t="shared" si="203"/>
        <v/>
      </c>
      <c r="BY124" s="12" t="str">
        <f t="shared" si="203"/>
        <v/>
      </c>
      <c r="BZ124" s="12" t="str">
        <f t="shared" si="203"/>
        <v/>
      </c>
      <c r="CA124" s="12"/>
      <c r="CB124" s="75" t="str">
        <f>IF($J$25="Español","Tentáculos",(IF($J$25="Deutsch","Zusätzliche Arme",(IF($J$25="Français","Très longues jambes","Very Long Legs")))))</f>
        <v>Very Long Legs</v>
      </c>
      <c r="CC124" s="12" t="s">
        <v>228</v>
      </c>
      <c r="CD124" s="2"/>
      <c r="CE124" s="7"/>
      <c r="CF124" s="12"/>
      <c r="CG124" s="66" t="str">
        <f t="shared" si="122"/>
        <v/>
      </c>
      <c r="CH124" s="66" t="str">
        <f t="shared" si="123"/>
        <v/>
      </c>
      <c r="CI124" s="68" t="str">
        <f t="shared" si="124"/>
        <v/>
      </c>
      <c r="CJ124" s="68" t="str">
        <f t="shared" si="125"/>
        <v/>
      </c>
      <c r="CK124" s="68" t="str">
        <f t="shared" si="126"/>
        <v/>
      </c>
      <c r="CL124" s="68" t="str">
        <f t="shared" si="127"/>
        <v/>
      </c>
      <c r="CM124" s="68" t="str">
        <f t="shared" si="128"/>
        <v/>
      </c>
      <c r="CN124" s="68" t="str">
        <f t="shared" si="129"/>
        <v/>
      </c>
      <c r="CO124" s="68" t="str">
        <f t="shared" si="130"/>
        <v/>
      </c>
      <c r="CP124" s="68" t="str">
        <f t="shared" si="131"/>
        <v/>
      </c>
      <c r="CQ124" s="68" t="str">
        <f t="shared" si="132"/>
        <v/>
      </c>
      <c r="CR124" s="68" t="str">
        <f t="shared" si="133"/>
        <v/>
      </c>
      <c r="CS124" s="68" t="str">
        <f t="shared" si="134"/>
        <v/>
      </c>
      <c r="CT124" s="68" t="str">
        <f t="shared" si="135"/>
        <v/>
      </c>
      <c r="CU124" s="68" t="str">
        <f t="shared" si="136"/>
        <v/>
      </c>
      <c r="CV124" s="68" t="str">
        <f t="shared" si="137"/>
        <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5" t="str">
        <f>IF($J$25="Español","Tentáculos",(IF($J$25="Deutsch","Zusätzliche Arme",(IF($J$25="Français","Très longues jambes","Very Long Legs")))))</f>
        <v>Very Long Legs</v>
      </c>
      <c r="BT125" s="12" t="s">
        <v>228</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6" t="str">
        <f t="shared" si="122"/>
        <v/>
      </c>
      <c r="CH125" s="66" t="str">
        <f t="shared" si="123"/>
        <v/>
      </c>
      <c r="CI125" s="68" t="str">
        <f t="shared" si="124"/>
        <v/>
      </c>
      <c r="CJ125" s="68" t="str">
        <f t="shared" si="125"/>
        <v/>
      </c>
      <c r="CK125" s="68" t="str">
        <f t="shared" si="126"/>
        <v/>
      </c>
      <c r="CL125" s="68" t="str">
        <f t="shared" si="127"/>
        <v/>
      </c>
      <c r="CM125" s="68" t="str">
        <f t="shared" si="128"/>
        <v/>
      </c>
      <c r="CN125" s="68" t="str">
        <f t="shared" si="129"/>
        <v/>
      </c>
      <c r="CO125" s="68" t="str">
        <f t="shared" si="130"/>
        <v/>
      </c>
      <c r="CP125" s="68" t="str">
        <f t="shared" si="131"/>
        <v/>
      </c>
      <c r="CQ125" s="68" t="str">
        <f t="shared" si="132"/>
        <v/>
      </c>
      <c r="CR125" s="68" t="str">
        <f t="shared" si="133"/>
        <v/>
      </c>
      <c r="CS125" s="68" t="str">
        <f t="shared" si="134"/>
        <v/>
      </c>
      <c r="CT125" s="68" t="str">
        <f t="shared" si="135"/>
        <v/>
      </c>
      <c r="CU125" s="68" t="str">
        <f t="shared" si="136"/>
        <v/>
      </c>
      <c r="CV125" s="68" t="str">
        <f t="shared" si="137"/>
        <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7"/>
      <c r="CB126" s="11"/>
      <c r="CC126" s="11"/>
      <c r="CD126" s="12"/>
      <c r="CE126" s="12"/>
      <c r="CF126" s="12"/>
      <c r="CG126" s="66" t="str">
        <f t="shared" si="122"/>
        <v/>
      </c>
      <c r="CH126" s="66" t="str">
        <f t="shared" si="123"/>
        <v/>
      </c>
      <c r="CI126" s="68" t="str">
        <f t="shared" si="124"/>
        <v/>
      </c>
      <c r="CJ126" s="68" t="str">
        <f t="shared" si="125"/>
        <v/>
      </c>
      <c r="CK126" s="68" t="str">
        <f t="shared" si="126"/>
        <v/>
      </c>
      <c r="CL126" s="68" t="str">
        <f t="shared" si="127"/>
        <v/>
      </c>
      <c r="CM126" s="68" t="str">
        <f t="shared" si="128"/>
        <v/>
      </c>
      <c r="CN126" s="68" t="str">
        <f t="shared" si="129"/>
        <v/>
      </c>
      <c r="CO126" s="68" t="str">
        <f t="shared" si="130"/>
        <v/>
      </c>
      <c r="CP126" s="68" t="str">
        <f t="shared" si="131"/>
        <v/>
      </c>
      <c r="CQ126" s="68" t="str">
        <f t="shared" si="132"/>
        <v/>
      </c>
      <c r="CR126" s="68" t="str">
        <f t="shared" si="133"/>
        <v/>
      </c>
      <c r="CS126" s="68" t="str">
        <f t="shared" si="134"/>
        <v/>
      </c>
      <c r="CT126" s="68" t="str">
        <f t="shared" si="135"/>
        <v/>
      </c>
      <c r="CU126" s="68" t="str">
        <f t="shared" si="136"/>
        <v/>
      </c>
      <c r="CV126" s="12"/>
      <c r="CW126" s="12" t="str">
        <f t="shared" ref="CW126:CW143" si="206">IFERROR((IF($CO$57="M",BW126,IF($CO$57="PM",BY126,IF($CO$57="P",BU126,IF($CO$57="FULL",BS126))))),"")</f>
        <v/>
      </c>
      <c r="CX126" s="12"/>
      <c r="CY126" s="12" t="str">
        <f t="shared" ref="CY126:CY143" si="207">IFERROR((IF($CP$57="M",BW126,IF($CP$57="PM",BY126,IF($CP$57="P",BU126,IF($CP$57="FULL",BS126))))),"")</f>
        <v/>
      </c>
      <c r="CZ126" s="12"/>
      <c r="DA126" s="12" t="str">
        <f t="shared" ref="DA126:DA143" si="208">IFERROR((IF($CQ$57="M",BW126,IF($CQ$57="PM",BY126,IF($CQ$57="P",BU126,IF($CQ$57="FULL",BS126))))),"")</f>
        <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7"/>
      <c r="CB127" s="11"/>
      <c r="CC127" s="11"/>
      <c r="CD127" s="12"/>
      <c r="CE127" s="12"/>
      <c r="CF127" s="12"/>
      <c r="CG127" s="66" t="str">
        <f t="shared" si="122"/>
        <v/>
      </c>
      <c r="CH127" s="66" t="str">
        <f t="shared" si="123"/>
        <v/>
      </c>
      <c r="CI127" s="68" t="str">
        <f t="shared" si="124"/>
        <v/>
      </c>
      <c r="CJ127" s="68" t="str">
        <f t="shared" si="125"/>
        <v/>
      </c>
      <c r="CK127" s="68" t="str">
        <f t="shared" si="126"/>
        <v/>
      </c>
      <c r="CL127" s="68" t="str">
        <f t="shared" si="127"/>
        <v/>
      </c>
      <c r="CM127" s="68" t="str">
        <f t="shared" si="128"/>
        <v/>
      </c>
      <c r="CN127" s="68" t="str">
        <f t="shared" si="129"/>
        <v/>
      </c>
      <c r="CO127" s="68" t="str">
        <f t="shared" si="130"/>
        <v/>
      </c>
      <c r="CP127" s="68" t="str">
        <f t="shared" si="131"/>
        <v/>
      </c>
      <c r="CQ127" s="68" t="str">
        <f t="shared" si="132"/>
        <v/>
      </c>
      <c r="CR127" s="68" t="str">
        <f t="shared" si="133"/>
        <v/>
      </c>
      <c r="CS127" s="68" t="str">
        <f t="shared" si="134"/>
        <v/>
      </c>
      <c r="CT127" s="68" t="str">
        <f t="shared" si="135"/>
        <v/>
      </c>
      <c r="CU127" s="68" t="str">
        <f t="shared" si="136"/>
        <v/>
      </c>
      <c r="CV127" s="12"/>
      <c r="CW127" s="12" t="str">
        <f t="shared" si="206"/>
        <v/>
      </c>
      <c r="CX127" s="12"/>
      <c r="CY127" s="12" t="str">
        <f t="shared" si="207"/>
        <v/>
      </c>
      <c r="CZ127" s="12"/>
      <c r="DA127" s="12" t="str">
        <f t="shared" si="208"/>
        <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7"/>
      <c r="CB128" s="11"/>
      <c r="CC128" s="11"/>
      <c r="CD128" s="12"/>
      <c r="CE128" s="12"/>
      <c r="CF128" s="12"/>
      <c r="CG128" s="66" t="str">
        <f t="shared" si="122"/>
        <v/>
      </c>
      <c r="CH128" s="66" t="str">
        <f t="shared" si="123"/>
        <v/>
      </c>
      <c r="CI128" s="68" t="str">
        <f t="shared" si="124"/>
        <v/>
      </c>
      <c r="CJ128" s="68" t="str">
        <f t="shared" si="125"/>
        <v/>
      </c>
      <c r="CK128" s="68" t="str">
        <f t="shared" si="126"/>
        <v/>
      </c>
      <c r="CL128" s="68" t="str">
        <f t="shared" si="127"/>
        <v/>
      </c>
      <c r="CM128" s="68" t="str">
        <f t="shared" si="128"/>
        <v/>
      </c>
      <c r="CN128" s="68" t="str">
        <f t="shared" si="129"/>
        <v/>
      </c>
      <c r="CO128" s="68" t="str">
        <f t="shared" si="130"/>
        <v/>
      </c>
      <c r="CP128" s="68" t="str">
        <f t="shared" si="131"/>
        <v/>
      </c>
      <c r="CQ128" s="68" t="str">
        <f t="shared" si="132"/>
        <v/>
      </c>
      <c r="CR128" s="68" t="str">
        <f t="shared" si="133"/>
        <v/>
      </c>
      <c r="CS128" s="68" t="str">
        <f t="shared" si="134"/>
        <v/>
      </c>
      <c r="CT128" s="68" t="str">
        <f t="shared" si="135"/>
        <v/>
      </c>
      <c r="CU128" s="68" t="str">
        <f t="shared" si="136"/>
        <v/>
      </c>
      <c r="CV128" s="12"/>
      <c r="CW128" s="12" t="str">
        <f t="shared" si="206"/>
        <v/>
      </c>
      <c r="CX128" s="12"/>
      <c r="CY128" s="12" t="str">
        <f t="shared" si="207"/>
        <v/>
      </c>
      <c r="CZ128" s="12"/>
      <c r="DA128" s="12" t="str">
        <f t="shared" si="208"/>
        <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7"/>
      <c r="CB129" s="11"/>
      <c r="CC129" s="11"/>
      <c r="CD129" s="12"/>
      <c r="CE129" s="12"/>
      <c r="CF129" s="12"/>
      <c r="CG129" s="66" t="str">
        <f t="shared" si="122"/>
        <v/>
      </c>
      <c r="CH129" s="66" t="str">
        <f t="shared" si="123"/>
        <v/>
      </c>
      <c r="CI129" s="68" t="str">
        <f t="shared" si="124"/>
        <v/>
      </c>
      <c r="CJ129" s="68" t="str">
        <f t="shared" si="125"/>
        <v/>
      </c>
      <c r="CK129" s="68" t="str">
        <f t="shared" si="126"/>
        <v/>
      </c>
      <c r="CL129" s="68" t="str">
        <f t="shared" si="127"/>
        <v/>
      </c>
      <c r="CM129" s="68" t="str">
        <f t="shared" si="128"/>
        <v/>
      </c>
      <c r="CN129" s="68" t="str">
        <f t="shared" si="129"/>
        <v/>
      </c>
      <c r="CO129" s="68" t="str">
        <f t="shared" si="130"/>
        <v/>
      </c>
      <c r="CP129" s="68" t="str">
        <f t="shared" si="131"/>
        <v/>
      </c>
      <c r="CQ129" s="68" t="str">
        <f t="shared" si="132"/>
        <v/>
      </c>
      <c r="CR129" s="68" t="str">
        <f t="shared" si="133"/>
        <v/>
      </c>
      <c r="CS129" s="68" t="str">
        <f t="shared" si="134"/>
        <v/>
      </c>
      <c r="CT129" s="68" t="str">
        <f t="shared" si="135"/>
        <v/>
      </c>
      <c r="CU129" s="68" t="str">
        <f t="shared" si="136"/>
        <v/>
      </c>
      <c r="CV129" s="12"/>
      <c r="CW129" s="12" t="str">
        <f t="shared" si="206"/>
        <v/>
      </c>
      <c r="CX129" s="12"/>
      <c r="CY129" s="12" t="str">
        <f t="shared" si="207"/>
        <v/>
      </c>
      <c r="CZ129" s="12"/>
      <c r="DA129" s="12" t="str">
        <f t="shared" si="208"/>
        <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6" t="str">
        <f t="shared" si="122"/>
        <v/>
      </c>
      <c r="CH130" s="66" t="str">
        <f t="shared" si="123"/>
        <v/>
      </c>
      <c r="CI130" s="68" t="str">
        <f t="shared" si="124"/>
        <v/>
      </c>
      <c r="CJ130" s="68" t="str">
        <f t="shared" si="125"/>
        <v/>
      </c>
      <c r="CK130" s="68" t="str">
        <f t="shared" si="126"/>
        <v/>
      </c>
      <c r="CL130" s="68" t="str">
        <f t="shared" si="127"/>
        <v/>
      </c>
      <c r="CM130" s="68" t="str">
        <f t="shared" si="128"/>
        <v/>
      </c>
      <c r="CN130" s="68" t="str">
        <f t="shared" si="129"/>
        <v/>
      </c>
      <c r="CO130" s="68" t="str">
        <f t="shared" si="130"/>
        <v/>
      </c>
      <c r="CP130" s="68" t="str">
        <f t="shared" si="131"/>
        <v/>
      </c>
      <c r="CQ130" s="68" t="str">
        <f t="shared" si="132"/>
        <v/>
      </c>
      <c r="CR130" s="68" t="str">
        <f t="shared" si="133"/>
        <v/>
      </c>
      <c r="CS130" s="68" t="str">
        <f t="shared" si="134"/>
        <v/>
      </c>
      <c r="CT130" s="68" t="str">
        <f t="shared" si="135"/>
        <v/>
      </c>
      <c r="CU130" s="68" t="str">
        <f t="shared" si="136"/>
        <v/>
      </c>
      <c r="CV130" s="12"/>
      <c r="CW130" s="12" t="str">
        <f t="shared" si="206"/>
        <v/>
      </c>
      <c r="CX130" s="12"/>
      <c r="CY130" s="12" t="str">
        <f t="shared" si="207"/>
        <v/>
      </c>
      <c r="CZ130" s="12"/>
      <c r="DA130" s="12" t="str">
        <f t="shared" si="208"/>
        <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6" t="str">
        <f t="shared" si="122"/>
        <v/>
      </c>
      <c r="CH131" s="66" t="str">
        <f t="shared" si="123"/>
        <v/>
      </c>
      <c r="CI131" s="68" t="str">
        <f t="shared" si="124"/>
        <v/>
      </c>
      <c r="CJ131" s="68" t="str">
        <f t="shared" si="125"/>
        <v/>
      </c>
      <c r="CK131" s="68" t="str">
        <f t="shared" si="126"/>
        <v/>
      </c>
      <c r="CL131" s="68" t="str">
        <f t="shared" si="127"/>
        <v/>
      </c>
      <c r="CM131" s="68" t="str">
        <f t="shared" si="128"/>
        <v/>
      </c>
      <c r="CN131" s="68" t="str">
        <f t="shared" si="129"/>
        <v/>
      </c>
      <c r="CO131" s="68" t="str">
        <f t="shared" si="130"/>
        <v/>
      </c>
      <c r="CP131" s="68" t="str">
        <f t="shared" si="131"/>
        <v/>
      </c>
      <c r="CQ131" s="68" t="str">
        <f t="shared" si="132"/>
        <v/>
      </c>
      <c r="CR131" s="68" t="str">
        <f t="shared" si="133"/>
        <v/>
      </c>
      <c r="CS131" s="68" t="str">
        <f t="shared" si="134"/>
        <v/>
      </c>
      <c r="CT131" s="68" t="str">
        <f t="shared" si="135"/>
        <v/>
      </c>
      <c r="CU131" s="68" t="str">
        <f t="shared" si="136"/>
        <v/>
      </c>
      <c r="CV131" s="12"/>
      <c r="CW131" s="12" t="str">
        <f t="shared" si="206"/>
        <v/>
      </c>
      <c r="CX131" s="12"/>
      <c r="CY131" s="12" t="str">
        <f t="shared" si="207"/>
        <v/>
      </c>
      <c r="CZ131" s="12"/>
      <c r="DA131" s="12" t="str">
        <f t="shared" si="208"/>
        <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6" t="str">
        <f t="shared" si="122"/>
        <v/>
      </c>
      <c r="CH132" s="66" t="str">
        <f t="shared" si="123"/>
        <v/>
      </c>
      <c r="CI132" s="68" t="str">
        <f t="shared" si="124"/>
        <v/>
      </c>
      <c r="CJ132" s="68" t="str">
        <f t="shared" si="125"/>
        <v/>
      </c>
      <c r="CK132" s="68" t="str">
        <f t="shared" si="126"/>
        <v/>
      </c>
      <c r="CL132" s="68" t="str">
        <f t="shared" si="127"/>
        <v/>
      </c>
      <c r="CM132" s="68" t="str">
        <f t="shared" si="128"/>
        <v/>
      </c>
      <c r="CN132" s="68" t="str">
        <f t="shared" si="129"/>
        <v/>
      </c>
      <c r="CO132" s="68" t="str">
        <f t="shared" si="130"/>
        <v/>
      </c>
      <c r="CP132" s="68" t="str">
        <f t="shared" si="131"/>
        <v/>
      </c>
      <c r="CQ132" s="68" t="str">
        <f t="shared" si="132"/>
        <v/>
      </c>
      <c r="CR132" s="68" t="str">
        <f t="shared" si="133"/>
        <v/>
      </c>
      <c r="CS132" s="68" t="str">
        <f t="shared" si="134"/>
        <v/>
      </c>
      <c r="CT132" s="68" t="str">
        <f t="shared" si="135"/>
        <v/>
      </c>
      <c r="CU132" s="68" t="str">
        <f t="shared" si="136"/>
        <v/>
      </c>
      <c r="CV132" s="12"/>
      <c r="CW132" s="12" t="str">
        <f t="shared" si="206"/>
        <v/>
      </c>
      <c r="CX132" s="12"/>
      <c r="CY132" s="12" t="str">
        <f t="shared" si="207"/>
        <v/>
      </c>
      <c r="CZ132" s="12"/>
      <c r="DA132" s="12" t="str">
        <f t="shared" si="208"/>
        <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7"/>
      <c r="CB133" s="11"/>
      <c r="CC133" s="11"/>
      <c r="CD133" s="12"/>
      <c r="CE133" s="12"/>
      <c r="CF133" s="12"/>
      <c r="CG133" s="66" t="str">
        <f t="shared" si="122"/>
        <v/>
      </c>
      <c r="CH133" s="66" t="str">
        <f t="shared" si="123"/>
        <v/>
      </c>
      <c r="CI133" s="68" t="str">
        <f t="shared" si="124"/>
        <v/>
      </c>
      <c r="CJ133" s="68" t="str">
        <f t="shared" si="125"/>
        <v/>
      </c>
      <c r="CK133" s="68" t="str">
        <f t="shared" si="126"/>
        <v/>
      </c>
      <c r="CL133" s="68" t="str">
        <f t="shared" si="127"/>
        <v/>
      </c>
      <c r="CM133" s="68" t="str">
        <f t="shared" si="128"/>
        <v/>
      </c>
      <c r="CN133" s="68" t="str">
        <f t="shared" si="129"/>
        <v/>
      </c>
      <c r="CO133" s="68" t="str">
        <f t="shared" si="130"/>
        <v/>
      </c>
      <c r="CP133" s="68" t="str">
        <f t="shared" si="131"/>
        <v/>
      </c>
      <c r="CQ133" s="68" t="str">
        <f t="shared" si="132"/>
        <v/>
      </c>
      <c r="CR133" s="68" t="str">
        <f t="shared" si="133"/>
        <v/>
      </c>
      <c r="CS133" s="68" t="str">
        <f t="shared" si="134"/>
        <v/>
      </c>
      <c r="CT133" s="68" t="str">
        <f t="shared" si="135"/>
        <v/>
      </c>
      <c r="CU133" s="68" t="str">
        <f t="shared" si="136"/>
        <v/>
      </c>
      <c r="CV133" s="12"/>
      <c r="CW133" s="12" t="str">
        <f t="shared" si="206"/>
        <v/>
      </c>
      <c r="CX133" s="12"/>
      <c r="CY133" s="12" t="str">
        <f t="shared" si="207"/>
        <v/>
      </c>
      <c r="CZ133" s="12"/>
      <c r="DA133" s="12" t="str">
        <f t="shared" si="208"/>
        <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6" t="str">
        <f t="shared" si="122"/>
        <v/>
      </c>
      <c r="CH134" s="66" t="str">
        <f t="shared" si="123"/>
        <v/>
      </c>
      <c r="CI134" s="68" t="str">
        <f t="shared" si="124"/>
        <v/>
      </c>
      <c r="CJ134" s="68" t="str">
        <f t="shared" si="125"/>
        <v/>
      </c>
      <c r="CK134" s="68" t="str">
        <f t="shared" si="126"/>
        <v/>
      </c>
      <c r="CL134" s="68" t="str">
        <f t="shared" si="127"/>
        <v/>
      </c>
      <c r="CM134" s="68" t="str">
        <f t="shared" si="128"/>
        <v/>
      </c>
      <c r="CN134" s="68" t="str">
        <f t="shared" si="129"/>
        <v/>
      </c>
      <c r="CO134" s="68" t="str">
        <f t="shared" si="130"/>
        <v/>
      </c>
      <c r="CP134" s="68" t="str">
        <f t="shared" si="131"/>
        <v/>
      </c>
      <c r="CQ134" s="68" t="str">
        <f t="shared" si="132"/>
        <v/>
      </c>
      <c r="CR134" s="68" t="str">
        <f t="shared" si="133"/>
        <v/>
      </c>
      <c r="CS134" s="68" t="str">
        <f t="shared" si="134"/>
        <v/>
      </c>
      <c r="CT134" s="68" t="str">
        <f t="shared" si="135"/>
        <v/>
      </c>
      <c r="CU134" s="68" t="str">
        <f t="shared" si="136"/>
        <v/>
      </c>
      <c r="CV134" s="12"/>
      <c r="CW134" s="12" t="str">
        <f t="shared" si="206"/>
        <v/>
      </c>
      <c r="CX134" s="12"/>
      <c r="CY134" s="12" t="str">
        <f t="shared" si="207"/>
        <v/>
      </c>
      <c r="CZ134" s="12"/>
      <c r="DA134" s="12" t="str">
        <f t="shared" si="208"/>
        <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4"/>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6" t="str">
        <f t="shared" si="122"/>
        <v/>
      </c>
      <c r="CH135" s="66" t="str">
        <f t="shared" si="123"/>
        <v/>
      </c>
      <c r="CI135" s="68" t="str">
        <f t="shared" si="124"/>
        <v/>
      </c>
      <c r="CJ135" s="68" t="str">
        <f t="shared" si="125"/>
        <v/>
      </c>
      <c r="CK135" s="68" t="str">
        <f t="shared" si="126"/>
        <v/>
      </c>
      <c r="CL135" s="68" t="str">
        <f t="shared" si="127"/>
        <v/>
      </c>
      <c r="CM135" s="68" t="str">
        <f t="shared" si="128"/>
        <v/>
      </c>
      <c r="CN135" s="68" t="str">
        <f t="shared" si="129"/>
        <v/>
      </c>
      <c r="CO135" s="68" t="str">
        <f t="shared" si="130"/>
        <v/>
      </c>
      <c r="CP135" s="68" t="str">
        <f t="shared" si="131"/>
        <v/>
      </c>
      <c r="CQ135" s="68" t="str">
        <f t="shared" si="132"/>
        <v/>
      </c>
      <c r="CR135" s="68" t="str">
        <f t="shared" si="133"/>
        <v/>
      </c>
      <c r="CS135" s="68" t="str">
        <f t="shared" si="134"/>
        <v/>
      </c>
      <c r="CT135" s="68" t="str">
        <f t="shared" si="135"/>
        <v/>
      </c>
      <c r="CU135" s="68" t="str">
        <f t="shared" si="136"/>
        <v/>
      </c>
      <c r="CV135" s="12"/>
      <c r="CW135" s="12" t="str">
        <f t="shared" si="206"/>
        <v/>
      </c>
      <c r="CX135" s="12"/>
      <c r="CY135" s="12" t="str">
        <f t="shared" si="207"/>
        <v/>
      </c>
      <c r="CZ135" s="12"/>
      <c r="DA135" s="12" t="str">
        <f t="shared" si="208"/>
        <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4"/>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6" t="str">
        <f t="shared" si="122"/>
        <v/>
      </c>
      <c r="CH136" s="66" t="str">
        <f t="shared" si="123"/>
        <v/>
      </c>
      <c r="CI136" s="68" t="str">
        <f t="shared" si="124"/>
        <v/>
      </c>
      <c r="CJ136" s="68" t="str">
        <f t="shared" si="125"/>
        <v/>
      </c>
      <c r="CK136" s="68" t="str">
        <f t="shared" si="126"/>
        <v/>
      </c>
      <c r="CL136" s="68" t="str">
        <f t="shared" si="127"/>
        <v/>
      </c>
      <c r="CM136" s="68" t="str">
        <f t="shared" si="128"/>
        <v/>
      </c>
      <c r="CN136" s="68" t="str">
        <f t="shared" si="129"/>
        <v/>
      </c>
      <c r="CO136" s="68" t="str">
        <f t="shared" si="130"/>
        <v/>
      </c>
      <c r="CP136" s="68" t="str">
        <f t="shared" si="131"/>
        <v/>
      </c>
      <c r="CQ136" s="68" t="str">
        <f t="shared" si="132"/>
        <v/>
      </c>
      <c r="CR136" s="68" t="str">
        <f t="shared" si="133"/>
        <v/>
      </c>
      <c r="CS136" s="68" t="str">
        <f t="shared" si="134"/>
        <v/>
      </c>
      <c r="CT136" s="68" t="str">
        <f t="shared" si="135"/>
        <v/>
      </c>
      <c r="CU136" s="68" t="str">
        <f t="shared" si="136"/>
        <v/>
      </c>
      <c r="CV136" s="12"/>
      <c r="CW136" s="12" t="str">
        <f t="shared" si="206"/>
        <v/>
      </c>
      <c r="CX136" s="12"/>
      <c r="CY136" s="12" t="str">
        <f t="shared" si="207"/>
        <v/>
      </c>
      <c r="CZ136" s="12"/>
      <c r="DA136" s="12" t="str">
        <f t="shared" si="208"/>
        <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4"/>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7"/>
      <c r="CB137" s="11"/>
      <c r="CC137" s="11"/>
      <c r="CD137" s="12"/>
      <c r="CE137" s="11"/>
      <c r="CF137" s="12"/>
      <c r="CG137" s="66" t="str">
        <f t="shared" si="122"/>
        <v/>
      </c>
      <c r="CH137" s="66" t="str">
        <f t="shared" si="123"/>
        <v/>
      </c>
      <c r="CI137" s="68" t="str">
        <f t="shared" si="124"/>
        <v/>
      </c>
      <c r="CJ137" s="68" t="str">
        <f t="shared" si="125"/>
        <v/>
      </c>
      <c r="CK137" s="68" t="str">
        <f t="shared" si="126"/>
        <v/>
      </c>
      <c r="CL137" s="68" t="str">
        <f t="shared" si="127"/>
        <v/>
      </c>
      <c r="CM137" s="68" t="str">
        <f t="shared" si="128"/>
        <v/>
      </c>
      <c r="CN137" s="68" t="str">
        <f t="shared" si="129"/>
        <v/>
      </c>
      <c r="CO137" s="68" t="str">
        <f t="shared" si="130"/>
        <v/>
      </c>
      <c r="CP137" s="68" t="str">
        <f t="shared" si="131"/>
        <v/>
      </c>
      <c r="CQ137" s="68" t="str">
        <f t="shared" si="132"/>
        <v/>
      </c>
      <c r="CR137" s="68" t="str">
        <f t="shared" si="133"/>
        <v/>
      </c>
      <c r="CS137" s="68" t="str">
        <f t="shared" si="134"/>
        <v/>
      </c>
      <c r="CT137" s="68" t="str">
        <f t="shared" si="135"/>
        <v/>
      </c>
      <c r="CU137" s="68" t="str">
        <f t="shared" si="136"/>
        <v/>
      </c>
      <c r="CV137" s="12"/>
      <c r="CW137" s="12" t="str">
        <f t="shared" si="206"/>
        <v/>
      </c>
      <c r="CX137" s="12"/>
      <c r="CY137" s="12" t="str">
        <f t="shared" si="207"/>
        <v/>
      </c>
      <c r="CZ137" s="12"/>
      <c r="DA137" s="12" t="str">
        <f t="shared" si="208"/>
        <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4"/>
      <c r="BL138" s="12"/>
      <c r="BM138" s="12"/>
      <c r="BN138" s="12"/>
      <c r="BO138" s="12"/>
      <c r="BP138" s="2"/>
      <c r="BQ138" s="2"/>
      <c r="BR138" s="2"/>
      <c r="BS138" s="65"/>
      <c r="BT138" s="12"/>
      <c r="BU138" s="13"/>
      <c r="BV138" s="13"/>
      <c r="BW138" s="12"/>
      <c r="BX138" s="12"/>
      <c r="BY138" s="12"/>
      <c r="BZ138" s="12"/>
      <c r="CA138" s="27"/>
      <c r="CB138" s="11"/>
      <c r="CC138" s="11"/>
      <c r="CD138" s="12"/>
      <c r="CE138" s="11"/>
      <c r="CF138" s="12"/>
      <c r="CG138" s="66">
        <f t="shared" si="122"/>
        <v>0</v>
      </c>
      <c r="CH138" s="66">
        <f t="shared" si="123"/>
        <v>0</v>
      </c>
      <c r="CI138" s="68">
        <f t="shared" si="124"/>
        <v>0</v>
      </c>
      <c r="CJ138" s="68">
        <f t="shared" si="125"/>
        <v>0</v>
      </c>
      <c r="CK138" s="68">
        <f t="shared" si="126"/>
        <v>0</v>
      </c>
      <c r="CL138" s="68">
        <f t="shared" si="127"/>
        <v>0</v>
      </c>
      <c r="CM138" s="68">
        <f t="shared" si="128"/>
        <v>0</v>
      </c>
      <c r="CN138" s="68">
        <f t="shared" si="129"/>
        <v>0</v>
      </c>
      <c r="CO138" s="68">
        <f t="shared" si="130"/>
        <v>0</v>
      </c>
      <c r="CP138" s="68">
        <f t="shared" si="131"/>
        <v>0</v>
      </c>
      <c r="CQ138" s="68">
        <f t="shared" si="132"/>
        <v>0</v>
      </c>
      <c r="CR138" s="68">
        <f t="shared" si="133"/>
        <v>0</v>
      </c>
      <c r="CS138" s="68">
        <f t="shared" si="134"/>
        <v>0</v>
      </c>
      <c r="CT138" s="68">
        <f t="shared" si="135"/>
        <v>0</v>
      </c>
      <c r="CU138" s="68">
        <f t="shared" si="136"/>
        <v>0</v>
      </c>
      <c r="CV138" s="12"/>
      <c r="CW138" s="12">
        <f t="shared" si="206"/>
        <v>0</v>
      </c>
      <c r="CX138" s="12"/>
      <c r="CY138" s="12">
        <f t="shared" si="207"/>
        <v>0</v>
      </c>
      <c r="CZ138" s="12"/>
      <c r="DA138" s="12">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7"/>
      <c r="BL139" s="12"/>
      <c r="BM139" s="12"/>
      <c r="BN139" s="12"/>
      <c r="BO139" s="12"/>
      <c r="BP139" s="2"/>
      <c r="BQ139" s="2"/>
      <c r="BR139" s="2"/>
      <c r="BS139" s="65"/>
      <c r="BT139" s="12"/>
      <c r="BU139" s="13"/>
      <c r="BV139" s="13"/>
      <c r="BW139" s="12"/>
      <c r="BX139" s="12"/>
      <c r="BY139" s="12"/>
      <c r="BZ139" s="12"/>
      <c r="CA139" s="27"/>
      <c r="CB139" s="11"/>
      <c r="CC139" s="11"/>
      <c r="CD139" s="12"/>
      <c r="CE139" s="11"/>
      <c r="CF139" s="12"/>
      <c r="CG139" s="66">
        <f t="shared" si="122"/>
        <v>0</v>
      </c>
      <c r="CH139" s="66">
        <f t="shared" si="123"/>
        <v>0</v>
      </c>
      <c r="CI139" s="68">
        <f t="shared" si="124"/>
        <v>0</v>
      </c>
      <c r="CJ139" s="68">
        <f t="shared" si="125"/>
        <v>0</v>
      </c>
      <c r="CK139" s="68">
        <f t="shared" si="126"/>
        <v>0</v>
      </c>
      <c r="CL139" s="68">
        <f t="shared" si="127"/>
        <v>0</v>
      </c>
      <c r="CM139" s="68">
        <f t="shared" si="128"/>
        <v>0</v>
      </c>
      <c r="CN139" s="68">
        <f t="shared" si="129"/>
        <v>0</v>
      </c>
      <c r="CO139" s="68">
        <f t="shared" si="130"/>
        <v>0</v>
      </c>
      <c r="CP139" s="68">
        <f t="shared" si="131"/>
        <v>0</v>
      </c>
      <c r="CQ139" s="68">
        <f t="shared" si="132"/>
        <v>0</v>
      </c>
      <c r="CR139" s="68">
        <f t="shared" si="133"/>
        <v>0</v>
      </c>
      <c r="CS139" s="68">
        <f t="shared" si="134"/>
        <v>0</v>
      </c>
      <c r="CT139" s="68">
        <f t="shared" si="135"/>
        <v>0</v>
      </c>
      <c r="CU139" s="68">
        <f t="shared" si="136"/>
        <v>0</v>
      </c>
      <c r="CV139" s="12"/>
      <c r="CW139" s="12">
        <f t="shared" si="206"/>
        <v>0</v>
      </c>
      <c r="CX139" s="12"/>
      <c r="CY139" s="12">
        <f t="shared" si="207"/>
        <v>0</v>
      </c>
      <c r="CZ139" s="12"/>
      <c r="DA139" s="12">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7"/>
      <c r="BL140" s="12"/>
      <c r="BM140" s="12"/>
      <c r="BN140" s="12"/>
      <c r="BO140" s="12"/>
      <c r="BP140" s="2"/>
      <c r="BQ140" s="2"/>
      <c r="BR140" s="2"/>
      <c r="BS140" s="65"/>
      <c r="BT140" s="12"/>
      <c r="BU140" s="13"/>
      <c r="BV140" s="13"/>
      <c r="BW140" s="12"/>
      <c r="BX140" s="12"/>
      <c r="BY140" s="12"/>
      <c r="BZ140" s="12"/>
      <c r="CA140" s="27"/>
      <c r="CB140" s="11"/>
      <c r="CC140" s="11"/>
      <c r="CD140" s="12"/>
      <c r="CE140" s="11"/>
      <c r="CF140" s="12"/>
      <c r="CG140" s="66">
        <f t="shared" si="122"/>
        <v>0</v>
      </c>
      <c r="CH140" s="45"/>
      <c r="CI140" s="68">
        <f>IFERROR((IF($CH$57="M",BW140,IF($CH$57="PM",BY140,IF($CH$57="P",BU140,IF($CH$57="FULL",BS140))))),"")</f>
        <v>0</v>
      </c>
      <c r="CJ140" s="12"/>
      <c r="CK140" s="68">
        <f t="shared" ref="CK140:CK145" si="220">IFERROR((IF($CI$57="M",BW140,IF($CI$57="PM",BY140,IF($CI$57="P",BU140,IF($CI$57="FULL",BS140))))),"")</f>
        <v>0</v>
      </c>
      <c r="CL140" s="2"/>
      <c r="CM140" s="68">
        <f t="shared" ref="CM140:CM143" si="221">IFERROR((IF($CJ$57="M",BW140,IF($CJ$57="PM",BY140,IF($CJ$57="P",BU140,IF($CJ$57="FULL",BS140))))),"")</f>
        <v>0</v>
      </c>
      <c r="CN140" s="2"/>
      <c r="CO140" s="68">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f t="shared" si="206"/>
        <v>0</v>
      </c>
      <c r="CX140" s="12"/>
      <c r="CY140" s="12">
        <f t="shared" si="207"/>
        <v>0</v>
      </c>
      <c r="CZ140" s="12"/>
      <c r="DA140" s="12">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7"/>
      <c r="BL141" s="12"/>
      <c r="BM141" s="12"/>
      <c r="BN141" s="12"/>
      <c r="BO141" s="12"/>
      <c r="BP141" s="2"/>
      <c r="BQ141" s="2"/>
      <c r="BR141" s="2"/>
      <c r="BS141" s="65"/>
      <c r="BT141" s="12"/>
      <c r="BU141" s="13"/>
      <c r="BV141" s="13"/>
      <c r="BW141" s="12"/>
      <c r="BX141" s="12"/>
      <c r="BY141" s="12"/>
      <c r="BZ141" s="12"/>
      <c r="CA141" s="27"/>
      <c r="CB141" s="11"/>
      <c r="CC141" s="11"/>
      <c r="CD141" s="12"/>
      <c r="CE141" s="11"/>
      <c r="CF141" s="12"/>
      <c r="CG141" s="12"/>
      <c r="CH141" s="11"/>
      <c r="CI141" s="12"/>
      <c r="CJ141" s="12"/>
      <c r="CK141" s="68">
        <f t="shared" si="220"/>
        <v>0</v>
      </c>
      <c r="CL141" s="2"/>
      <c r="CM141" s="68">
        <f t="shared" si="221"/>
        <v>0</v>
      </c>
      <c r="CN141" s="2"/>
      <c r="CO141" s="68">
        <f t="shared" si="222"/>
        <v>0</v>
      </c>
      <c r="CP141" s="12"/>
      <c r="CQ141" s="12">
        <f t="shared" si="223"/>
        <v>0</v>
      </c>
      <c r="CR141" s="12"/>
      <c r="CS141" s="12">
        <f t="shared" si="224"/>
        <v>0</v>
      </c>
      <c r="CT141" s="12"/>
      <c r="CU141" s="12">
        <f t="shared" si="225"/>
        <v>0</v>
      </c>
      <c r="CV141" s="12"/>
      <c r="CW141" s="12">
        <f t="shared" si="206"/>
        <v>0</v>
      </c>
      <c r="CX141" s="12"/>
      <c r="CY141" s="12">
        <f t="shared" si="207"/>
        <v>0</v>
      </c>
      <c r="CZ141" s="12"/>
      <c r="DA141" s="12">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7"/>
      <c r="BL142" s="12"/>
      <c r="BM142" s="12"/>
      <c r="BN142" s="12"/>
      <c r="BO142" s="12"/>
      <c r="BP142" s="2"/>
      <c r="BQ142" s="2"/>
      <c r="BR142" s="2"/>
      <c r="BS142" s="65"/>
      <c r="BT142" s="12"/>
      <c r="BU142" s="13"/>
      <c r="BV142" s="13"/>
      <c r="BW142" s="12"/>
      <c r="BX142" s="12"/>
      <c r="BY142" s="12"/>
      <c r="BZ142" s="12"/>
      <c r="CA142" s="27"/>
      <c r="CB142" s="11"/>
      <c r="CC142" s="11"/>
      <c r="CD142" s="12"/>
      <c r="CE142" s="11"/>
      <c r="CF142" s="12"/>
      <c r="CG142" s="12"/>
      <c r="CH142" s="11"/>
      <c r="CI142" s="12"/>
      <c r="CJ142" s="12"/>
      <c r="CK142" s="68">
        <f t="shared" si="220"/>
        <v>0</v>
      </c>
      <c r="CL142" s="2"/>
      <c r="CM142" s="68">
        <f t="shared" si="221"/>
        <v>0</v>
      </c>
      <c r="CN142" s="2"/>
      <c r="CO142" s="68">
        <f t="shared" si="222"/>
        <v>0</v>
      </c>
      <c r="CP142" s="12"/>
      <c r="CQ142" s="12">
        <f t="shared" si="223"/>
        <v>0</v>
      </c>
      <c r="CR142" s="12"/>
      <c r="CS142" s="12">
        <f t="shared" si="224"/>
        <v>0</v>
      </c>
      <c r="CT142" s="12"/>
      <c r="CU142" s="12">
        <f t="shared" si="225"/>
        <v>0</v>
      </c>
      <c r="CV142" s="12"/>
      <c r="CW142" s="12">
        <f t="shared" si="206"/>
        <v>0</v>
      </c>
      <c r="CX142" s="12"/>
      <c r="CY142" s="12">
        <f t="shared" si="207"/>
        <v>0</v>
      </c>
      <c r="CZ142" s="12"/>
      <c r="DA142" s="12">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7"/>
      <c r="BL143" s="12"/>
      <c r="BM143" s="12"/>
      <c r="BN143" s="12"/>
      <c r="BO143" s="12"/>
      <c r="BP143" s="2"/>
      <c r="BQ143" s="2"/>
      <c r="BR143" s="2"/>
      <c r="BS143" s="65"/>
      <c r="BT143" s="12"/>
      <c r="BU143" s="13"/>
      <c r="BV143" s="13"/>
      <c r="BW143" s="12"/>
      <c r="BX143" s="12"/>
      <c r="BY143" s="12"/>
      <c r="BZ143" s="12"/>
      <c r="CA143" s="13"/>
      <c r="CB143" s="12"/>
      <c r="CC143" s="12"/>
      <c r="CD143" s="12"/>
      <c r="CE143" s="11"/>
      <c r="CF143" s="12"/>
      <c r="CG143" s="12"/>
      <c r="CH143" s="11"/>
      <c r="CI143" s="12"/>
      <c r="CJ143" s="12"/>
      <c r="CK143" s="68">
        <f t="shared" si="220"/>
        <v>0</v>
      </c>
      <c r="CL143" s="2"/>
      <c r="CM143" s="68">
        <f t="shared" si="221"/>
        <v>0</v>
      </c>
      <c r="CN143" s="2"/>
      <c r="CO143" s="68">
        <f t="shared" si="222"/>
        <v>0</v>
      </c>
      <c r="CP143" s="12"/>
      <c r="CQ143" s="12">
        <f t="shared" si="223"/>
        <v>0</v>
      </c>
      <c r="CR143" s="12"/>
      <c r="CS143" s="12">
        <f t="shared" si="224"/>
        <v>0</v>
      </c>
      <c r="CT143" s="12"/>
      <c r="CU143" s="12">
        <f t="shared" si="225"/>
        <v>0</v>
      </c>
      <c r="CV143" s="12"/>
      <c r="CW143" s="12">
        <f t="shared" si="206"/>
        <v>0</v>
      </c>
      <c r="CX143" s="12"/>
      <c r="CY143" s="12">
        <f t="shared" si="207"/>
        <v>0</v>
      </c>
      <c r="CZ143" s="12"/>
      <c r="DA143" s="12">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7"/>
      <c r="BL144" s="12"/>
      <c r="BM144" s="12"/>
      <c r="BN144" s="12"/>
      <c r="BO144" s="12"/>
      <c r="BP144" s="2"/>
      <c r="BQ144" s="2"/>
      <c r="BR144" s="2"/>
      <c r="BS144" s="65"/>
      <c r="BT144" s="12"/>
      <c r="BU144" s="13"/>
      <c r="BV144" s="13"/>
      <c r="BW144" s="12"/>
      <c r="BX144" s="12"/>
      <c r="BY144" s="12"/>
      <c r="BZ144" s="12"/>
      <c r="CA144" s="13"/>
      <c r="CB144" s="12"/>
      <c r="CC144" s="12"/>
      <c r="CD144" s="12"/>
      <c r="CE144" s="11"/>
      <c r="CF144" s="12"/>
      <c r="CG144" s="12"/>
      <c r="CH144" s="11"/>
      <c r="CI144" s="12"/>
      <c r="CJ144" s="12"/>
      <c r="CK144" s="68">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7"/>
      <c r="BL145" s="12"/>
      <c r="BM145" s="12"/>
      <c r="BN145" s="12"/>
      <c r="BO145" s="12"/>
      <c r="BP145" s="2"/>
      <c r="BQ145" s="2"/>
      <c r="BR145" s="2"/>
      <c r="BS145" s="65"/>
      <c r="BT145" s="12"/>
      <c r="BU145" s="13"/>
      <c r="BV145" s="13"/>
      <c r="BW145" s="12"/>
      <c r="BX145" s="12"/>
      <c r="BY145" s="12"/>
      <c r="BZ145" s="12"/>
      <c r="CA145" s="13"/>
      <c r="CB145" s="12"/>
      <c r="CC145" s="12"/>
      <c r="CD145" s="12"/>
      <c r="CE145" s="11"/>
      <c r="CF145" s="12"/>
      <c r="CG145" s="12"/>
      <c r="CH145" s="11"/>
      <c r="CI145" s="12"/>
      <c r="CJ145" s="12"/>
      <c r="CK145" s="68">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7"/>
      <c r="BL146" s="12"/>
      <c r="BM146" s="12"/>
      <c r="BN146" s="12"/>
      <c r="BO146" s="12"/>
      <c r="BP146" s="2"/>
      <c r="BQ146" s="2"/>
      <c r="BR146" s="2"/>
      <c r="BS146" s="65"/>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7"/>
      <c r="BL147" s="12"/>
      <c r="BM147" s="12"/>
      <c r="BN147" s="12"/>
      <c r="BO147" s="12"/>
      <c r="BP147" s="2"/>
      <c r="BQ147" s="2"/>
      <c r="BR147" s="2"/>
      <c r="BS147" s="65"/>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7"/>
      <c r="BL148" s="12"/>
      <c r="BM148" s="12"/>
      <c r="BN148" s="12"/>
      <c r="BO148" s="12"/>
      <c r="BP148" s="2"/>
      <c r="BQ148" s="2"/>
      <c r="BR148" s="2"/>
      <c r="BS148" s="65"/>
      <c r="BT148" s="12"/>
      <c r="BU148" s="13"/>
      <c r="BV148" s="13"/>
      <c r="BW148" s="12"/>
      <c r="BX148" s="12"/>
      <c r="BY148" s="12"/>
      <c r="BZ148" s="12"/>
      <c r="CA148" s="27"/>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7"/>
      <c r="BL149" s="12"/>
      <c r="BM149" s="12"/>
      <c r="BN149" s="12"/>
      <c r="BO149" s="12"/>
      <c r="BP149" s="2"/>
      <c r="BQ149" s="2"/>
      <c r="BR149" s="2"/>
      <c r="BS149" s="65"/>
      <c r="BT149" s="12"/>
      <c r="BU149" s="13"/>
      <c r="BV149" s="13"/>
      <c r="BW149" s="12"/>
      <c r="BX149" s="12"/>
      <c r="BY149" s="12"/>
      <c r="BZ149" s="12"/>
      <c r="CA149" s="27"/>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7"/>
      <c r="BL150" s="12"/>
      <c r="BM150" s="12"/>
      <c r="BN150" s="12"/>
      <c r="BO150" s="12"/>
      <c r="BP150" s="2"/>
      <c r="BQ150" s="2"/>
      <c r="BR150" s="2"/>
      <c r="BS150" s="65"/>
      <c r="BT150" s="12"/>
      <c r="BU150" s="13"/>
      <c r="BV150" s="13"/>
      <c r="BW150" s="12"/>
      <c r="BX150" s="12"/>
      <c r="BY150" s="12"/>
      <c r="BZ150" s="12"/>
      <c r="CA150" s="27"/>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7"/>
      <c r="BL151" s="12"/>
      <c r="BM151" s="12"/>
      <c r="BN151" s="12"/>
      <c r="BO151" s="12"/>
      <c r="BP151" s="2"/>
      <c r="BQ151" s="2"/>
      <c r="BR151" s="2"/>
      <c r="BS151" s="65"/>
      <c r="BT151" s="12"/>
      <c r="BU151" s="13"/>
      <c r="BV151" s="13"/>
      <c r="BW151" s="12"/>
      <c r="BX151" s="12"/>
      <c r="BY151" s="12"/>
      <c r="BZ151" s="12"/>
      <c r="CA151" s="27"/>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7"/>
      <c r="BL152" s="12"/>
      <c r="BM152" s="12"/>
      <c r="BN152" s="12"/>
      <c r="BO152" s="12"/>
      <c r="BP152" s="2"/>
      <c r="BQ152" s="2"/>
      <c r="BR152" s="2"/>
      <c r="BS152" s="65"/>
      <c r="BT152" s="12"/>
      <c r="BU152" s="13"/>
      <c r="BV152" s="13"/>
      <c r="BW152" s="12"/>
      <c r="BX152" s="12"/>
      <c r="BY152" s="12"/>
      <c r="BZ152" s="12"/>
      <c r="CA152" s="27"/>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7"/>
      <c r="BL153" s="12"/>
      <c r="BM153" s="12"/>
      <c r="BN153" s="12"/>
      <c r="BO153" s="12"/>
      <c r="BP153" s="2"/>
      <c r="BQ153" s="2"/>
      <c r="BR153" s="2"/>
      <c r="BS153" s="65"/>
      <c r="BT153" s="12"/>
      <c r="BU153" s="13"/>
      <c r="BV153" s="13"/>
      <c r="BW153" s="12"/>
      <c r="BX153" s="12"/>
      <c r="BY153" s="12"/>
      <c r="BZ153" s="12"/>
      <c r="CA153" s="27"/>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7"/>
      <c r="BL154" s="12"/>
      <c r="BM154" s="12"/>
      <c r="BN154" s="12"/>
      <c r="BO154" s="12"/>
      <c r="BP154" s="2"/>
      <c r="BQ154" s="2"/>
      <c r="BR154" s="2"/>
      <c r="BS154" s="65"/>
      <c r="BT154" s="12"/>
      <c r="BU154" s="13"/>
      <c r="BV154" s="13"/>
      <c r="BW154" s="12"/>
      <c r="BX154" s="12"/>
      <c r="BY154" s="12"/>
      <c r="BZ154" s="12"/>
      <c r="CA154" s="27"/>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7"/>
      <c r="BL155" s="12"/>
      <c r="BM155" s="12"/>
      <c r="BN155" s="12"/>
      <c r="BO155" s="12"/>
      <c r="BP155" s="2"/>
      <c r="BQ155" s="2"/>
      <c r="BR155" s="2"/>
      <c r="BS155" s="65"/>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7"/>
      <c r="BL156" s="12"/>
      <c r="BM156" s="12"/>
      <c r="BN156" s="12"/>
      <c r="BO156" s="12"/>
      <c r="BP156" s="2"/>
      <c r="BQ156" s="2"/>
      <c r="BR156" s="2"/>
      <c r="BS156" s="65"/>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7"/>
      <c r="BL157" s="12"/>
      <c r="BM157" s="12"/>
      <c r="BN157" s="12"/>
      <c r="BO157" s="12"/>
      <c r="BP157" s="2"/>
      <c r="BQ157" s="2"/>
      <c r="BR157" s="2"/>
      <c r="BS157" s="65"/>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7"/>
      <c r="BL158" s="12"/>
      <c r="BM158" s="12"/>
      <c r="BN158" s="12"/>
      <c r="BO158" s="12"/>
      <c r="BP158" s="2"/>
      <c r="BQ158" s="2"/>
      <c r="BR158" s="2"/>
      <c r="BS158" s="65"/>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7"/>
      <c r="BL159" s="12"/>
      <c r="BM159" s="12"/>
      <c r="BN159" s="12"/>
      <c r="BO159" s="12"/>
      <c r="BP159" s="2"/>
      <c r="BQ159" s="2"/>
      <c r="BR159" s="2"/>
      <c r="BS159" s="65"/>
      <c r="BT159" s="12"/>
      <c r="BU159" s="13"/>
      <c r="BV159" s="13"/>
      <c r="BW159" s="12"/>
      <c r="BX159" s="12"/>
      <c r="BY159" s="12"/>
      <c r="BZ159" s="12"/>
      <c r="CA159" s="27"/>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7"/>
      <c r="BL160" s="12"/>
      <c r="BM160" s="12"/>
      <c r="BN160" s="12"/>
      <c r="BO160" s="12"/>
      <c r="BP160" s="2"/>
      <c r="BQ160" s="2"/>
      <c r="BR160" s="2"/>
      <c r="BS160" s="65"/>
      <c r="BT160" s="12"/>
      <c r="BU160" s="13"/>
      <c r="BV160" s="13"/>
      <c r="BW160" s="12"/>
      <c r="BX160" s="12"/>
      <c r="BY160" s="12"/>
      <c r="BZ160" s="12"/>
      <c r="CA160" s="27"/>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7"/>
      <c r="BL161" s="12"/>
      <c r="BM161" s="12"/>
      <c r="BN161" s="12"/>
      <c r="BO161" s="12"/>
      <c r="BP161" s="2"/>
      <c r="BQ161" s="2"/>
      <c r="BR161" s="2"/>
      <c r="BS161" s="65"/>
      <c r="BT161" s="12"/>
      <c r="BU161" s="13"/>
      <c r="BV161" s="13"/>
      <c r="BW161" s="12"/>
      <c r="BX161" s="12"/>
      <c r="BY161" s="12"/>
      <c r="BZ161" s="12"/>
      <c r="CA161" s="27"/>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7"/>
      <c r="BL162" s="12"/>
      <c r="BM162" s="12"/>
      <c r="BN162" s="12"/>
      <c r="BO162" s="12"/>
      <c r="BP162" s="2"/>
      <c r="BQ162" s="2"/>
      <c r="BR162" s="2"/>
      <c r="BS162" s="65"/>
      <c r="BT162" s="12"/>
      <c r="BU162" s="13"/>
      <c r="BV162" s="13"/>
      <c r="BW162" s="12"/>
      <c r="BX162" s="12"/>
      <c r="BY162" s="12"/>
      <c r="BZ162" s="12"/>
      <c r="CA162" s="27"/>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7"/>
      <c r="BL163" s="12"/>
      <c r="BM163" s="12"/>
      <c r="BN163" s="12"/>
      <c r="BO163" s="12"/>
      <c r="BP163" s="2"/>
      <c r="BQ163" s="2"/>
      <c r="BR163" s="2"/>
      <c r="BS163" s="65"/>
      <c r="BT163" s="12"/>
      <c r="BU163" s="13"/>
      <c r="BV163" s="13"/>
      <c r="BW163" s="12"/>
      <c r="BX163" s="12"/>
      <c r="BY163" s="12"/>
      <c r="BZ163" s="12"/>
      <c r="CA163" s="27"/>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7"/>
      <c r="BL164" s="12"/>
      <c r="BM164" s="12"/>
      <c r="BN164" s="12"/>
      <c r="BO164" s="12"/>
      <c r="BP164" s="2"/>
      <c r="BQ164" s="2"/>
      <c r="BR164" s="2"/>
      <c r="BS164" s="65"/>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7"/>
      <c r="BL165" s="12"/>
      <c r="BM165" s="12"/>
      <c r="BN165" s="12"/>
      <c r="BO165" s="12"/>
      <c r="BP165" s="2"/>
      <c r="BQ165" s="2"/>
      <c r="BR165" s="2"/>
      <c r="BS165" s="65"/>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7"/>
      <c r="BL166" s="12"/>
      <c r="BM166" s="12"/>
      <c r="BN166" s="12"/>
      <c r="BO166" s="12"/>
      <c r="BP166" s="2"/>
      <c r="BQ166" s="2"/>
      <c r="BR166" s="2"/>
      <c r="BS166" s="65"/>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7"/>
      <c r="BL167" s="12"/>
      <c r="BM167" s="12"/>
      <c r="BN167" s="12"/>
      <c r="BO167" s="12"/>
      <c r="BP167" s="2"/>
      <c r="BQ167" s="2"/>
      <c r="BR167" s="2"/>
      <c r="BS167" s="65"/>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7"/>
      <c r="BL168" s="12"/>
      <c r="BM168" s="12"/>
      <c r="BN168" s="12"/>
      <c r="BO168" s="12"/>
      <c r="BP168" s="2"/>
      <c r="BQ168" s="2"/>
      <c r="BR168" s="2"/>
      <c r="BS168" s="65"/>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7"/>
      <c r="BL169" s="12"/>
      <c r="BM169" s="12"/>
      <c r="BN169" s="12"/>
      <c r="BO169" s="12"/>
      <c r="BP169" s="2"/>
      <c r="BQ169" s="2"/>
      <c r="BR169" s="2"/>
      <c r="BS169" s="65"/>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7"/>
      <c r="BL170" s="12"/>
      <c r="BM170" s="12"/>
      <c r="BN170" s="12"/>
      <c r="BO170" s="12"/>
      <c r="BP170" s="2"/>
      <c r="BQ170" s="2"/>
      <c r="BR170" s="2"/>
      <c r="BS170" s="65"/>
      <c r="BT170" s="12"/>
      <c r="BU170" s="13"/>
      <c r="BV170" s="13"/>
      <c r="BW170" s="12"/>
      <c r="BX170" s="12"/>
      <c r="BY170" s="12"/>
      <c r="BZ170" s="12"/>
      <c r="CA170" s="27"/>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7"/>
      <c r="BL171" s="12"/>
      <c r="BM171" s="12"/>
      <c r="BN171" s="12"/>
      <c r="BO171" s="12"/>
      <c r="BP171" s="2"/>
      <c r="BQ171" s="2"/>
      <c r="BR171" s="2"/>
      <c r="BS171" s="65"/>
      <c r="BT171" s="12"/>
      <c r="BU171" s="13"/>
      <c r="BV171" s="13"/>
      <c r="BW171" s="12"/>
      <c r="BX171" s="12"/>
      <c r="BY171" s="12"/>
      <c r="BZ171" s="12"/>
      <c r="CA171" s="27"/>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7"/>
      <c r="BL172" s="12"/>
      <c r="BM172" s="12"/>
      <c r="BN172" s="12"/>
      <c r="BO172" s="12"/>
      <c r="BP172" s="2"/>
      <c r="BQ172" s="2"/>
      <c r="BR172" s="2"/>
      <c r="BS172" s="65"/>
      <c r="BT172" s="12"/>
      <c r="BU172" s="13"/>
      <c r="BV172" s="13"/>
      <c r="BW172" s="12"/>
      <c r="BX172" s="12"/>
      <c r="BY172" s="12"/>
      <c r="BZ172" s="12"/>
      <c r="CA172" s="27"/>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7"/>
      <c r="BL173" s="12"/>
      <c r="BM173" s="12"/>
      <c r="BN173" s="12"/>
      <c r="BO173" s="12"/>
      <c r="BP173" s="2"/>
      <c r="BQ173" s="2"/>
      <c r="BR173" s="2"/>
      <c r="BS173" s="65"/>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7"/>
      <c r="BL174" s="12"/>
      <c r="BM174" s="12"/>
      <c r="BN174" s="12"/>
      <c r="BO174" s="12"/>
      <c r="BP174" s="2"/>
      <c r="BQ174" s="2"/>
      <c r="BR174" s="2"/>
      <c r="BS174" s="65"/>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7"/>
      <c r="BL175" s="12"/>
      <c r="BM175" s="12"/>
      <c r="BN175" s="12"/>
      <c r="BO175" s="12"/>
      <c r="BP175" s="2"/>
      <c r="BQ175" s="2"/>
      <c r="BR175" s="2"/>
      <c r="BS175" s="65"/>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7"/>
      <c r="BL176" s="12"/>
      <c r="BM176" s="12"/>
      <c r="BN176" s="12"/>
      <c r="BO176" s="12"/>
      <c r="BP176" s="2"/>
      <c r="BQ176" s="2"/>
      <c r="BR176" s="2"/>
      <c r="BS176" s="65"/>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7"/>
      <c r="BL177" s="12"/>
      <c r="BM177" s="12"/>
      <c r="BN177" s="12"/>
      <c r="BO177" s="12"/>
      <c r="BP177" s="2"/>
      <c r="BQ177" s="2"/>
      <c r="BR177" s="2"/>
      <c r="BS177" s="65"/>
      <c r="BT177" s="12"/>
      <c r="BU177" s="13"/>
      <c r="BV177" s="13"/>
      <c r="BW177" s="12"/>
      <c r="BX177" s="12"/>
      <c r="BY177" s="12"/>
      <c r="BZ177" s="12"/>
      <c r="CA177" s="27"/>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7"/>
      <c r="BL178" s="12"/>
      <c r="BM178" s="12"/>
      <c r="BN178" s="12"/>
      <c r="BO178" s="12"/>
      <c r="BP178" s="2"/>
      <c r="BQ178" s="2"/>
      <c r="BR178" s="2"/>
      <c r="BS178" s="65"/>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7"/>
      <c r="BL179" s="12"/>
      <c r="BM179" s="12"/>
      <c r="BN179" s="12"/>
      <c r="BO179" s="12"/>
      <c r="BP179" s="2"/>
      <c r="BQ179" s="2"/>
      <c r="BR179" s="2"/>
      <c r="BS179" s="65"/>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7"/>
      <c r="BL180" s="12"/>
      <c r="BM180" s="12"/>
      <c r="BN180" s="12"/>
      <c r="BO180" s="12"/>
      <c r="BP180" s="2"/>
      <c r="BQ180" s="2"/>
      <c r="BR180" s="2"/>
      <c r="BS180" s="65"/>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7"/>
      <c r="BL181" s="12"/>
      <c r="BM181" s="12"/>
      <c r="BN181" s="12"/>
      <c r="BO181" s="12"/>
      <c r="BP181" s="2"/>
      <c r="BQ181" s="2"/>
      <c r="BR181" s="2"/>
      <c r="BS181" s="65"/>
      <c r="BT181" s="12"/>
      <c r="BU181" s="13"/>
      <c r="BV181" s="13"/>
      <c r="BW181" s="12"/>
      <c r="BX181" s="12"/>
      <c r="BY181" s="12"/>
      <c r="BZ181" s="12"/>
      <c r="CA181" s="27"/>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7"/>
      <c r="BL182" s="12"/>
      <c r="BM182" s="12"/>
      <c r="BN182" s="12"/>
      <c r="BO182" s="12"/>
      <c r="BP182" s="2"/>
      <c r="BQ182" s="2"/>
      <c r="BR182" s="2"/>
      <c r="BS182" s="65"/>
      <c r="BT182" s="12"/>
      <c r="BU182" s="13"/>
      <c r="BV182" s="13"/>
      <c r="BW182" s="12"/>
      <c r="BX182" s="12"/>
      <c r="BY182" s="12"/>
      <c r="BZ182" s="12"/>
      <c r="CA182" s="27"/>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7"/>
      <c r="BL183" s="12"/>
      <c r="BM183" s="12"/>
      <c r="BN183" s="12"/>
      <c r="BO183" s="12"/>
      <c r="BP183" s="2"/>
      <c r="BQ183" s="2"/>
      <c r="BR183" s="2"/>
      <c r="BS183" s="65"/>
      <c r="BT183" s="12"/>
      <c r="BU183" s="13"/>
      <c r="BV183" s="13"/>
      <c r="BW183" s="12"/>
      <c r="BX183" s="12"/>
      <c r="BY183" s="12"/>
      <c r="BZ183" s="12"/>
      <c r="CA183" s="27"/>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7"/>
      <c r="BL184" s="12"/>
      <c r="BM184" s="12"/>
      <c r="BN184" s="12"/>
      <c r="BO184" s="12"/>
      <c r="BP184" s="2"/>
      <c r="BQ184" s="2"/>
      <c r="BR184" s="2"/>
      <c r="BS184" s="65"/>
      <c r="BT184" s="12"/>
      <c r="BU184" s="13"/>
      <c r="BV184" s="13"/>
      <c r="BW184" s="12"/>
      <c r="BX184" s="12"/>
      <c r="BY184" s="12"/>
      <c r="BZ184" s="12"/>
      <c r="CA184" s="27"/>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7"/>
      <c r="BL185" s="12"/>
      <c r="BM185" s="12"/>
      <c r="BN185" s="12"/>
      <c r="BO185" s="12"/>
      <c r="BP185" s="2"/>
      <c r="BQ185" s="2"/>
      <c r="BR185" s="2"/>
      <c r="BS185" s="65"/>
      <c r="BT185" s="12"/>
      <c r="BU185" s="13"/>
      <c r="BV185" s="13"/>
      <c r="BW185" s="12"/>
      <c r="BX185" s="12"/>
      <c r="BY185" s="12"/>
      <c r="BZ185" s="12"/>
      <c r="CA185" s="27"/>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7"/>
      <c r="BL186" s="12"/>
      <c r="BM186" s="12"/>
      <c r="BN186" s="12"/>
      <c r="BO186" s="12"/>
      <c r="BP186" s="2"/>
      <c r="BQ186" s="2"/>
      <c r="BR186" s="2"/>
      <c r="BS186" s="65"/>
      <c r="BT186" s="12"/>
      <c r="BU186" s="13"/>
      <c r="BV186" s="13"/>
      <c r="BW186" s="12"/>
      <c r="BX186" s="12"/>
      <c r="BY186" s="12"/>
      <c r="BZ186" s="12"/>
      <c r="CA186" s="27"/>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7"/>
      <c r="BL187" s="12"/>
      <c r="BM187" s="12"/>
      <c r="BN187" s="12"/>
      <c r="BO187" s="12"/>
      <c r="BP187" s="2"/>
      <c r="BQ187" s="2"/>
      <c r="BR187" s="2"/>
      <c r="BS187" s="65"/>
      <c r="BT187" s="12"/>
      <c r="BU187" s="13"/>
      <c r="BV187" s="13"/>
      <c r="BW187" s="12"/>
      <c r="BX187" s="12"/>
      <c r="BY187" s="12"/>
      <c r="BZ187" s="12"/>
      <c r="CA187" s="27"/>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7"/>
      <c r="BL188" s="12"/>
      <c r="BM188" s="12"/>
      <c r="BN188" s="12"/>
      <c r="BO188" s="12"/>
      <c r="BP188" s="2"/>
      <c r="BQ188" s="2"/>
      <c r="BR188" s="2"/>
      <c r="BS188" s="65"/>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7"/>
      <c r="BL189" s="12"/>
      <c r="BM189" s="12"/>
      <c r="BN189" s="12"/>
      <c r="BO189" s="12"/>
      <c r="BP189" s="2"/>
      <c r="BQ189" s="2"/>
      <c r="BR189" s="2"/>
      <c r="BS189" s="65"/>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7"/>
      <c r="BL190" s="12"/>
      <c r="BM190" s="12"/>
      <c r="BN190" s="12"/>
      <c r="BO190" s="12"/>
      <c r="BP190" s="2"/>
      <c r="BQ190" s="2"/>
      <c r="BR190" s="2"/>
      <c r="BS190" s="65"/>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7"/>
      <c r="BL191" s="12"/>
      <c r="BM191" s="12"/>
      <c r="BN191" s="12"/>
      <c r="BO191" s="12"/>
      <c r="BP191" s="2"/>
      <c r="BQ191" s="2"/>
      <c r="BR191" s="2"/>
      <c r="BS191" s="65"/>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7"/>
      <c r="BL192" s="12"/>
      <c r="BM192" s="12"/>
      <c r="BN192" s="12"/>
      <c r="BO192" s="12"/>
      <c r="BP192" s="2"/>
      <c r="BQ192" s="2"/>
      <c r="BR192" s="2"/>
      <c r="BS192" s="65"/>
      <c r="BT192" s="12"/>
      <c r="BU192" s="12"/>
      <c r="BV192" s="13"/>
      <c r="BW192" s="12"/>
      <c r="BX192" s="12"/>
      <c r="BY192" s="12"/>
      <c r="BZ192" s="73"/>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7"/>
      <c r="BL193" s="12"/>
      <c r="BM193" s="12"/>
      <c r="BN193" s="12"/>
      <c r="BO193" s="12"/>
      <c r="BP193" s="2"/>
      <c r="BQ193" s="2"/>
      <c r="BR193" s="2"/>
      <c r="BS193" s="65"/>
      <c r="BT193" s="12"/>
      <c r="BU193" s="13"/>
      <c r="BV193" s="13"/>
      <c r="BW193" s="12"/>
      <c r="BX193" s="12"/>
      <c r="BY193" s="12"/>
      <c r="BZ193" s="12"/>
      <c r="CA193" s="27"/>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7"/>
      <c r="BL194" s="12"/>
      <c r="BM194" s="12"/>
      <c r="BN194" s="12"/>
      <c r="BO194" s="12"/>
      <c r="BP194" s="2"/>
      <c r="BQ194" s="2"/>
      <c r="BR194" s="2"/>
      <c r="BS194" s="65"/>
      <c r="BT194" s="12"/>
      <c r="BU194" s="13"/>
      <c r="BV194" s="13"/>
      <c r="BW194" s="12"/>
      <c r="BX194" s="12"/>
      <c r="BY194" s="12"/>
      <c r="BZ194" s="12"/>
      <c r="CA194" s="27"/>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7"/>
      <c r="BL195" s="12"/>
      <c r="BM195" s="12"/>
      <c r="BN195" s="12"/>
      <c r="BO195" s="12"/>
      <c r="BP195" s="2"/>
      <c r="BQ195" s="2"/>
      <c r="BR195" s="2"/>
      <c r="BS195" s="65"/>
      <c r="BT195" s="12"/>
      <c r="BU195" s="13"/>
      <c r="BV195" s="13"/>
      <c r="BW195" s="12"/>
      <c r="BX195" s="12"/>
      <c r="BY195" s="12"/>
      <c r="BZ195" s="12"/>
      <c r="CA195" s="27"/>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7"/>
      <c r="BL196" s="12"/>
      <c r="BM196" s="12"/>
      <c r="BN196" s="12"/>
      <c r="BO196" s="12"/>
      <c r="BP196" s="2"/>
      <c r="BQ196" s="2"/>
      <c r="BR196" s="2"/>
      <c r="BS196" s="65"/>
      <c r="BT196" s="12"/>
      <c r="BU196" s="13"/>
      <c r="BV196" s="13"/>
      <c r="BW196" s="12"/>
      <c r="BX196" s="12"/>
      <c r="BY196" s="12"/>
      <c r="BZ196" s="12"/>
      <c r="CA196" s="27"/>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7"/>
      <c r="BL197" s="12"/>
      <c r="BM197" s="12"/>
      <c r="BN197" s="12"/>
      <c r="BO197" s="12"/>
      <c r="BP197" s="2"/>
      <c r="BQ197" s="2"/>
      <c r="BR197" s="2"/>
      <c r="BS197" s="65"/>
      <c r="BT197" s="12"/>
      <c r="BU197" s="13"/>
      <c r="BV197" s="13"/>
      <c r="BW197" s="12"/>
      <c r="BX197" s="12"/>
      <c r="BY197" s="12"/>
      <c r="BZ197" s="12"/>
      <c r="CA197" s="27"/>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7"/>
      <c r="BL198" s="12"/>
      <c r="BM198" s="12"/>
      <c r="BN198" s="12"/>
      <c r="BO198" s="12"/>
      <c r="BP198" s="2"/>
      <c r="BQ198" s="2"/>
      <c r="BR198" s="2"/>
      <c r="BS198" s="65"/>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7"/>
      <c r="BL199" s="12"/>
      <c r="BM199" s="12"/>
      <c r="BN199" s="12"/>
      <c r="BO199" s="12"/>
      <c r="BP199" s="2"/>
      <c r="BQ199" s="2"/>
      <c r="BR199" s="2"/>
      <c r="BS199" s="65"/>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7"/>
      <c r="BL200" s="12"/>
      <c r="BM200" s="12"/>
      <c r="BN200" s="12"/>
      <c r="BO200" s="12"/>
      <c r="BP200" s="2"/>
      <c r="BQ200" s="2"/>
      <c r="BR200" s="2"/>
      <c r="BS200" s="65"/>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7"/>
      <c r="BL201" s="12"/>
      <c r="BM201" s="12"/>
      <c r="BN201" s="12"/>
      <c r="BO201" s="12"/>
      <c r="BP201" s="2"/>
      <c r="BQ201" s="2"/>
      <c r="BR201" s="2"/>
      <c r="BS201" s="65"/>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7"/>
      <c r="BL202" s="12"/>
      <c r="BM202" s="12"/>
      <c r="BN202" s="12"/>
      <c r="BO202" s="12"/>
      <c r="BP202" s="2"/>
      <c r="BQ202" s="2"/>
      <c r="BR202" s="2"/>
      <c r="BS202" s="65"/>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7"/>
      <c r="BL203" s="12"/>
      <c r="BM203" s="12"/>
      <c r="BN203" s="12"/>
      <c r="BO203" s="12"/>
      <c r="BP203" s="2"/>
      <c r="BQ203" s="2"/>
      <c r="BR203" s="2"/>
      <c r="BS203" s="65"/>
      <c r="BT203" s="12"/>
      <c r="BU203" s="13"/>
      <c r="BV203" s="13"/>
      <c r="BW203" s="12"/>
      <c r="BX203" s="12"/>
      <c r="BY203" s="12"/>
      <c r="BZ203" s="12"/>
      <c r="CA203" s="27"/>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7"/>
      <c r="BL204" s="12"/>
      <c r="BM204" s="12"/>
      <c r="BN204" s="12"/>
      <c r="BO204" s="12"/>
      <c r="BP204" s="2"/>
      <c r="BQ204" s="2"/>
      <c r="BR204" s="2"/>
      <c r="BS204" s="65"/>
      <c r="BT204" s="12"/>
      <c r="BU204" s="13"/>
      <c r="BV204" s="13"/>
      <c r="BW204" s="12"/>
      <c r="BX204" s="12"/>
      <c r="BY204" s="12"/>
      <c r="BZ204" s="73"/>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7"/>
      <c r="BL205" s="12"/>
      <c r="BM205" s="12"/>
      <c r="BN205" s="12"/>
      <c r="BO205" s="12"/>
      <c r="BP205" s="2"/>
      <c r="BQ205" s="2"/>
      <c r="BR205" s="2"/>
      <c r="BS205" s="65"/>
      <c r="BT205" s="12"/>
      <c r="BU205" s="13"/>
      <c r="BV205" s="13"/>
      <c r="BW205" s="12"/>
      <c r="BX205" s="12"/>
      <c r="BY205" s="12"/>
      <c r="BZ205" s="12"/>
      <c r="CA205" s="27"/>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7"/>
      <c r="BL206" s="12"/>
      <c r="BM206" s="12"/>
      <c r="BN206" s="12"/>
      <c r="BO206" s="12"/>
      <c r="BP206" s="2"/>
      <c r="BQ206" s="2"/>
      <c r="BR206" s="2"/>
      <c r="BS206" s="65"/>
      <c r="BT206" s="12"/>
      <c r="BU206" s="13"/>
      <c r="BV206" s="13"/>
      <c r="BW206" s="12"/>
      <c r="BX206" s="12"/>
      <c r="BY206" s="12"/>
      <c r="BZ206" s="12"/>
      <c r="CA206" s="27"/>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7"/>
      <c r="BL207" s="12"/>
      <c r="BM207" s="12"/>
      <c r="BN207" s="12"/>
      <c r="BO207" s="12"/>
      <c r="BP207" s="2"/>
      <c r="BQ207" s="2"/>
      <c r="BR207" s="2"/>
      <c r="BS207" s="65"/>
      <c r="BT207" s="12"/>
      <c r="BU207" s="13"/>
      <c r="BV207" s="13"/>
      <c r="BW207" s="12"/>
      <c r="BX207" s="12"/>
      <c r="BY207" s="12"/>
      <c r="BZ207" s="12"/>
      <c r="CA207" s="27"/>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7"/>
      <c r="BL208" s="12"/>
      <c r="BM208" s="12"/>
      <c r="BN208" s="12"/>
      <c r="BO208" s="12"/>
      <c r="BP208" s="2"/>
      <c r="BQ208" s="2"/>
      <c r="BR208" s="2"/>
      <c r="BS208" s="65"/>
      <c r="BT208" s="12"/>
      <c r="BU208" s="13"/>
      <c r="BV208" s="13"/>
      <c r="BW208" s="12"/>
      <c r="BX208" s="12"/>
      <c r="BY208" s="12"/>
      <c r="BZ208" s="12"/>
      <c r="CA208" s="27"/>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7"/>
      <c r="BL209" s="12"/>
      <c r="BM209" s="12"/>
      <c r="BN209" s="12"/>
      <c r="BO209" s="12"/>
      <c r="BP209" s="2"/>
      <c r="BQ209" s="2"/>
      <c r="BR209" s="2"/>
      <c r="BS209" s="65"/>
      <c r="BT209" s="12"/>
      <c r="BU209" s="13"/>
      <c r="BV209" s="13"/>
      <c r="BW209" s="12"/>
      <c r="BX209" s="12"/>
      <c r="BY209" s="12"/>
      <c r="BZ209" s="12"/>
      <c r="CA209" s="27"/>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7"/>
      <c r="BL210" s="12"/>
      <c r="BM210" s="12"/>
      <c r="BN210" s="12"/>
      <c r="BO210" s="12"/>
      <c r="BP210" s="2"/>
      <c r="BQ210" s="2"/>
      <c r="BR210" s="2"/>
      <c r="BS210" s="65"/>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7"/>
      <c r="BL211" s="12"/>
      <c r="BM211" s="12"/>
      <c r="BN211" s="12"/>
      <c r="BO211" s="12"/>
      <c r="BP211" s="2"/>
      <c r="BQ211" s="2"/>
      <c r="BR211" s="2"/>
      <c r="BS211" s="65"/>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7"/>
      <c r="BL212" s="12"/>
      <c r="BM212" s="12"/>
      <c r="BN212" s="12"/>
      <c r="BO212" s="12"/>
      <c r="BP212" s="2"/>
      <c r="BQ212" s="2"/>
      <c r="BR212" s="2"/>
      <c r="BS212" s="65"/>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7"/>
      <c r="BL213" s="12"/>
      <c r="BM213" s="12"/>
      <c r="BN213" s="12"/>
      <c r="BO213" s="12"/>
      <c r="BP213" s="2"/>
      <c r="BQ213" s="2"/>
      <c r="BR213" s="2"/>
      <c r="BS213" s="65"/>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7"/>
      <c r="BL214" s="12"/>
      <c r="BM214" s="12"/>
      <c r="BN214" s="12"/>
      <c r="BO214" s="12"/>
      <c r="BP214" s="2"/>
      <c r="BQ214" s="2"/>
      <c r="BR214" s="2"/>
      <c r="BS214" s="65"/>
      <c r="BT214" s="12"/>
      <c r="BU214" s="13"/>
      <c r="BV214" s="13"/>
      <c r="BW214" s="12"/>
      <c r="BX214" s="12"/>
      <c r="BY214" s="12"/>
      <c r="BZ214" s="12"/>
      <c r="CA214" s="27"/>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7"/>
      <c r="BL215" s="12"/>
      <c r="BM215" s="12"/>
      <c r="BN215" s="12"/>
      <c r="BO215" s="12"/>
      <c r="BP215" s="2"/>
      <c r="BQ215" s="2"/>
      <c r="BR215" s="2"/>
      <c r="BS215" s="65"/>
      <c r="BT215" s="12"/>
      <c r="BU215" s="13"/>
      <c r="BV215" s="13"/>
      <c r="BW215" s="12"/>
      <c r="BX215" s="12"/>
      <c r="BY215" s="12"/>
      <c r="BZ215" s="73"/>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7"/>
      <c r="BL216" s="12"/>
      <c r="BM216" s="12"/>
      <c r="BN216" s="12"/>
      <c r="BO216" s="12"/>
      <c r="BP216" s="2"/>
      <c r="BQ216" s="2"/>
      <c r="BR216" s="2"/>
      <c r="BS216" s="65"/>
      <c r="BT216" s="12"/>
      <c r="BU216" s="13"/>
      <c r="BV216" s="13"/>
      <c r="BW216" s="12"/>
      <c r="BX216" s="12"/>
      <c r="BY216" s="12"/>
      <c r="BZ216" s="12"/>
      <c r="CA216" s="27"/>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7"/>
      <c r="BL217" s="12"/>
      <c r="BM217" s="12"/>
      <c r="BN217" s="12"/>
      <c r="BO217" s="12"/>
      <c r="BP217" s="2"/>
      <c r="BQ217" s="2"/>
      <c r="BR217" s="2"/>
      <c r="BS217" s="65"/>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7"/>
      <c r="BL218" s="12"/>
      <c r="BM218" s="12"/>
      <c r="BN218" s="12"/>
      <c r="BO218" s="12"/>
      <c r="BP218" s="2"/>
      <c r="BQ218" s="2"/>
      <c r="BR218" s="2"/>
      <c r="BS218" s="65"/>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7"/>
      <c r="BL219" s="12"/>
      <c r="BM219" s="12"/>
      <c r="BN219" s="12"/>
      <c r="BO219" s="12"/>
      <c r="BP219" s="2"/>
      <c r="BQ219" s="2"/>
      <c r="BR219" s="2"/>
      <c r="BS219" s="65"/>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7"/>
      <c r="BL220" s="12"/>
      <c r="BM220" s="12"/>
      <c r="BN220" s="12"/>
      <c r="BO220" s="12"/>
      <c r="BP220" s="2"/>
      <c r="BQ220" s="2"/>
      <c r="BR220" s="2"/>
      <c r="BS220" s="65"/>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7"/>
      <c r="BL221" s="12"/>
      <c r="BM221" s="12"/>
      <c r="BN221" s="12"/>
      <c r="BO221" s="12"/>
      <c r="BP221" s="2"/>
      <c r="BQ221" s="2"/>
      <c r="BR221" s="2"/>
      <c r="BS221" s="65"/>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7"/>
      <c r="BL222" s="12"/>
      <c r="BM222" s="12"/>
      <c r="BN222" s="12"/>
      <c r="BO222" s="12"/>
      <c r="BP222" s="2"/>
      <c r="BQ222" s="2"/>
      <c r="BR222" s="2"/>
      <c r="BS222" s="65"/>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5"/>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5"/>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5"/>
      <c r="BT225" s="12"/>
      <c r="BU225" s="13"/>
      <c r="BV225" s="13"/>
      <c r="BW225" s="12"/>
      <c r="BX225" s="12"/>
      <c r="BY225" s="12"/>
      <c r="BZ225" s="12"/>
      <c r="CA225" s="27"/>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5"/>
      <c r="BT226" s="12"/>
      <c r="BU226" s="13"/>
      <c r="BV226" s="13"/>
      <c r="BW226" s="12"/>
      <c r="BX226" s="12"/>
      <c r="BY226" s="12"/>
      <c r="BZ226" s="12"/>
      <c r="CA226" s="27"/>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5"/>
      <c r="BT227" s="12"/>
      <c r="BU227" s="13"/>
      <c r="BV227" s="13"/>
      <c r="BW227" s="12"/>
      <c r="BX227" s="12"/>
      <c r="BY227" s="12"/>
      <c r="BZ227" s="12"/>
      <c r="CA227" s="27"/>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5"/>
      <c r="BT228" s="12"/>
      <c r="BU228" s="13"/>
      <c r="BV228" s="13"/>
      <c r="BW228" s="12"/>
      <c r="BX228" s="12"/>
      <c r="BY228" s="12"/>
      <c r="BZ228" s="12"/>
      <c r="CA228" s="27"/>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5"/>
      <c r="BT229" s="12"/>
      <c r="BU229" s="13"/>
      <c r="BV229" s="13"/>
      <c r="BW229" s="12"/>
      <c r="BX229" s="12"/>
      <c r="BY229" s="12"/>
      <c r="BZ229" s="73"/>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5"/>
      <c r="BT230" s="12"/>
      <c r="BU230" s="13"/>
      <c r="BV230" s="13"/>
      <c r="BW230" s="12"/>
      <c r="BX230" s="12"/>
      <c r="BY230" s="12"/>
      <c r="BZ230" s="12"/>
      <c r="CA230" s="27"/>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5"/>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5"/>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5"/>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5"/>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5"/>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5"/>
      <c r="BT236" s="12"/>
      <c r="BU236" s="13"/>
      <c r="BV236" s="13"/>
      <c r="BW236" s="12"/>
      <c r="BX236" s="12"/>
      <c r="BY236" s="12"/>
      <c r="BZ236" s="12"/>
      <c r="CA236" s="27"/>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5"/>
      <c r="BT237" s="12"/>
      <c r="BU237" s="13"/>
      <c r="BV237" s="13"/>
      <c r="BW237" s="12"/>
      <c r="BX237" s="12"/>
      <c r="BY237" s="12"/>
      <c r="BZ237" s="12"/>
      <c r="CA237" s="27"/>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5"/>
      <c r="BT238" s="12"/>
      <c r="BU238" s="13"/>
      <c r="BV238" s="13"/>
      <c r="BW238" s="12"/>
      <c r="BX238" s="12"/>
      <c r="BY238" s="12"/>
      <c r="BZ238" s="12"/>
      <c r="CA238" s="27"/>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5"/>
      <c r="BT239" s="12"/>
      <c r="BU239" s="13"/>
      <c r="BV239" s="13"/>
      <c r="BW239" s="12"/>
      <c r="BX239" s="12"/>
      <c r="BY239" s="12"/>
      <c r="BZ239" s="12"/>
      <c r="CA239" s="27"/>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5"/>
      <c r="BT240" s="12"/>
      <c r="BU240" s="13"/>
      <c r="BV240" s="13"/>
      <c r="BW240" s="12"/>
      <c r="BX240" s="12"/>
      <c r="BY240" s="12"/>
      <c r="BZ240" s="12"/>
      <c r="CA240" s="27"/>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5"/>
      <c r="BT241" s="12"/>
      <c r="BU241" s="13"/>
      <c r="BV241" s="13"/>
      <c r="BW241" s="12"/>
      <c r="BX241" s="12"/>
      <c r="BY241" s="12"/>
      <c r="BZ241" s="12"/>
      <c r="CA241" s="27"/>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5"/>
      <c r="BT242" s="12"/>
      <c r="BU242" s="13"/>
      <c r="BV242" s="13"/>
      <c r="BW242" s="12"/>
      <c r="BX242" s="12"/>
      <c r="BY242" s="12"/>
      <c r="BZ242" s="12"/>
      <c r="CA242" s="27"/>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5"/>
      <c r="BT243" s="12"/>
      <c r="BU243" s="13"/>
      <c r="BV243" s="13"/>
      <c r="BW243" s="12"/>
      <c r="BX243" s="12"/>
      <c r="BY243" s="12"/>
      <c r="BZ243" s="12"/>
      <c r="CA243" s="27"/>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5"/>
      <c r="BT244" s="12"/>
      <c r="BU244" s="13"/>
      <c r="BV244" s="13"/>
      <c r="BW244" s="12"/>
      <c r="BX244" s="12"/>
      <c r="BY244" s="12"/>
      <c r="BZ244" s="12"/>
      <c r="CA244" s="27"/>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5"/>
      <c r="BT245" s="12"/>
      <c r="BU245" s="13"/>
      <c r="BV245" s="13"/>
      <c r="BW245" s="12"/>
      <c r="BX245" s="12"/>
      <c r="BY245" s="12"/>
      <c r="BZ245" s="73"/>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5"/>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5"/>
      <c r="BT247" s="12"/>
      <c r="BU247" s="13"/>
      <c r="BV247" s="13"/>
      <c r="BW247" s="12"/>
      <c r="BX247" s="12"/>
      <c r="BY247" s="12"/>
      <c r="BZ247" s="12"/>
      <c r="CA247" s="27"/>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5"/>
      <c r="BT248" s="12"/>
      <c r="BU248" s="13"/>
      <c r="BV248" s="13"/>
      <c r="BW248" s="12"/>
      <c r="BX248" s="12"/>
      <c r="BY248" s="12"/>
      <c r="BZ248" s="12"/>
      <c r="CA248" s="27"/>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5"/>
      <c r="BT249" s="12"/>
      <c r="BU249" s="13"/>
      <c r="BV249" s="13"/>
      <c r="BW249" s="12"/>
      <c r="BX249" s="12"/>
      <c r="BY249" s="12"/>
      <c r="BZ249" s="12"/>
      <c r="CA249" s="27"/>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5"/>
      <c r="BT250" s="12"/>
      <c r="BU250" s="13"/>
      <c r="BV250" s="13"/>
      <c r="BW250" s="12"/>
      <c r="BX250" s="12"/>
      <c r="BY250" s="12"/>
      <c r="BZ250" s="12"/>
      <c r="CA250" s="27"/>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5"/>
      <c r="BT251" s="12"/>
      <c r="BU251" s="13"/>
      <c r="BV251" s="13"/>
      <c r="BW251" s="12"/>
      <c r="BX251" s="12"/>
      <c r="BY251" s="12"/>
      <c r="BZ251" s="12"/>
      <c r="CA251" s="27"/>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5"/>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5"/>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5"/>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5"/>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5"/>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5"/>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5"/>
      <c r="BT258" s="12"/>
      <c r="BU258" s="13"/>
      <c r="BV258" s="13"/>
      <c r="BW258" s="12"/>
      <c r="BX258" s="12"/>
      <c r="BY258" s="12"/>
      <c r="BZ258" s="12"/>
      <c r="CA258" s="27"/>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5"/>
      <c r="BT259" s="12"/>
      <c r="BU259" s="13"/>
      <c r="BV259" s="13"/>
      <c r="BW259" s="12"/>
      <c r="BX259" s="12"/>
      <c r="BY259" s="12"/>
      <c r="BZ259" s="12"/>
      <c r="CA259" s="27"/>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5"/>
      <c r="BT260" s="12"/>
      <c r="BU260" s="13"/>
      <c r="BV260" s="13"/>
      <c r="BW260" s="12"/>
      <c r="BX260" s="12"/>
      <c r="BY260" s="12"/>
      <c r="BZ260" s="12"/>
      <c r="CA260" s="27"/>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5"/>
      <c r="BT261" s="12"/>
      <c r="BU261" s="13"/>
      <c r="BV261" s="13"/>
      <c r="BW261" s="12"/>
      <c r="BX261" s="12"/>
      <c r="BY261" s="12"/>
      <c r="BZ261" s="73"/>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5"/>
      <c r="BT262" s="12"/>
      <c r="BU262" s="13"/>
      <c r="BV262" s="13"/>
      <c r="BW262" s="12"/>
      <c r="BX262" s="12"/>
      <c r="BY262" s="12"/>
      <c r="BZ262" s="12"/>
      <c r="CA262" s="27"/>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5"/>
      <c r="BT263" s="12"/>
      <c r="BU263" s="13"/>
      <c r="BV263" s="13"/>
      <c r="BW263" s="12"/>
      <c r="BX263" s="12"/>
      <c r="BY263" s="12"/>
      <c r="BZ263" s="12"/>
      <c r="CA263" s="27"/>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5"/>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5"/>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5"/>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5"/>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5"/>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5"/>
      <c r="BT269" s="12"/>
      <c r="BU269" s="13"/>
      <c r="BV269" s="13"/>
      <c r="BW269" s="12"/>
      <c r="BX269" s="12"/>
      <c r="BY269" s="12"/>
      <c r="BZ269" s="12"/>
      <c r="CA269" s="27"/>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5"/>
      <c r="BT270" s="12"/>
      <c r="BU270" s="13"/>
      <c r="BV270" s="13"/>
      <c r="BW270" s="12"/>
      <c r="BX270" s="12"/>
      <c r="BY270" s="12"/>
      <c r="BZ270" s="12"/>
      <c r="CA270" s="27"/>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5"/>
      <c r="BT271" s="12"/>
      <c r="BU271" s="13"/>
      <c r="BV271" s="13"/>
      <c r="BW271" s="12"/>
      <c r="BX271" s="12"/>
      <c r="BY271" s="12"/>
      <c r="BZ271" s="12"/>
      <c r="CA271" s="27"/>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5"/>
      <c r="BT272" s="12"/>
      <c r="BU272" s="13"/>
      <c r="BV272" s="13"/>
      <c r="BW272" s="12"/>
      <c r="BX272" s="12"/>
      <c r="BY272" s="12"/>
      <c r="BZ272" s="73"/>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5"/>
      <c r="BT273" s="12"/>
      <c r="BU273" s="13"/>
      <c r="BV273" s="13"/>
      <c r="BW273" s="12"/>
      <c r="BX273" s="12"/>
      <c r="BY273" s="12"/>
      <c r="BZ273" s="12"/>
      <c r="CA273" s="27"/>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5"/>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5"/>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5"/>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5"/>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5"/>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5"/>
      <c r="BT279" s="12"/>
      <c r="BU279" s="13"/>
      <c r="BV279" s="13"/>
      <c r="BW279" s="12"/>
      <c r="BX279" s="12"/>
      <c r="BY279" s="12"/>
      <c r="BZ279" s="12"/>
      <c r="CA279" s="27"/>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5"/>
      <c r="BT280" s="12"/>
      <c r="BU280" s="13"/>
      <c r="BV280" s="13"/>
      <c r="BW280" s="12"/>
      <c r="BX280" s="12"/>
      <c r="BY280" s="12"/>
      <c r="BZ280" s="12"/>
      <c r="CA280" s="27"/>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5"/>
      <c r="BT281" s="12"/>
      <c r="BU281" s="13"/>
      <c r="BV281" s="13"/>
      <c r="BW281" s="12"/>
      <c r="BX281" s="12"/>
      <c r="BY281" s="12"/>
      <c r="BZ281" s="12"/>
      <c r="CA281" s="27"/>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5"/>
      <c r="BT282" s="12"/>
      <c r="BU282" s="13"/>
      <c r="BV282" s="13"/>
      <c r="BW282" s="12"/>
      <c r="BX282" s="12"/>
      <c r="BY282" s="12"/>
      <c r="BZ282" s="12"/>
      <c r="CA282" s="27"/>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5"/>
      <c r="BT283" s="12"/>
      <c r="BU283" s="13"/>
      <c r="BV283" s="13"/>
      <c r="BW283" s="12"/>
      <c r="BX283" s="12"/>
      <c r="BY283" s="12"/>
      <c r="BZ283" s="12"/>
      <c r="CA283" s="27"/>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5"/>
      <c r="BT284" s="12"/>
      <c r="BU284" s="13"/>
      <c r="BV284" s="13"/>
      <c r="BW284" s="12"/>
      <c r="BX284" s="12"/>
      <c r="BY284" s="12"/>
      <c r="BZ284" s="12"/>
      <c r="CA284" s="27"/>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5"/>
      <c r="BT285" s="12"/>
      <c r="BU285" s="13"/>
      <c r="BV285" s="13"/>
      <c r="BW285" s="12"/>
      <c r="BX285" s="12"/>
      <c r="BY285" s="12"/>
      <c r="BZ285" s="12"/>
      <c r="CA285" s="27"/>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5"/>
      <c r="BT286" s="12"/>
      <c r="BU286" s="13"/>
      <c r="BV286" s="13"/>
      <c r="BW286" s="12"/>
      <c r="BX286" s="12"/>
      <c r="BY286" s="12"/>
      <c r="BZ286" s="73"/>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5"/>
      <c r="BT287" s="12"/>
      <c r="BU287" s="13"/>
      <c r="BV287" s="13"/>
      <c r="BW287" s="12"/>
      <c r="BX287" s="12"/>
      <c r="BY287" s="12"/>
      <c r="BZ287" s="12"/>
      <c r="CA287" s="27"/>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5"/>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5"/>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5"/>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5"/>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5"/>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5"/>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5"/>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5"/>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5"/>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5"/>
      <c r="BT297" s="12"/>
      <c r="BU297" s="13"/>
      <c r="BV297" s="13"/>
      <c r="BW297" s="12"/>
      <c r="BX297" s="12"/>
      <c r="BY297" s="12"/>
      <c r="BZ297" s="73"/>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5"/>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5"/>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5"/>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5"/>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5"/>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5"/>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5"/>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5"/>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5"/>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5"/>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5"/>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5"/>
      <c r="BT309" s="12"/>
      <c r="BU309" s="13"/>
      <c r="BV309" s="13"/>
      <c r="BW309" s="12"/>
      <c r="BX309" s="12"/>
      <c r="BY309" s="12"/>
      <c r="BZ309" s="73"/>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5"/>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5"/>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5"/>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5"/>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5"/>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5"/>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5"/>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5"/>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5"/>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5"/>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5"/>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5"/>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5"/>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5"/>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5"/>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5"/>
      <c r="BT325" s="12"/>
      <c r="BU325" s="13"/>
      <c r="BV325" s="13"/>
      <c r="BW325" s="12"/>
      <c r="BX325" s="12"/>
      <c r="BY325" s="12"/>
      <c r="BZ325" s="73"/>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5"/>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5"/>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5"/>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5"/>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5"/>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5"/>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5"/>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5"/>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5"/>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5"/>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5"/>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5"/>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5"/>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5"/>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5"/>
      <c r="BT340" s="12"/>
      <c r="BU340" s="13"/>
      <c r="BV340" s="13"/>
      <c r="BW340" s="12"/>
      <c r="BX340" s="12"/>
      <c r="BY340" s="12"/>
      <c r="BZ340" s="73"/>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5"/>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5"/>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5"/>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5"/>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5"/>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5"/>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5"/>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5"/>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5"/>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5"/>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5"/>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5"/>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5"/>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5"/>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5"/>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5"/>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5"/>
      <c r="BT357" s="12"/>
      <c r="BU357" s="13"/>
      <c r="BV357" s="13"/>
      <c r="BW357" s="12"/>
      <c r="BX357" s="12"/>
      <c r="BY357" s="12"/>
      <c r="BZ357" s="73"/>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5"/>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5"/>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5"/>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5"/>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5"/>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5"/>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5"/>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5"/>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5"/>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5"/>
      <c r="BT367" s="12"/>
      <c r="BU367" s="13"/>
      <c r="BV367" s="13"/>
      <c r="BW367" s="12"/>
      <c r="BX367" s="12"/>
      <c r="BY367" s="12"/>
      <c r="BZ367" s="73"/>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5"/>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5"/>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5"/>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5"/>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E47:F47"/>
    <mergeCell ref="G47:J47"/>
    <mergeCell ref="C45:D45"/>
    <mergeCell ref="E45:F45"/>
    <mergeCell ref="G45:J45"/>
    <mergeCell ref="C46:D46"/>
    <mergeCell ref="E46:F46"/>
    <mergeCell ref="G46:J46"/>
    <mergeCell ref="C47:D47"/>
    <mergeCell ref="E50:F50"/>
    <mergeCell ref="G50:J50"/>
    <mergeCell ref="C48:D48"/>
    <mergeCell ref="E48:F48"/>
    <mergeCell ref="G48:J48"/>
    <mergeCell ref="C49:D49"/>
    <mergeCell ref="E49:F49"/>
    <mergeCell ref="G49:J49"/>
    <mergeCell ref="C50:D50"/>
    <mergeCell ref="B60:F60"/>
    <mergeCell ref="B84:F84"/>
    <mergeCell ref="C51:D51"/>
    <mergeCell ref="E51:F51"/>
    <mergeCell ref="G51:J51"/>
    <mergeCell ref="C52:D52"/>
    <mergeCell ref="E52:F52"/>
    <mergeCell ref="G52:J52"/>
    <mergeCell ref="B59:F59"/>
    <mergeCell ref="A53:AO53"/>
    <mergeCell ref="AC59:AG59"/>
    <mergeCell ref="AK59:AO59"/>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4:I24"/>
    <mergeCell ref="C25:I25"/>
    <mergeCell ref="C26:I26"/>
    <mergeCell ref="C27:I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K37:L37"/>
    <mergeCell ref="M37:N37"/>
    <mergeCell ref="K38:L38"/>
    <mergeCell ref="M38:N38"/>
    <mergeCell ref="K39:L39"/>
    <mergeCell ref="M39:N39"/>
    <mergeCell ref="W38:X38"/>
    <mergeCell ref="Y38:Z38"/>
    <mergeCell ref="O38:P38"/>
    <mergeCell ref="Q38:R38"/>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O40:P40"/>
    <mergeCell ref="Q40:R40"/>
    <mergeCell ref="S40:T40"/>
    <mergeCell ref="U40:V40"/>
    <mergeCell ref="W40:X40"/>
    <mergeCell ref="Y40:Z40"/>
    <mergeCell ref="AA40:AB40"/>
    <mergeCell ref="AC40:AD40"/>
    <mergeCell ref="AE40:AF40"/>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Y49:Z49"/>
    <mergeCell ref="AA49:AB49"/>
    <mergeCell ref="AC49:AD49"/>
    <mergeCell ref="AE49:AF49"/>
    <mergeCell ref="AG49:AH49"/>
    <mergeCell ref="K49:L49"/>
    <mergeCell ref="M49:N49"/>
    <mergeCell ref="O49:P49"/>
    <mergeCell ref="Q49:R49"/>
    <mergeCell ref="S49:T49"/>
    <mergeCell ref="U49:V49"/>
    <mergeCell ref="W49:X49"/>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AJ8:AK8"/>
    <mergeCell ref="AL8:AM8"/>
    <mergeCell ref="AN8:AO8"/>
    <mergeCell ref="O3:Y3"/>
    <mergeCell ref="O4:Y4"/>
    <mergeCell ref="AJ4:AK4"/>
    <mergeCell ref="AL4:AM4"/>
    <mergeCell ref="AJ5:AK5"/>
    <mergeCell ref="AL5:AM5"/>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O16:Y16"/>
    <mergeCell ref="AJ16:AK16"/>
    <mergeCell ref="AL16:AM16"/>
    <mergeCell ref="AN16:AO16"/>
    <mergeCell ref="O17:Y17"/>
    <mergeCell ref="AJ17:AK17"/>
    <mergeCell ref="AL17:AM17"/>
    <mergeCell ref="AN17:AO17"/>
    <mergeCell ref="O18:Y18"/>
    <mergeCell ref="Z18:AM18"/>
    <mergeCell ref="AN18:AO18"/>
    <mergeCell ref="O19:Y19"/>
    <mergeCell ref="Z19:AM19"/>
    <mergeCell ref="AN19:AO19"/>
    <mergeCell ref="O20:Y20"/>
    <mergeCell ref="Z20:AM20"/>
    <mergeCell ref="AN20:AO20"/>
    <mergeCell ref="J21:Q21"/>
    <mergeCell ref="R21:V21"/>
    <mergeCell ref="Y21:Z21"/>
    <mergeCell ref="AB21:AC21"/>
    <mergeCell ref="AD21:AH21"/>
    <mergeCell ref="AI21:AO21"/>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Y45:Z45"/>
    <mergeCell ref="AA45:AB45"/>
    <mergeCell ref="AC45:AD45"/>
    <mergeCell ref="AE45:AF45"/>
    <mergeCell ref="AG45:AH45"/>
    <mergeCell ref="K45:L45"/>
    <mergeCell ref="M45:N45"/>
    <mergeCell ref="O45:P45"/>
    <mergeCell ref="Q45:R45"/>
    <mergeCell ref="S45:T45"/>
    <mergeCell ref="U45:V45"/>
    <mergeCell ref="W45:X45"/>
    <mergeCell ref="Y46:Z46"/>
    <mergeCell ref="AA46:AB46"/>
    <mergeCell ref="AC46:AD46"/>
    <mergeCell ref="AE46:AF46"/>
    <mergeCell ref="AG46:AH46"/>
    <mergeCell ref="K46:L46"/>
    <mergeCell ref="M46:N46"/>
    <mergeCell ref="O46:P46"/>
    <mergeCell ref="Q46:R46"/>
    <mergeCell ref="S46:T46"/>
    <mergeCell ref="U46:V46"/>
    <mergeCell ref="W46:X46"/>
  </mergeCells>
  <conditionalFormatting sqref="B37:AF52">
    <cfRule type="cellIs" dxfId="347" priority="1" operator="equal">
      <formula>0</formula>
    </cfRule>
  </conditionalFormatting>
  <conditionalFormatting sqref="AG37:AH52">
    <cfRule type="cellIs" dxfId="346" priority="2" operator="equal">
      <formula>0</formula>
    </cfRule>
  </conditionalFormatting>
  <conditionalFormatting sqref="B9 G9:H9">
    <cfRule type="expression" dxfId="345" priority="3">
      <formula>$AR$64="MNG"</formula>
    </cfRule>
  </conditionalFormatting>
  <conditionalFormatting sqref="B9 G9:H9">
    <cfRule type="cellIs" dxfId="344" priority="4" operator="equal">
      <formula>0</formula>
    </cfRule>
  </conditionalFormatting>
  <conditionalFormatting sqref="B10 G10:H10">
    <cfRule type="expression" dxfId="343" priority="5">
      <formula>$AR$65="MNG"</formula>
    </cfRule>
  </conditionalFormatting>
  <conditionalFormatting sqref="B10 G10:H10">
    <cfRule type="cellIs" dxfId="342" priority="6" operator="equal">
      <formula>0</formula>
    </cfRule>
  </conditionalFormatting>
  <conditionalFormatting sqref="G2:N19 O18:AM19">
    <cfRule type="cellIs" dxfId="341" priority="7" operator="equal">
      <formula>0</formula>
    </cfRule>
  </conditionalFormatting>
  <conditionalFormatting sqref="L2:N2 L3:M17 N3:N14 N16:N17">
    <cfRule type="cellIs" dxfId="340" priority="8" operator="equal">
      <formula>"0+"</formula>
    </cfRule>
  </conditionalFormatting>
  <conditionalFormatting sqref="W32">
    <cfRule type="cellIs" dxfId="339" priority="9" operator="equal">
      <formula>0</formula>
    </cfRule>
  </conditionalFormatting>
  <conditionalFormatting sqref="B3 G3:H3">
    <cfRule type="expression" dxfId="338" priority="10">
      <formula>#REF!="MNG"</formula>
    </cfRule>
  </conditionalFormatting>
  <conditionalFormatting sqref="B3 G3:H3">
    <cfRule type="cellIs" dxfId="337" priority="11" operator="equal">
      <formula>0</formula>
    </cfRule>
  </conditionalFormatting>
  <conditionalFormatting sqref="B4 G4:H4">
    <cfRule type="expression" dxfId="336" priority="12">
      <formula>#REF!="MNG"</formula>
    </cfRule>
  </conditionalFormatting>
  <conditionalFormatting sqref="B4 G4:H4">
    <cfRule type="cellIs" dxfId="335" priority="13" operator="equal">
      <formula>0</formula>
    </cfRule>
  </conditionalFormatting>
  <conditionalFormatting sqref="B5 G5:H5">
    <cfRule type="expression" dxfId="334" priority="14">
      <formula>$BJ$39="MNG"</formula>
    </cfRule>
  </conditionalFormatting>
  <conditionalFormatting sqref="B5 G5:H5">
    <cfRule type="cellIs" dxfId="333" priority="15" operator="equal">
      <formula>0</formula>
    </cfRule>
  </conditionalFormatting>
  <conditionalFormatting sqref="B11 G11:H11">
    <cfRule type="expression" dxfId="332" priority="16">
      <formula>$BJ$45="MNG"</formula>
    </cfRule>
  </conditionalFormatting>
  <conditionalFormatting sqref="B11 G11:H11">
    <cfRule type="cellIs" dxfId="331" priority="17" operator="equal">
      <formula>0</formula>
    </cfRule>
  </conditionalFormatting>
  <conditionalFormatting sqref="B12 G12:H12">
    <cfRule type="expression" dxfId="330" priority="18">
      <formula>$BJ$46="MNG"</formula>
    </cfRule>
  </conditionalFormatting>
  <conditionalFormatting sqref="B12 G12:H12">
    <cfRule type="cellIs" dxfId="329" priority="19" operator="equal">
      <formula>0</formula>
    </cfRule>
  </conditionalFormatting>
  <conditionalFormatting sqref="B13 G13:H13">
    <cfRule type="expression" dxfId="328" priority="20">
      <formula>$BJ$47="MNG"</formula>
    </cfRule>
  </conditionalFormatting>
  <conditionalFormatting sqref="B13 G13:H13">
    <cfRule type="cellIs" dxfId="327" priority="21" operator="equal">
      <formula>0</formula>
    </cfRule>
  </conditionalFormatting>
  <conditionalFormatting sqref="B14 G14:H14">
    <cfRule type="expression" dxfId="326" priority="22">
      <formula>$BJ$48="MNG"</formula>
    </cfRule>
  </conditionalFormatting>
  <conditionalFormatting sqref="B14 G14:H14">
    <cfRule type="cellIs" dxfId="325" priority="23" operator="equal">
      <formula>0</formula>
    </cfRule>
  </conditionalFormatting>
  <conditionalFormatting sqref="J3">
    <cfRule type="cellIs" dxfId="324" priority="24" operator="lessThan">
      <formula>W62</formula>
    </cfRule>
  </conditionalFormatting>
  <conditionalFormatting sqref="J3">
    <cfRule type="cellIs" dxfId="323" priority="25" operator="greaterThan">
      <formula>W62</formula>
    </cfRule>
  </conditionalFormatting>
  <conditionalFormatting sqref="J4">
    <cfRule type="cellIs" dxfId="322" priority="26" operator="lessThan">
      <formula>W63</formula>
    </cfRule>
  </conditionalFormatting>
  <conditionalFormatting sqref="J4">
    <cfRule type="cellIs" dxfId="321" priority="27" operator="greaterThan">
      <formula>W63</formula>
    </cfRule>
  </conditionalFormatting>
  <conditionalFormatting sqref="J5">
    <cfRule type="cellIs" dxfId="320" priority="28" operator="lessThan">
      <formula>W64</formula>
    </cfRule>
  </conditionalFormatting>
  <conditionalFormatting sqref="J5">
    <cfRule type="cellIs" dxfId="319" priority="29" operator="greaterThan">
      <formula>W64</formula>
    </cfRule>
  </conditionalFormatting>
  <conditionalFormatting sqref="J6">
    <cfRule type="cellIs" dxfId="318" priority="30" operator="lessThan">
      <formula>W65</formula>
    </cfRule>
  </conditionalFormatting>
  <conditionalFormatting sqref="J6">
    <cfRule type="cellIs" dxfId="317" priority="31" operator="greaterThan">
      <formula>W65</formula>
    </cfRule>
  </conditionalFormatting>
  <conditionalFormatting sqref="J7">
    <cfRule type="cellIs" dxfId="316" priority="32" operator="lessThan">
      <formula>W66</formula>
    </cfRule>
  </conditionalFormatting>
  <conditionalFormatting sqref="J7">
    <cfRule type="cellIs" dxfId="315" priority="33" operator="greaterThan">
      <formula>W66</formula>
    </cfRule>
  </conditionalFormatting>
  <conditionalFormatting sqref="J8">
    <cfRule type="cellIs" dxfId="314" priority="34" operator="lessThan">
      <formula>W67</formula>
    </cfRule>
  </conditionalFormatting>
  <conditionalFormatting sqref="J8">
    <cfRule type="cellIs" dxfId="313" priority="35" operator="greaterThan">
      <formula>W67</formula>
    </cfRule>
  </conditionalFormatting>
  <conditionalFormatting sqref="J9">
    <cfRule type="cellIs" dxfId="312" priority="36" operator="lessThan">
      <formula>W68</formula>
    </cfRule>
  </conditionalFormatting>
  <conditionalFormatting sqref="J9">
    <cfRule type="cellIs" dxfId="311" priority="37" operator="greaterThan">
      <formula>W68</formula>
    </cfRule>
  </conditionalFormatting>
  <conditionalFormatting sqref="J10">
    <cfRule type="cellIs" dxfId="310" priority="38" operator="lessThan">
      <formula>W69</formula>
    </cfRule>
  </conditionalFormatting>
  <conditionalFormatting sqref="J10">
    <cfRule type="cellIs" dxfId="309" priority="39" operator="greaterThan">
      <formula>W69</formula>
    </cfRule>
  </conditionalFormatting>
  <conditionalFormatting sqref="J11">
    <cfRule type="cellIs" dxfId="308" priority="40" operator="lessThan">
      <formula>W70</formula>
    </cfRule>
  </conditionalFormatting>
  <conditionalFormatting sqref="J11">
    <cfRule type="cellIs" dxfId="307" priority="41" operator="greaterThan">
      <formula>W70</formula>
    </cfRule>
  </conditionalFormatting>
  <conditionalFormatting sqref="J12">
    <cfRule type="cellIs" dxfId="306" priority="42" operator="lessThan">
      <formula>W71</formula>
    </cfRule>
  </conditionalFormatting>
  <conditionalFormatting sqref="J12">
    <cfRule type="cellIs" dxfId="305" priority="43" operator="greaterThan">
      <formula>W71</formula>
    </cfRule>
  </conditionalFormatting>
  <conditionalFormatting sqref="J13">
    <cfRule type="cellIs" dxfId="304" priority="44" operator="lessThan">
      <formula>W72</formula>
    </cfRule>
  </conditionalFormatting>
  <conditionalFormatting sqref="J13">
    <cfRule type="cellIs" dxfId="303" priority="45" operator="greaterThan">
      <formula>W72</formula>
    </cfRule>
  </conditionalFormatting>
  <conditionalFormatting sqref="J14">
    <cfRule type="cellIs" dxfId="302" priority="46" operator="lessThan">
      <formula>W73</formula>
    </cfRule>
  </conditionalFormatting>
  <conditionalFormatting sqref="J14">
    <cfRule type="cellIs" dxfId="301" priority="47" operator="greaterThan">
      <formula>W73</formula>
    </cfRule>
  </conditionalFormatting>
  <conditionalFormatting sqref="J16">
    <cfRule type="cellIs" dxfId="300" priority="48" operator="lessThan">
      <formula>W75</formula>
    </cfRule>
  </conditionalFormatting>
  <conditionalFormatting sqref="J16">
    <cfRule type="cellIs" dxfId="299" priority="49" operator="greaterThan">
      <formula>W75</formula>
    </cfRule>
  </conditionalFormatting>
  <conditionalFormatting sqref="J17">
    <cfRule type="cellIs" dxfId="298" priority="50" operator="lessThan">
      <formula>W76</formula>
    </cfRule>
  </conditionalFormatting>
  <conditionalFormatting sqref="J17">
    <cfRule type="cellIs" dxfId="297" priority="51" operator="greaterThan">
      <formula>W76</formula>
    </cfRule>
  </conditionalFormatting>
  <conditionalFormatting sqref="K3">
    <cfRule type="cellIs" dxfId="296" priority="52" operator="lessThan">
      <formula>X62</formula>
    </cfRule>
  </conditionalFormatting>
  <conditionalFormatting sqref="K3">
    <cfRule type="cellIs" dxfId="295" priority="53" operator="greaterThan">
      <formula>X62</formula>
    </cfRule>
  </conditionalFormatting>
  <conditionalFormatting sqref="N3">
    <cfRule type="cellIs" dxfId="294" priority="54" operator="equal">
      <formula>"0+"</formula>
    </cfRule>
  </conditionalFormatting>
  <conditionalFormatting sqref="N3">
    <cfRule type="expression" dxfId="293" priority="55">
      <formula>O62&lt;AA62</formula>
    </cfRule>
  </conditionalFormatting>
  <conditionalFormatting sqref="N3">
    <cfRule type="expression" dxfId="292" priority="56">
      <formula>O62&gt;AA62</formula>
    </cfRule>
  </conditionalFormatting>
  <conditionalFormatting sqref="K4">
    <cfRule type="cellIs" dxfId="291" priority="57" operator="lessThan">
      <formula>X63</formula>
    </cfRule>
  </conditionalFormatting>
  <conditionalFormatting sqref="K4">
    <cfRule type="cellIs" dxfId="290" priority="58" operator="greaterThan">
      <formula>X63</formula>
    </cfRule>
  </conditionalFormatting>
  <conditionalFormatting sqref="N4">
    <cfRule type="cellIs" dxfId="289" priority="59" operator="equal">
      <formula>"0+"</formula>
    </cfRule>
  </conditionalFormatting>
  <conditionalFormatting sqref="N4">
    <cfRule type="expression" dxfId="288" priority="60">
      <formula>O63&lt;AA63</formula>
    </cfRule>
  </conditionalFormatting>
  <conditionalFormatting sqref="N4">
    <cfRule type="expression" dxfId="287" priority="61">
      <formula>O63&gt;AA63</formula>
    </cfRule>
  </conditionalFormatting>
  <conditionalFormatting sqref="K5">
    <cfRule type="cellIs" dxfId="286" priority="62" operator="lessThan">
      <formula>X64</formula>
    </cfRule>
  </conditionalFormatting>
  <conditionalFormatting sqref="K5">
    <cfRule type="cellIs" dxfId="285" priority="63" operator="greaterThan">
      <formula>X64</formula>
    </cfRule>
  </conditionalFormatting>
  <conditionalFormatting sqref="N5">
    <cfRule type="cellIs" dxfId="284" priority="64" operator="equal">
      <formula>"0+"</formula>
    </cfRule>
  </conditionalFormatting>
  <conditionalFormatting sqref="N5">
    <cfRule type="expression" dxfId="283" priority="65">
      <formula>O64&lt;AA64</formula>
    </cfRule>
  </conditionalFormatting>
  <conditionalFormatting sqref="N5">
    <cfRule type="expression" dxfId="282" priority="66">
      <formula>O64&gt;AA64</formula>
    </cfRule>
  </conditionalFormatting>
  <conditionalFormatting sqref="K6">
    <cfRule type="cellIs" dxfId="281" priority="67" operator="lessThan">
      <formula>X65</formula>
    </cfRule>
  </conditionalFormatting>
  <conditionalFormatting sqref="K6">
    <cfRule type="cellIs" dxfId="280" priority="68" operator="greaterThan">
      <formula>X65</formula>
    </cfRule>
  </conditionalFormatting>
  <conditionalFormatting sqref="N6">
    <cfRule type="cellIs" dxfId="279" priority="69" operator="equal">
      <formula>"0+"</formula>
    </cfRule>
  </conditionalFormatting>
  <conditionalFormatting sqref="N6">
    <cfRule type="expression" dxfId="278" priority="70">
      <formula>O65&lt;AA65</formula>
    </cfRule>
  </conditionalFormatting>
  <conditionalFormatting sqref="N6">
    <cfRule type="expression" dxfId="277" priority="71">
      <formula>O65&gt;AA65</formula>
    </cfRule>
  </conditionalFormatting>
  <conditionalFormatting sqref="K7">
    <cfRule type="cellIs" dxfId="276" priority="72" operator="lessThan">
      <formula>X66</formula>
    </cfRule>
  </conditionalFormatting>
  <conditionalFormatting sqref="K7">
    <cfRule type="cellIs" dxfId="275" priority="73" operator="greaterThan">
      <formula>X66</formula>
    </cfRule>
  </conditionalFormatting>
  <conditionalFormatting sqref="N7">
    <cfRule type="cellIs" dxfId="274" priority="74" operator="equal">
      <formula>"0+"</formula>
    </cfRule>
  </conditionalFormatting>
  <conditionalFormatting sqref="N7">
    <cfRule type="expression" dxfId="273" priority="75">
      <formula>O66&lt;AA66</formula>
    </cfRule>
  </conditionalFormatting>
  <conditionalFormatting sqref="N7">
    <cfRule type="expression" dxfId="272" priority="76">
      <formula>O66&gt;AA66</formula>
    </cfRule>
  </conditionalFormatting>
  <conditionalFormatting sqref="K8">
    <cfRule type="cellIs" dxfId="271" priority="77" operator="lessThan">
      <formula>X67</formula>
    </cfRule>
  </conditionalFormatting>
  <conditionalFormatting sqref="K8">
    <cfRule type="cellIs" dxfId="270" priority="78" operator="greaterThan">
      <formula>X67</formula>
    </cfRule>
  </conditionalFormatting>
  <conditionalFormatting sqref="N8">
    <cfRule type="cellIs" dxfId="269" priority="79" operator="equal">
      <formula>"0+"</formula>
    </cfRule>
  </conditionalFormatting>
  <conditionalFormatting sqref="N8">
    <cfRule type="expression" dxfId="268" priority="80">
      <formula>O67&lt;AA67</formula>
    </cfRule>
  </conditionalFormatting>
  <conditionalFormatting sqref="N8">
    <cfRule type="expression" dxfId="267" priority="81">
      <formula>O67&gt;AA67</formula>
    </cfRule>
  </conditionalFormatting>
  <conditionalFormatting sqref="K9">
    <cfRule type="cellIs" dxfId="266" priority="82" operator="lessThan">
      <formula>X68</formula>
    </cfRule>
  </conditionalFormatting>
  <conditionalFormatting sqref="K9">
    <cfRule type="cellIs" dxfId="265" priority="83" operator="greaterThan">
      <formula>X68</formula>
    </cfRule>
  </conditionalFormatting>
  <conditionalFormatting sqref="N9">
    <cfRule type="cellIs" dxfId="264" priority="84" operator="equal">
      <formula>"0+"</formula>
    </cfRule>
  </conditionalFormatting>
  <conditionalFormatting sqref="N9">
    <cfRule type="expression" dxfId="263" priority="85">
      <formula>O68&lt;AA68</formula>
    </cfRule>
  </conditionalFormatting>
  <conditionalFormatting sqref="N9">
    <cfRule type="expression" dxfId="262" priority="86">
      <formula>O68&gt;AA68</formula>
    </cfRule>
  </conditionalFormatting>
  <conditionalFormatting sqref="K10">
    <cfRule type="cellIs" dxfId="261" priority="87" operator="lessThan">
      <formula>X69</formula>
    </cfRule>
  </conditionalFormatting>
  <conditionalFormatting sqref="K10">
    <cfRule type="cellIs" dxfId="260" priority="88" operator="greaterThan">
      <formula>X69</formula>
    </cfRule>
  </conditionalFormatting>
  <conditionalFormatting sqref="N10">
    <cfRule type="cellIs" dxfId="259" priority="89" operator="equal">
      <formula>"0+"</formula>
    </cfRule>
  </conditionalFormatting>
  <conditionalFormatting sqref="N10">
    <cfRule type="expression" dxfId="258" priority="90">
      <formula>O69&lt;AA69</formula>
    </cfRule>
  </conditionalFormatting>
  <conditionalFormatting sqref="N10">
    <cfRule type="expression" dxfId="257" priority="91">
      <formula>O69&gt;AA69</formula>
    </cfRule>
  </conditionalFormatting>
  <conditionalFormatting sqref="K11">
    <cfRule type="cellIs" dxfId="256" priority="92" operator="lessThan">
      <formula>X70</formula>
    </cfRule>
  </conditionalFormatting>
  <conditionalFormatting sqref="K11">
    <cfRule type="cellIs" dxfId="255" priority="93" operator="greaterThan">
      <formula>X70</formula>
    </cfRule>
  </conditionalFormatting>
  <conditionalFormatting sqref="N11">
    <cfRule type="cellIs" dxfId="254" priority="94" operator="equal">
      <formula>"0+"</formula>
    </cfRule>
  </conditionalFormatting>
  <conditionalFormatting sqref="N11">
    <cfRule type="expression" dxfId="253" priority="95">
      <formula>O70&lt;AA70</formula>
    </cfRule>
  </conditionalFormatting>
  <conditionalFormatting sqref="N11">
    <cfRule type="expression" dxfId="252" priority="96">
      <formula>O70&gt;AA70</formula>
    </cfRule>
  </conditionalFormatting>
  <conditionalFormatting sqref="K12">
    <cfRule type="cellIs" dxfId="251" priority="97" operator="lessThan">
      <formula>X71</formula>
    </cfRule>
  </conditionalFormatting>
  <conditionalFormatting sqref="K12">
    <cfRule type="cellIs" dxfId="250" priority="98" operator="greaterThan">
      <formula>X71</formula>
    </cfRule>
  </conditionalFormatting>
  <conditionalFormatting sqref="N12">
    <cfRule type="cellIs" dxfId="249" priority="99" operator="equal">
      <formula>"0+"</formula>
    </cfRule>
  </conditionalFormatting>
  <conditionalFormatting sqref="N12">
    <cfRule type="expression" dxfId="248" priority="100">
      <formula>O71&lt;AA71</formula>
    </cfRule>
  </conditionalFormatting>
  <conditionalFormatting sqref="N12">
    <cfRule type="expression" dxfId="247" priority="101">
      <formula>O71&gt;AA71</formula>
    </cfRule>
  </conditionalFormatting>
  <conditionalFormatting sqref="K13">
    <cfRule type="cellIs" dxfId="246" priority="102" operator="lessThan">
      <formula>X72</formula>
    </cfRule>
  </conditionalFormatting>
  <conditionalFormatting sqref="K13">
    <cfRule type="cellIs" dxfId="245" priority="103" operator="greaterThan">
      <formula>X72</formula>
    </cfRule>
  </conditionalFormatting>
  <conditionalFormatting sqref="N13">
    <cfRule type="cellIs" dxfId="244" priority="104" operator="equal">
      <formula>"0+"</formula>
    </cfRule>
  </conditionalFormatting>
  <conditionalFormatting sqref="N13">
    <cfRule type="expression" dxfId="243" priority="105">
      <formula>O72&lt;AA72</formula>
    </cfRule>
  </conditionalFormatting>
  <conditionalFormatting sqref="N13">
    <cfRule type="expression" dxfId="242" priority="106">
      <formula>O72&gt;AA72</formula>
    </cfRule>
  </conditionalFormatting>
  <conditionalFormatting sqref="K14">
    <cfRule type="cellIs" dxfId="241" priority="107" operator="lessThan">
      <formula>X73</formula>
    </cfRule>
  </conditionalFormatting>
  <conditionalFormatting sqref="K14">
    <cfRule type="cellIs" dxfId="240" priority="108" operator="greaterThan">
      <formula>X73</formula>
    </cfRule>
  </conditionalFormatting>
  <conditionalFormatting sqref="N14">
    <cfRule type="cellIs" dxfId="239" priority="109" operator="equal">
      <formula>"0+"</formula>
    </cfRule>
  </conditionalFormatting>
  <conditionalFormatting sqref="N14">
    <cfRule type="expression" dxfId="238" priority="110">
      <formula>O73&lt;AA73</formula>
    </cfRule>
  </conditionalFormatting>
  <conditionalFormatting sqref="N14">
    <cfRule type="expression" dxfId="237" priority="111">
      <formula>O73&gt;AA73</formula>
    </cfRule>
  </conditionalFormatting>
  <conditionalFormatting sqref="K16">
    <cfRule type="cellIs" dxfId="236" priority="112" operator="lessThan">
      <formula>X75</formula>
    </cfRule>
  </conditionalFormatting>
  <conditionalFormatting sqref="K16">
    <cfRule type="cellIs" dxfId="235" priority="113" operator="greaterThan">
      <formula>X75</formula>
    </cfRule>
  </conditionalFormatting>
  <conditionalFormatting sqref="N16">
    <cfRule type="cellIs" dxfId="234" priority="114" operator="equal">
      <formula>"0+"</formula>
    </cfRule>
  </conditionalFormatting>
  <conditionalFormatting sqref="N16">
    <cfRule type="expression" dxfId="233" priority="115">
      <formula>O75&lt;AA75</formula>
    </cfRule>
  </conditionalFormatting>
  <conditionalFormatting sqref="N16">
    <cfRule type="expression" dxfId="232" priority="116">
      <formula>O75&gt;AA75</formula>
    </cfRule>
  </conditionalFormatting>
  <conditionalFormatting sqref="K17">
    <cfRule type="cellIs" dxfId="231" priority="117" operator="lessThan">
      <formula>X76</formula>
    </cfRule>
  </conditionalFormatting>
  <conditionalFormatting sqref="K17">
    <cfRule type="cellIs" dxfId="230" priority="118" operator="greaterThan">
      <formula>X76</formula>
    </cfRule>
  </conditionalFormatting>
  <conditionalFormatting sqref="N17">
    <cfRule type="cellIs" dxfId="229" priority="119" operator="equal">
      <formula>"0+"</formula>
    </cfRule>
  </conditionalFormatting>
  <conditionalFormatting sqref="N17">
    <cfRule type="expression" dxfId="228" priority="120">
      <formula>O76&lt;AA76</formula>
    </cfRule>
  </conditionalFormatting>
  <conditionalFormatting sqref="N17">
    <cfRule type="expression" dxfId="227" priority="121">
      <formula>O76&gt;AA76</formula>
    </cfRule>
  </conditionalFormatting>
  <conditionalFormatting sqref="B3:AO3">
    <cfRule type="expression" dxfId="226" priority="122">
      <formula>$Z$3&lt;&gt;""</formula>
    </cfRule>
  </conditionalFormatting>
  <conditionalFormatting sqref="B4:AO4">
    <cfRule type="expression" dxfId="225" priority="123">
      <formula>$Z$4&lt;&gt;""</formula>
    </cfRule>
  </conditionalFormatting>
  <conditionalFormatting sqref="B5:AO5">
    <cfRule type="expression" dxfId="224" priority="124">
      <formula>$Z$5&lt;&gt;""</formula>
    </cfRule>
  </conditionalFormatting>
  <conditionalFormatting sqref="B6:AO6">
    <cfRule type="expression" dxfId="223" priority="125">
      <formula>$Z$6&lt;&gt;""</formula>
    </cfRule>
  </conditionalFormatting>
  <conditionalFormatting sqref="B7:AO7">
    <cfRule type="expression" dxfId="222" priority="126">
      <formula>$Z$7&lt;&gt;""</formula>
    </cfRule>
  </conditionalFormatting>
  <conditionalFormatting sqref="B8:AO8">
    <cfRule type="expression" dxfId="221" priority="127">
      <formula>$Z$8&lt;&gt;""</formula>
    </cfRule>
  </conditionalFormatting>
  <conditionalFormatting sqref="B9:AO9">
    <cfRule type="expression" dxfId="220" priority="128">
      <formula>$Z$9&lt;&gt;""</formula>
    </cfRule>
  </conditionalFormatting>
  <conditionalFormatting sqref="B10:AO10">
    <cfRule type="expression" dxfId="219" priority="129">
      <formula>$Z$10&lt;&gt;""</formula>
    </cfRule>
  </conditionalFormatting>
  <conditionalFormatting sqref="B11:AO11">
    <cfRule type="expression" dxfId="218" priority="130">
      <formula>$Z$11&lt;&gt;""</formula>
    </cfRule>
  </conditionalFormatting>
  <conditionalFormatting sqref="B12:AO12">
    <cfRule type="expression" dxfId="217" priority="131">
      <formula>$Z$12&lt;&gt;""</formula>
    </cfRule>
  </conditionalFormatting>
  <conditionalFormatting sqref="B13:AO13">
    <cfRule type="expression" dxfId="216" priority="132">
      <formula>$Z$13&lt;&gt;""</formula>
    </cfRule>
  </conditionalFormatting>
  <conditionalFormatting sqref="B14:AO14">
    <cfRule type="expression" dxfId="215" priority="133">
      <formula>$Z$14&lt;&gt;""</formula>
    </cfRule>
  </conditionalFormatting>
  <conditionalFormatting sqref="B16:AO16">
    <cfRule type="expression" dxfId="214" priority="134">
      <formula>$Z$16&lt;&gt;""</formula>
    </cfRule>
  </conditionalFormatting>
  <conditionalFormatting sqref="B17:AO17">
    <cfRule type="expression" dxfId="213" priority="135">
      <formula>$Z$17&lt;&gt;""</formula>
    </cfRule>
  </conditionalFormatting>
  <conditionalFormatting sqref="B6 G6:H6">
    <cfRule type="expression" dxfId="212" priority="136">
      <formula>$AR$61="MNG"</formula>
    </cfRule>
  </conditionalFormatting>
  <conditionalFormatting sqref="B6 G6:H6">
    <cfRule type="cellIs" dxfId="211" priority="137" operator="equal">
      <formula>0</formula>
    </cfRule>
  </conditionalFormatting>
  <conditionalFormatting sqref="B7 G7:H7">
    <cfRule type="expression" dxfId="210" priority="138">
      <formula>$AR$62="MNG"</formula>
    </cfRule>
  </conditionalFormatting>
  <conditionalFormatting sqref="B7 G7:H7">
    <cfRule type="cellIs" dxfId="209" priority="139" operator="equal">
      <formula>0</formula>
    </cfRule>
  </conditionalFormatting>
  <conditionalFormatting sqref="B8 G8:H8">
    <cfRule type="expression" dxfId="208" priority="140">
      <formula>$AR$63="MNG"</formula>
    </cfRule>
  </conditionalFormatting>
  <conditionalFormatting sqref="B8 G8:H8">
    <cfRule type="cellIs" dxfId="207" priority="141" operator="equal">
      <formula>0</formula>
    </cfRule>
  </conditionalFormatting>
  <conditionalFormatting sqref="X31:AA31">
    <cfRule type="expression" dxfId="206" priority="142">
      <formula>$Y$31=0</formula>
    </cfRule>
  </conditionalFormatting>
  <conditionalFormatting sqref="AB31:AC31">
    <cfRule type="expression" dxfId="205" priority="143">
      <formula>$Y$31=0</formula>
    </cfRule>
  </conditionalFormatting>
  <conditionalFormatting sqref="W31">
    <cfRule type="expression" dxfId="204" priority="144">
      <formula>$Y$31=0</formula>
    </cfRule>
  </conditionalFormatting>
  <conditionalFormatting sqref="AJ31:AM31">
    <cfRule type="expression" dxfId="203" priority="145">
      <formula>$AK$31=0</formula>
    </cfRule>
  </conditionalFormatting>
  <conditionalFormatting sqref="AI31">
    <cfRule type="expression" dxfId="202" priority="146">
      <formula>$AK$31=0</formula>
    </cfRule>
  </conditionalFormatting>
  <conditionalFormatting sqref="B2:AO2">
    <cfRule type="expression" dxfId="201" priority="147">
      <formula>$Z$2&lt;&gt;""</formula>
    </cfRule>
  </conditionalFormatting>
  <conditionalFormatting sqref="O2:O17">
    <cfRule type="cellIs" dxfId="200" priority="148" operator="equal">
      <formula>0&amp;BF2</formula>
    </cfRule>
  </conditionalFormatting>
  <conditionalFormatting sqref="O2:O17">
    <cfRule type="expression" dxfId="199" priority="149">
      <formula>AW2&lt;&gt;""</formula>
    </cfRule>
  </conditionalFormatting>
  <conditionalFormatting sqref="L2:L17">
    <cfRule type="expression" dxfId="198" priority="150">
      <formula>M61&gt;Y61</formula>
    </cfRule>
  </conditionalFormatting>
  <conditionalFormatting sqref="L2:L17">
    <cfRule type="expression" dxfId="197" priority="151">
      <formula>M61&lt;Y61</formula>
    </cfRule>
  </conditionalFormatting>
  <conditionalFormatting sqref="J2">
    <cfRule type="cellIs" dxfId="196" priority="152" operator="lessThan">
      <formula>W61</formula>
    </cfRule>
  </conditionalFormatting>
  <conditionalFormatting sqref="J2">
    <cfRule type="cellIs" dxfId="195" priority="153" operator="greaterThan">
      <formula>W61</formula>
    </cfRule>
  </conditionalFormatting>
  <conditionalFormatting sqref="K2">
    <cfRule type="cellIs" dxfId="194" priority="154" operator="lessThan">
      <formula>X61</formula>
    </cfRule>
  </conditionalFormatting>
  <conditionalFormatting sqref="K2">
    <cfRule type="cellIs" dxfId="193" priority="155" operator="greaterThan">
      <formula>X61</formula>
    </cfRule>
  </conditionalFormatting>
  <conditionalFormatting sqref="N2">
    <cfRule type="expression" dxfId="192" priority="156">
      <formula>O61&lt;AA61</formula>
    </cfRule>
  </conditionalFormatting>
  <conditionalFormatting sqref="N2">
    <cfRule type="expression" dxfId="191" priority="157">
      <formula>O61&gt;AA61</formula>
    </cfRule>
  </conditionalFormatting>
  <conditionalFormatting sqref="G18:I18">
    <cfRule type="expression" dxfId="190" priority="158">
      <formula>$C$18="Star Players"</formula>
    </cfRule>
  </conditionalFormatting>
  <conditionalFormatting sqref="G19:I19">
    <cfRule type="expression" dxfId="189" priority="159">
      <formula>$C$19="Star Players"</formula>
    </cfRule>
  </conditionalFormatting>
  <conditionalFormatting sqref="O18:AM18">
    <cfRule type="expression" dxfId="188" priority="160">
      <formula>$AS$18&lt;&gt;""</formula>
    </cfRule>
  </conditionalFormatting>
  <conditionalFormatting sqref="O19:AM19">
    <cfRule type="expression" dxfId="187" priority="161">
      <formula>$AS$19&lt;&gt;""</formula>
    </cfRule>
  </conditionalFormatting>
  <conditionalFormatting sqref="G15:H15 J15:K15 N15">
    <cfRule type="cellIs" dxfId="186" priority="162" operator="equal">
      <formula>0</formula>
    </cfRule>
  </conditionalFormatting>
  <conditionalFormatting sqref="N15">
    <cfRule type="cellIs" dxfId="185" priority="163" operator="equal">
      <formula>"0+"</formula>
    </cfRule>
  </conditionalFormatting>
  <conditionalFormatting sqref="J15">
    <cfRule type="cellIs" dxfId="184" priority="164" operator="lessThan">
      <formula>W74</formula>
    </cfRule>
  </conditionalFormatting>
  <conditionalFormatting sqref="J15">
    <cfRule type="cellIs" dxfId="183" priority="165" operator="greaterThan">
      <formula>W74</formula>
    </cfRule>
  </conditionalFormatting>
  <conditionalFormatting sqref="K15">
    <cfRule type="cellIs" dxfId="182" priority="166" operator="lessThan">
      <formula>X74</formula>
    </cfRule>
  </conditionalFormatting>
  <conditionalFormatting sqref="K15">
    <cfRule type="cellIs" dxfId="181" priority="167" operator="greaterThan">
      <formula>X74</formula>
    </cfRule>
  </conditionalFormatting>
  <conditionalFormatting sqref="N15">
    <cfRule type="cellIs" dxfId="180" priority="168" operator="equal">
      <formula>"0+"</formula>
    </cfRule>
  </conditionalFormatting>
  <conditionalFormatting sqref="N15">
    <cfRule type="expression" dxfId="179" priority="169">
      <formula>O74&lt;AA74</formula>
    </cfRule>
  </conditionalFormatting>
  <conditionalFormatting sqref="N15">
    <cfRule type="expression" dxfId="178" priority="170">
      <formula>O74&gt;AA74</formula>
    </cfRule>
  </conditionalFormatting>
  <conditionalFormatting sqref="B15:AO15">
    <cfRule type="expression" dxfId="177" priority="171">
      <formula>$Z$15&lt;&gt;""</formula>
    </cfRule>
  </conditionalFormatting>
  <conditionalFormatting sqref="AN18:AO19">
    <cfRule type="cellIs" dxfId="176" priority="172" operator="equal">
      <formula>0</formula>
    </cfRule>
  </conditionalFormatting>
  <conditionalFormatting sqref="M2:M17">
    <cfRule type="expression" dxfId="175" priority="173">
      <formula>N61&gt;Z61</formula>
    </cfRule>
  </conditionalFormatting>
  <conditionalFormatting sqref="M2:M17">
    <cfRule type="expression" dxfId="174" priority="174">
      <formula>N61&lt;Z61</formula>
    </cfRule>
  </conditionalFormatting>
  <conditionalFormatting sqref="AJ25:AM25">
    <cfRule type="expression" dxfId="173" priority="175">
      <formula>$AK$25=0</formula>
    </cfRule>
  </conditionalFormatting>
  <conditionalFormatting sqref="AJ26:AM26">
    <cfRule type="expression" dxfId="172" priority="176">
      <formula>$AK$26=0</formula>
    </cfRule>
  </conditionalFormatting>
  <conditionalFormatting sqref="AJ27:AM27">
    <cfRule type="expression" dxfId="171" priority="177">
      <formula>$AK$27=0</formula>
    </cfRule>
  </conditionalFormatting>
  <conditionalFormatting sqref="AJ28:AM28">
    <cfRule type="expression" dxfId="170" priority="178">
      <formula>$AK$28=0</formula>
    </cfRule>
  </conditionalFormatting>
  <conditionalFormatting sqref="AN25:AO25">
    <cfRule type="expression" dxfId="169" priority="179">
      <formula>$AK$25=0</formula>
    </cfRule>
  </conditionalFormatting>
  <conditionalFormatting sqref="AJ29:AM29">
    <cfRule type="expression" dxfId="168" priority="180">
      <formula>$AK$29=0</formula>
    </cfRule>
  </conditionalFormatting>
  <conditionalFormatting sqref="AN29:AO29">
    <cfRule type="expression" dxfId="167" priority="181">
      <formula>$AK$29=0</formula>
    </cfRule>
  </conditionalFormatting>
  <conditionalFormatting sqref="J18:N19">
    <cfRule type="cellIs" dxfId="166" priority="182" operator="equal">
      <formula>0</formula>
    </cfRule>
  </conditionalFormatting>
  <conditionalFormatting sqref="AN26:AO26">
    <cfRule type="expression" dxfId="165" priority="183">
      <formula>$AK$26=0</formula>
    </cfRule>
  </conditionalFormatting>
  <conditionalFormatting sqref="AN27:AO27">
    <cfRule type="expression" dxfId="164" priority="184">
      <formula>$AK$27=0</formula>
    </cfRule>
  </conditionalFormatting>
  <conditionalFormatting sqref="AN28:AO28">
    <cfRule type="expression" dxfId="163" priority="185">
      <formula>$AK$28=0</formula>
    </cfRule>
  </conditionalFormatting>
  <conditionalFormatting sqref="AN31:AO31">
    <cfRule type="expression" dxfId="162" priority="186">
      <formula>$AK$31=0</formula>
    </cfRule>
  </conditionalFormatting>
  <conditionalFormatting sqref="X22:AA22">
    <cfRule type="expression" dxfId="161" priority="187">
      <formula>$Y$22=0</formula>
    </cfRule>
  </conditionalFormatting>
  <conditionalFormatting sqref="AB22:AC22">
    <cfRule type="expression" dxfId="160" priority="188">
      <formula>$Y$22=0</formula>
    </cfRule>
  </conditionalFormatting>
  <conditionalFormatting sqref="AG38:AH38">
    <cfRule type="cellIs" dxfId="159" priority="189" operator="equal">
      <formula>0</formula>
    </cfRule>
  </conditionalFormatting>
  <conditionalFormatting sqref="AG39:AH39">
    <cfRule type="cellIs" dxfId="158" priority="190" operator="equal">
      <formula>0</formula>
    </cfRule>
  </conditionalFormatting>
  <conditionalFormatting sqref="AG40:AH40">
    <cfRule type="cellIs" dxfId="157" priority="191" operator="equal">
      <formula>0</formula>
    </cfRule>
  </conditionalFormatting>
  <conditionalFormatting sqref="AG41:AH41">
    <cfRule type="cellIs" dxfId="156" priority="192" operator="equal">
      <formula>0</formula>
    </cfRule>
  </conditionalFormatting>
  <conditionalFormatting sqref="AG42:AH42">
    <cfRule type="cellIs" dxfId="155" priority="193" operator="equal">
      <formula>0</formula>
    </cfRule>
  </conditionalFormatting>
  <conditionalFormatting sqref="AG43:AH43">
    <cfRule type="cellIs" dxfId="154" priority="194" operator="equal">
      <formula>0</formula>
    </cfRule>
  </conditionalFormatting>
  <conditionalFormatting sqref="AG44:AH44">
    <cfRule type="cellIs" dxfId="153" priority="195" operator="equal">
      <formula>0</formula>
    </cfRule>
  </conditionalFormatting>
  <conditionalFormatting sqref="AG45:AH45">
    <cfRule type="cellIs" dxfId="152" priority="196" operator="equal">
      <formula>0</formula>
    </cfRule>
  </conditionalFormatting>
  <conditionalFormatting sqref="AG46:AH46">
    <cfRule type="cellIs" dxfId="151" priority="197" operator="equal">
      <formula>0</formula>
    </cfRule>
  </conditionalFormatting>
  <conditionalFormatting sqref="AG47:AH47">
    <cfRule type="cellIs" dxfId="150" priority="198" operator="equal">
      <formula>0</formula>
    </cfRule>
  </conditionalFormatting>
  <conditionalFormatting sqref="AG48:AH48">
    <cfRule type="cellIs" dxfId="149" priority="199" operator="equal">
      <formula>0</formula>
    </cfRule>
  </conditionalFormatting>
  <conditionalFormatting sqref="AG49:AH49">
    <cfRule type="cellIs" dxfId="148" priority="200" operator="equal">
      <formula>0</formula>
    </cfRule>
  </conditionalFormatting>
  <conditionalFormatting sqref="AG50:AH50">
    <cfRule type="cellIs" dxfId="147" priority="201" operator="equal">
      <formula>0</formula>
    </cfRule>
  </conditionalFormatting>
  <conditionalFormatting sqref="AG51:AH51">
    <cfRule type="cellIs" dxfId="146" priority="202" operator="equal">
      <formula>0</formula>
    </cfRule>
  </conditionalFormatting>
  <conditionalFormatting sqref="AG52:AH52">
    <cfRule type="cellIs" dxfId="145" priority="203" operator="equal">
      <formula>0</formula>
    </cfRule>
  </conditionalFormatting>
  <conditionalFormatting sqref="I18">
    <cfRule type="cellIs" dxfId="144" priority="204" operator="equal">
      <formula>2</formula>
    </cfRule>
  </conditionalFormatting>
  <conditionalFormatting sqref="I19">
    <cfRule type="cellIs" dxfId="143" priority="205" operator="equal">
      <formula>2</formula>
    </cfRule>
  </conditionalFormatting>
  <conditionalFormatting sqref="G20:AM20">
    <cfRule type="cellIs" dxfId="142" priority="206" operator="equal">
      <formula>0</formula>
    </cfRule>
  </conditionalFormatting>
  <conditionalFormatting sqref="G20:I20">
    <cfRule type="expression" dxfId="141" priority="207">
      <formula>$C$19="Star Players"</formula>
    </cfRule>
  </conditionalFormatting>
  <conditionalFormatting sqref="O20:AM20">
    <cfRule type="expression" dxfId="140" priority="208">
      <formula>$AS$19&lt;&gt;""</formula>
    </cfRule>
  </conditionalFormatting>
  <conditionalFormatting sqref="AN20:AO20">
    <cfRule type="cellIs" dxfId="139" priority="209" operator="equal">
      <formula>0</formula>
    </cfRule>
  </conditionalFormatting>
  <conditionalFormatting sqref="J20:N20">
    <cfRule type="cellIs" dxfId="138" priority="210" operator="equal">
      <formula>0</formula>
    </cfRule>
  </conditionalFormatting>
  <conditionalFormatting sqref="I20">
    <cfRule type="cellIs" dxfId="137" priority="211" operator="equal">
      <formula>2</formula>
    </cfRule>
  </conditionalFormatting>
  <dataValidations count="39">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1 W24">
      <formula1>$AY$62:$AY$68</formula1>
    </dataValidation>
    <dataValidation type="list" allowBlank="1" showErrorMessage="1" sqref="AM37:AN52">
      <formula1>$AI$66:$AI$68</formula1>
    </dataValidation>
  </dataValidations>
  <pageMargins left="0.19685039370078741" right="0.19685039370078741" top="0.39370078740157483" bottom="0.19685039370078741" header="0" footer="0"/>
  <pageSetup paperSize="9" orientation="landscape" cellComments="atEnd"/>
  <drawing r:id="rId1"/>
  <extLst>
    <ext xmlns:x14="http://schemas.microsoft.com/office/spreadsheetml/2009/9/main" uri="{CCE6A557-97BC-4b89-ADB6-D9C93CAAB3DF}">
      <x14:dataValidations xmlns:xm="http://schemas.microsoft.com/office/excel/2006/main" count="2">
        <x14:dataValidation type="list" allowBlank="1" showErrorMessage="1">
          <x14:formula1>
            <xm:f>StarPlayers!$B$39:$B$41</xm:f>
          </x14:formula1>
          <xm:sqref>C20</xm:sqref>
        </x14:dataValidation>
        <x14:dataValidation type="list" allowBlank="1" showErrorMessage="1">
          <x14:formula1>
            <xm:f>StarPlayers!$C$64:$C$84</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A4" workbookViewId="0">
      <selection activeCell="Y15" sqref="Y15"/>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78" t="str">
        <f>IF(Roster!$J$25="Italiano","vinte",(IF(Roster!$J$25="Español","gan.",(IF(Roster!$J$25="Deutsch","sieg",(IF(Roster!$J$25="Français","vic.","won")))))))</f>
        <v>vinte</v>
      </c>
      <c r="B1" s="79" t="str">
        <f>IF(Roster!$J$25="Italiano","par.",(IF(Roster!$J$25="Español","emp.",(IF(Roster!$J$25="Deutsch","une.",(IF(Roster!$J$25="Français","nul","tied")))))))</f>
        <v>par.</v>
      </c>
      <c r="C1" s="80" t="str">
        <f>IF(Roster!$J$25="Italiano","perse",(IF(Roster!$J$25="Español","per.",(IF(Roster!$J$25="Deutsch","nie.",(IF(Roster!$J$25="Français","déf.","lost")))))))</f>
        <v>perse</v>
      </c>
      <c r="D1" s="333" t="str">
        <f>IF(Roster!$J$25="Italiano","STATISTICHE",(IF(Roster!$J$25="Español","ESTADÍSTICAS",(IF(Roster!$J$25="Deutsch","STATISTIK",(IF(Roster!$J$25="Français","STATISITQUES","STATISTICS")))))))</f>
        <v>STATISTICHE</v>
      </c>
      <c r="E1" s="334"/>
      <c r="F1" s="326" t="s">
        <v>52</v>
      </c>
      <c r="G1" s="327"/>
      <c r="H1" s="328"/>
      <c r="I1" s="326" t="str">
        <f>IF(Roster!$J$25="Español","HER",(IF(Roster!$J$25="Deutsch","VER",(IF(Roster!$J$25="Français","BLES","CAS")))))</f>
        <v>CAS</v>
      </c>
      <c r="J1" s="327"/>
      <c r="K1" s="328"/>
      <c r="L1" s="326" t="str">
        <f>IF(Roster!$J$25="Español","HL",(IF(Roster!$J$25="Deutsch","SV",(IF(Roster!$J$25="Français","COM","BH")))))</f>
        <v>BH</v>
      </c>
      <c r="M1" s="327"/>
      <c r="N1" s="329"/>
      <c r="O1" s="330" t="str">
        <f>IF(Roster!$J$25="Español","HG",(IF(Roster!$J$25="Deutsch","BV",(IF(Roster!$J$25="Français","BS","SI")))))</f>
        <v>SI</v>
      </c>
      <c r="P1" s="327"/>
      <c r="Q1" s="329"/>
      <c r="R1" s="330" t="str">
        <f>IF(Roster!$J$25="Italiano","UCCISIONI",(IF(Roster!$J$25="Español","MUERTOS",(IF(Roster!$J$25="Deutsch","TOT",(IF(Roster!$J$25="Français","MORT","KILLS")))))))</f>
        <v>UCCISIONI</v>
      </c>
      <c r="S1" s="327"/>
      <c r="T1" s="328"/>
      <c r="U1" s="326" t="str">
        <f>IF(Roster!$J$25="Italiano","ESPULSI",(IF(Roster!$J$25="Español","EXPULSADOS",(IF(Roster!$J$25="Deutsch","VOM PLATZ G.",(IF(Roster!$J$25="Français","EXPULSÉ","SENT OFF")))))))</f>
        <v>ESPULSI</v>
      </c>
      <c r="V1" s="327"/>
      <c r="W1" s="328"/>
      <c r="X1" s="81" t="str">
        <f>IF(Roster!$J$25="Italiano","TIFOSI S.",(IF(Roster!$J$25="Español","FANS D.",(IF(Roster!$J$25="Deutsch","T. FANS",(IF(Roster!$J$25="Français","FANS D.","D. FANS")))))))</f>
        <v>TIFOSI S.</v>
      </c>
      <c r="Y1" s="81" t="str">
        <f>IF(Roster!$J$25="Italiano","RICOMPENSE",(IF(Roster!$J$25="Español","GANANCIAS",(IF(Roster!$J$25="Deutsch","GEWINNE",(IF(Roster!$J$25="Français","GAINS","WINNINGS")))))))</f>
        <v>RICOMPENSE</v>
      </c>
      <c r="Z1" s="81" t="str">
        <f>IF(Roster!$J$25="Italiano","PUNTI",(IF(Roster!$J$25="Español","PUNTOS",(IF(Roster!$J$25="Deutsch","PUNKTE","POINTS")))))</f>
        <v>PUNTI</v>
      </c>
      <c r="AA1" s="82" t="str">
        <f>IF(Roster!$J$25="Italiano","LEGA",(IF(Roster!$J$25="Español","LIGA",(IF(Roster!$J$25="Deutsch","LIGA",(IF(Roster!$J$25="Français","LIGUE","LEAGUE")))))))</f>
        <v>LEGA</v>
      </c>
      <c r="AB1" s="83"/>
      <c r="AC1" s="321"/>
      <c r="AD1" s="2"/>
      <c r="AE1" s="2"/>
      <c r="AF1" s="2"/>
      <c r="AG1" s="2"/>
      <c r="AH1" s="2"/>
      <c r="AI1" s="2"/>
    </row>
    <row r="2" spans="1:35" ht="12" customHeight="1">
      <c r="A2" s="84">
        <f>COUNTIF(AI6:AI55,"1")</f>
        <v>1</v>
      </c>
      <c r="B2" s="85">
        <f>COUNTIF(AI6:AI55,"2")</f>
        <v>2</v>
      </c>
      <c r="C2" s="86">
        <f>COUNTIF(AI6:AI55,"3")</f>
        <v>2</v>
      </c>
      <c r="D2" s="335"/>
      <c r="E2" s="336"/>
      <c r="F2" s="87">
        <f>SUM(F6:F55)</f>
        <v>3</v>
      </c>
      <c r="G2" s="88" t="s">
        <v>318</v>
      </c>
      <c r="H2" s="89">
        <f t="shared" ref="H2:I2" si="0">SUM(H6:H55)</f>
        <v>6</v>
      </c>
      <c r="I2" s="90">
        <f t="shared" si="0"/>
        <v>10</v>
      </c>
      <c r="J2" s="88" t="s">
        <v>318</v>
      </c>
      <c r="K2" s="90">
        <f t="shared" ref="K2:L2" si="1">SUM(K6:K55)</f>
        <v>26</v>
      </c>
      <c r="L2" s="87">
        <f t="shared" si="1"/>
        <v>4</v>
      </c>
      <c r="M2" s="88" t="s">
        <v>318</v>
      </c>
      <c r="N2" s="90">
        <f t="shared" ref="N2:O2" si="2">SUM(N6:N55)</f>
        <v>16</v>
      </c>
      <c r="O2" s="91">
        <f t="shared" si="2"/>
        <v>3</v>
      </c>
      <c r="P2" s="88" t="s">
        <v>318</v>
      </c>
      <c r="Q2" s="90">
        <f t="shared" ref="Q2:R2" si="3">SUM(Q6:Q55)</f>
        <v>10</v>
      </c>
      <c r="R2" s="91">
        <f t="shared" si="3"/>
        <v>3</v>
      </c>
      <c r="S2" s="88" t="s">
        <v>318</v>
      </c>
      <c r="T2" s="89">
        <f t="shared" ref="T2:U2" si="4">SUM(T6:T55)</f>
        <v>0</v>
      </c>
      <c r="U2" s="87">
        <f t="shared" si="4"/>
        <v>0</v>
      </c>
      <c r="V2" s="88" t="s">
        <v>318</v>
      </c>
      <c r="W2" s="89">
        <f t="shared" ref="W2:Z2" si="5">SUM(W6:W55)</f>
        <v>0</v>
      </c>
      <c r="X2" s="92">
        <f t="shared" si="5"/>
        <v>1</v>
      </c>
      <c r="Y2" s="93">
        <f t="shared" si="5"/>
        <v>175000</v>
      </c>
      <c r="Z2" s="92">
        <f t="shared" si="5"/>
        <v>10</v>
      </c>
      <c r="AA2" s="82" t="str">
        <f>IF(Roster!$J$25="Italiano","TIFOSI S. LIBERO",(IF(Roster!$J$25="Español","FANS D. GRATIS",(IF(Roster!$J$25="Deutsch","KOSTENLOS T. FANS",(IF(Roster!$J$25="Français","GRATUIT FANS DÉVOUÉS","FREE D. FANS")))))))</f>
        <v>TIFOSI S. LIBERO</v>
      </c>
      <c r="AB2" s="83">
        <v>0</v>
      </c>
      <c r="AC2" s="240"/>
      <c r="AD2" s="2"/>
      <c r="AE2" s="45">
        <v>1</v>
      </c>
      <c r="AF2" s="2"/>
      <c r="AG2" s="2"/>
      <c r="AH2" s="45"/>
      <c r="AI2" s="2"/>
    </row>
    <row r="3" spans="1:35" ht="11.25" customHeight="1">
      <c r="A3" s="94">
        <f t="shared" ref="A3:C3" si="6">IFERROR((A2/(COUNTA($F$6:$F$55))),0)</f>
        <v>0.2</v>
      </c>
      <c r="B3" s="95">
        <f t="shared" si="6"/>
        <v>0.4</v>
      </c>
      <c r="C3" s="96">
        <f t="shared" si="6"/>
        <v>0.4</v>
      </c>
      <c r="D3" s="337"/>
      <c r="E3" s="338"/>
      <c r="F3" s="97">
        <f>IFERROR((F2/(COUNTA($F$6:$F$55))),0)</f>
        <v>0.6</v>
      </c>
      <c r="G3" s="98" t="s">
        <v>318</v>
      </c>
      <c r="H3" s="99">
        <f>IFERROR((H2/(COUNTA($H$6:$H$55))),0)</f>
        <v>1.2</v>
      </c>
      <c r="I3" s="100">
        <f>IFERROR((I2/(COUNTA($I$6:$I$55))),0)</f>
        <v>0.2</v>
      </c>
      <c r="J3" s="98" t="s">
        <v>318</v>
      </c>
      <c r="K3" s="99">
        <f>IFERROR((K2/(COUNTA($K$6:$K$55))),0)</f>
        <v>0.52</v>
      </c>
      <c r="L3" s="100">
        <f>IFERROR((L2/(COUNTA($L$6:$L$55))),0)</f>
        <v>2</v>
      </c>
      <c r="M3" s="98" t="s">
        <v>318</v>
      </c>
      <c r="N3" s="101">
        <f>IFERROR((N2/(COUNTA($N$6:$N$55))),0)</f>
        <v>3.2</v>
      </c>
      <c r="O3" s="100">
        <f>IFERROR((O2/(COUNTA($O$6:$O$55))),0)</f>
        <v>1.5</v>
      </c>
      <c r="P3" s="98" t="s">
        <v>318</v>
      </c>
      <c r="Q3" s="101">
        <f>IFERROR((Q2/(COUNTA($Q$6:$Q$55))),0)</f>
        <v>2</v>
      </c>
      <c r="R3" s="100">
        <f>IFERROR((R2/(COUNTA($R$6:$R$55))),0)</f>
        <v>1.5</v>
      </c>
      <c r="S3" s="98" t="s">
        <v>318</v>
      </c>
      <c r="T3" s="99">
        <f>IFERROR((T2/(COUNTA($T$6:$T$55))),0)</f>
        <v>0</v>
      </c>
      <c r="U3" s="100">
        <f>IFERROR((U2/(COUNTA($U$6:$U$55))),0)</f>
        <v>0</v>
      </c>
      <c r="V3" s="98" t="s">
        <v>318</v>
      </c>
      <c r="W3" s="99">
        <f>IFERROR((W2/(COUNTA($W$6:$W$55))),0)</f>
        <v>0</v>
      </c>
      <c r="X3" s="102">
        <f>IFERROR((X2/(COUNTA($X$6:$X$55))),0)</f>
        <v>0.02</v>
      </c>
      <c r="Y3" s="103">
        <f>IFERROR((Y2/(COUNTA($Y$6:$Y$55))),0)</f>
        <v>35000</v>
      </c>
      <c r="Z3" s="104">
        <f>IFERROR((Z2/(COUNTA($Z$6:$Z$55))),0)</f>
        <v>2</v>
      </c>
      <c r="AA3" s="82" t="str">
        <f>IF(Roster!$J$25="Italiano","TESORERIA INIZIALI",(IF(Roster!$J$25="Español","TESORERÍA INICIAL",(IF(Roster!$J$25="Deutsch","ANFÄNGLICHER TEAMKASSE",(IF(Roster!$J$25="Français","INITIAL TRÉSORERIE","STARTINT TREASURY")))))))</f>
        <v>TESORERIA INIZIALI</v>
      </c>
      <c r="AB3" s="83">
        <v>1000000</v>
      </c>
      <c r="AC3" s="240"/>
      <c r="AD3" s="2"/>
      <c r="AE3" s="2"/>
      <c r="AF3" s="2"/>
      <c r="AG3" s="2"/>
      <c r="AH3" s="2"/>
      <c r="AI3" s="2"/>
    </row>
    <row r="4" spans="1:35" ht="7.5" customHeight="1">
      <c r="A4" s="339"/>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40"/>
      <c r="AC4" s="240"/>
      <c r="AD4" s="2"/>
      <c r="AE4" s="2"/>
      <c r="AF4" s="2"/>
      <c r="AG4" s="2"/>
      <c r="AH4" s="2"/>
      <c r="AI4" s="2"/>
    </row>
    <row r="5" spans="1:35" ht="21" customHeight="1">
      <c r="A5" s="341">
        <v>0</v>
      </c>
      <c r="B5" s="327"/>
      <c r="C5" s="328"/>
      <c r="D5" s="105" t="str">
        <f>IF(Roster!$J$25="Italiano","AVVERSARIO",(IF(Roster!$J$25="Español","OPONENTE",(IF(Roster!$J$25="Deutsch","GEGNER",(IF(Roster!$J$25="Français","ADVERSAIRE","OPPONENT")))))))</f>
        <v>AVVERSARIO</v>
      </c>
      <c r="E5" s="106" t="str">
        <f>IF(Roster!$J$25="Italiano","RAZZA",(IF(Roster!$J$25="Español","RAZA",(IF(Roster!$J$25="Deutsch","RASSE",(IF(Roster!$J$25="Français","TYPE D'ÉQUIPE","RACE")))))))</f>
        <v>RAZZA</v>
      </c>
      <c r="F5" s="342" t="s">
        <v>52</v>
      </c>
      <c r="G5" s="327"/>
      <c r="H5" s="328"/>
      <c r="I5" s="342" t="str">
        <f>IF(Roster!$J$25="Español","HER",(IF(Roster!$J$25="Deutsch","VER",(IF(Roster!$J$25="Français","BLES","CAS")))))</f>
        <v>CAS</v>
      </c>
      <c r="J5" s="327"/>
      <c r="K5" s="328"/>
      <c r="L5" s="326" t="str">
        <f>IF(Roster!$J$25="Español","HL",(IF(Roster!$J$25="Deutsch","SV",(IF(Roster!$J$25="Français","COM","BH")))))</f>
        <v>BH</v>
      </c>
      <c r="M5" s="327"/>
      <c r="N5" s="329"/>
      <c r="O5" s="330" t="str">
        <f>IF(Roster!$J$25="Español","HG",(IF(Roster!$J$25="Deutsch","BV",(IF(Roster!$J$25="Français","BS","SI")))))</f>
        <v>SI</v>
      </c>
      <c r="P5" s="327"/>
      <c r="Q5" s="329"/>
      <c r="R5" s="330" t="str">
        <f>IF(Roster!$J$25="Italiano","UCCISIONI",(IF(Roster!$J$25="Español","MUERTOS",(IF(Roster!$J$25="Deutsch","TOT",(IF(Roster!$J$25="Français","MORT","KILLS")))))))</f>
        <v>UCCISIONI</v>
      </c>
      <c r="S5" s="327"/>
      <c r="T5" s="328"/>
      <c r="U5" s="331" t="str">
        <f>IF(Roster!$J$25="Italiano","ESPULSI",(IF(Roster!$J$25="Español","EXPULSADOS",(IF(Roster!$J$25="Deutsch","VOM PLATZ G.",(IF(Roster!$J$25="Français","EXPULSÉ","SENT OFF")))))))</f>
        <v>ESPULSI</v>
      </c>
      <c r="V5" s="327"/>
      <c r="W5" s="328"/>
      <c r="X5" s="107" t="str">
        <f>IF(Roster!$J$25="Italiano","TIFOSI S.",(IF(Roster!$J$25="Español","FANS D.",(IF(Roster!$J$25="Deutsch","T. FANS",(IF(Roster!$J$25="Français","FANS D.","D. FANS")))))))</f>
        <v>TIFOSI S.</v>
      </c>
      <c r="Y5" s="107" t="str">
        <f>IF(Roster!$J$25="Italiano","RICOMPENSE",(IF(Roster!$J$25="Español","GANANCIAS",(IF(Roster!$J$25="Deutsch","GEWINNE",(IF(Roster!$J$25="Français","GAINS","WINNINGS")))))))</f>
        <v>RICOMPENSE</v>
      </c>
      <c r="Z5" s="107" t="str">
        <f>IF(Roster!$J$25="Italiano","PUNTI",(IF(Roster!$J$25="Español","PUNTOS",(IF(Roster!$J$25="Deutsch","PUNKTE","POINTS")))))</f>
        <v>PUNTI</v>
      </c>
      <c r="AA5" s="332" t="str">
        <f>IF(Roster!$J$25="Italiano","NOTE",(IF(Roster!$J$25="Español","NOTAS",(IF(Roster!$J$25="Deutsch","NOTIZEN","NOTES")))))</f>
        <v>NOTE</v>
      </c>
      <c r="AB5" s="328"/>
      <c r="AC5" s="240"/>
      <c r="AD5" s="108"/>
      <c r="AE5" s="109" t="s">
        <v>319</v>
      </c>
      <c r="AF5" s="109" t="s">
        <v>320</v>
      </c>
      <c r="AG5" s="109" t="s">
        <v>321</v>
      </c>
      <c r="AH5" s="108"/>
      <c r="AI5" s="108"/>
    </row>
    <row r="6" spans="1:35" ht="21" customHeight="1">
      <c r="A6" s="110">
        <v>1</v>
      </c>
      <c r="B6" s="316" t="str">
        <f>IF(Roster!$J$25="Español",(IF(F6&gt;0,(IF(F6&gt;H6,"ganado",(IF(F6=H6,"empatado",(IF(F6&lt;H6,"perdido","")))))),"")),(IF(F6&gt;0,(IF(F6&gt;H6,"won",(IF(F6=H6,"tied",(IF(F6&lt;H6,"lost","")))))),"")))</f>
        <v>won</v>
      </c>
      <c r="C6" s="317"/>
      <c r="D6" s="111" t="s">
        <v>1352</v>
      </c>
      <c r="E6" s="112" t="s">
        <v>184</v>
      </c>
      <c r="F6" s="113">
        <v>1</v>
      </c>
      <c r="G6" s="114" t="s">
        <v>318</v>
      </c>
      <c r="H6" s="115">
        <v>0</v>
      </c>
      <c r="I6" s="116">
        <f t="shared" ref="I6:I55" si="7">L6+O6+R6</f>
        <v>2</v>
      </c>
      <c r="J6" s="117" t="s">
        <v>318</v>
      </c>
      <c r="K6" s="118">
        <f t="shared" ref="K6:K55" si="8">N6+Q6+T6</f>
        <v>4</v>
      </c>
      <c r="L6" s="113"/>
      <c r="M6" s="114" t="s">
        <v>318</v>
      </c>
      <c r="N6" s="119">
        <v>1</v>
      </c>
      <c r="O6" s="120"/>
      <c r="P6" s="114" t="s">
        <v>318</v>
      </c>
      <c r="Q6" s="119">
        <v>3</v>
      </c>
      <c r="R6" s="120">
        <v>2</v>
      </c>
      <c r="S6" s="114" t="s">
        <v>318</v>
      </c>
      <c r="T6" s="119"/>
      <c r="U6" s="113"/>
      <c r="V6" s="114" t="s">
        <v>318</v>
      </c>
      <c r="W6" s="115"/>
      <c r="X6" s="115">
        <v>1</v>
      </c>
      <c r="Y6" s="121">
        <v>55000</v>
      </c>
      <c r="Z6" s="115">
        <v>4</v>
      </c>
      <c r="AA6" s="318" t="s">
        <v>1355</v>
      </c>
      <c r="AB6" s="317"/>
      <c r="AC6" s="240"/>
      <c r="AD6" s="2"/>
      <c r="AE6" s="53" t="b">
        <v>0</v>
      </c>
      <c r="AF6" s="53" t="b">
        <v>0</v>
      </c>
      <c r="AG6" s="53" t="b">
        <v>0</v>
      </c>
      <c r="AH6" s="2"/>
      <c r="AI6" s="2">
        <f t="shared" ref="AI6:AI55" si="9">IF(F6&lt;&gt;"",(IF(F6&gt;H6,1,(IF(F6=H6,2,(IF(F6&lt;H6,3,"")))))),"")</f>
        <v>1</v>
      </c>
    </row>
    <row r="7" spans="1:35" ht="21" customHeight="1">
      <c r="A7" s="122">
        <v>2</v>
      </c>
      <c r="B7" s="316" t="str">
        <f>IF(Roster!$J$25="Español",(IF(F7&gt;0,(IF(F7&gt;H7,"ganado",(IF(F7=H7,"empatado",(IF(F7&lt;H7,"perdido","")))))),"")),(IF(F7&gt;0,(IF(F7&gt;H7,"won",(IF(F7=H7,"tied",(IF(F7&lt;H7,"lost","")))))),"")))</f>
        <v/>
      </c>
      <c r="C7" s="317"/>
      <c r="D7" s="123" t="s">
        <v>1356</v>
      </c>
      <c r="E7" s="112" t="s">
        <v>188</v>
      </c>
      <c r="F7" s="124">
        <v>0</v>
      </c>
      <c r="G7" s="125" t="s">
        <v>318</v>
      </c>
      <c r="H7" s="126">
        <v>2</v>
      </c>
      <c r="I7" s="116">
        <f t="shared" si="7"/>
        <v>1</v>
      </c>
      <c r="J7" s="127" t="s">
        <v>318</v>
      </c>
      <c r="K7" s="118">
        <f t="shared" si="8"/>
        <v>4</v>
      </c>
      <c r="L7" s="124"/>
      <c r="M7" s="125" t="s">
        <v>318</v>
      </c>
      <c r="N7" s="128">
        <v>3</v>
      </c>
      <c r="O7" s="129"/>
      <c r="P7" s="125" t="s">
        <v>318</v>
      </c>
      <c r="Q7" s="128">
        <v>1</v>
      </c>
      <c r="R7" s="129">
        <v>1</v>
      </c>
      <c r="S7" s="125" t="s">
        <v>318</v>
      </c>
      <c r="T7" s="128"/>
      <c r="U7" s="124"/>
      <c r="V7" s="125" t="s">
        <v>318</v>
      </c>
      <c r="W7" s="126"/>
      <c r="X7" s="115" t="s">
        <v>222</v>
      </c>
      <c r="Y7" s="130">
        <v>20000</v>
      </c>
      <c r="Z7" s="126">
        <v>1</v>
      </c>
      <c r="AA7" s="318" t="s">
        <v>1357</v>
      </c>
      <c r="AB7" s="317"/>
      <c r="AC7" s="240"/>
      <c r="AD7" s="2"/>
      <c r="AE7" s="53" t="b">
        <v>0</v>
      </c>
      <c r="AF7" s="53" t="b">
        <v>0</v>
      </c>
      <c r="AG7" s="53" t="b">
        <v>0</v>
      </c>
      <c r="AH7" s="2"/>
      <c r="AI7" s="2">
        <f t="shared" si="9"/>
        <v>3</v>
      </c>
    </row>
    <row r="8" spans="1:35" ht="21" customHeight="1">
      <c r="A8" s="110">
        <v>3</v>
      </c>
      <c r="B8" s="316" t="str">
        <f>IF(Roster!$J$25="Español",(IF(F8&gt;0,(IF(F8&gt;H8,"ganado",(IF(F8=H8,"empatado",(IF(F8&lt;H8,"perdido","")))))),"")),(IF(F8&gt;0,(IF(F8&gt;H8,"won",(IF(F8=H8,"tied",(IF(F8&lt;H8,"lost","")))))),"")))</f>
        <v/>
      </c>
      <c r="C8" s="317"/>
      <c r="D8" s="111" t="s">
        <v>1358</v>
      </c>
      <c r="E8" s="112" t="s">
        <v>184</v>
      </c>
      <c r="F8" s="113">
        <v>0</v>
      </c>
      <c r="G8" s="114" t="s">
        <v>318</v>
      </c>
      <c r="H8" s="115">
        <v>2</v>
      </c>
      <c r="I8" s="116">
        <f t="shared" si="7"/>
        <v>2</v>
      </c>
      <c r="J8" s="117" t="s">
        <v>318</v>
      </c>
      <c r="K8" s="118">
        <f t="shared" si="8"/>
        <v>7</v>
      </c>
      <c r="L8" s="113"/>
      <c r="M8" s="114" t="s">
        <v>318</v>
      </c>
      <c r="N8" s="119">
        <v>5</v>
      </c>
      <c r="O8" s="120">
        <v>2</v>
      </c>
      <c r="P8" s="114" t="s">
        <v>318</v>
      </c>
      <c r="Q8" s="119">
        <v>2</v>
      </c>
      <c r="R8" s="120"/>
      <c r="S8" s="114" t="s">
        <v>318</v>
      </c>
      <c r="T8" s="119"/>
      <c r="U8" s="113"/>
      <c r="V8" s="114" t="s">
        <v>318</v>
      </c>
      <c r="W8" s="115"/>
      <c r="X8" s="115" t="s">
        <v>222</v>
      </c>
      <c r="Y8" s="121">
        <v>25000</v>
      </c>
      <c r="Z8" s="115">
        <v>1</v>
      </c>
      <c r="AA8" s="318" t="s">
        <v>1359</v>
      </c>
      <c r="AB8" s="317"/>
      <c r="AC8" s="240"/>
      <c r="AD8" s="2"/>
      <c r="AE8" s="53" t="b">
        <v>0</v>
      </c>
      <c r="AF8" s="53" t="b">
        <v>0</v>
      </c>
      <c r="AG8" s="53" t="b">
        <v>0</v>
      </c>
      <c r="AH8" s="2"/>
      <c r="AI8" s="2">
        <f t="shared" si="9"/>
        <v>3</v>
      </c>
    </row>
    <row r="9" spans="1:35" ht="21" customHeight="1">
      <c r="A9" s="110">
        <v>4</v>
      </c>
      <c r="B9" s="316" t="str">
        <f>IF(Roster!$J$25="Español",(IF(F9&gt;0,(IF(F9&gt;H9,"ganado",(IF(F9=H9,"empatado",(IF(F9&lt;H9,"perdido","")))))),"")),(IF(F9&gt;0,(IF(F9&gt;H9,"won",(IF(F9=H9,"tied",(IF(F9&lt;H9,"lost","")))))),"")))</f>
        <v>tied</v>
      </c>
      <c r="C9" s="317"/>
      <c r="D9" s="111" t="s">
        <v>1364</v>
      </c>
      <c r="E9" s="112" t="s">
        <v>175</v>
      </c>
      <c r="F9" s="113">
        <v>1</v>
      </c>
      <c r="G9" s="114" t="s">
        <v>318</v>
      </c>
      <c r="H9" s="115">
        <v>1</v>
      </c>
      <c r="I9" s="116">
        <f t="shared" si="7"/>
        <v>4</v>
      </c>
      <c r="J9" s="117" t="s">
        <v>318</v>
      </c>
      <c r="K9" s="118">
        <f t="shared" si="8"/>
        <v>4</v>
      </c>
      <c r="L9" s="113">
        <v>3</v>
      </c>
      <c r="M9" s="114" t="s">
        <v>318</v>
      </c>
      <c r="N9" s="119">
        <v>3</v>
      </c>
      <c r="O9" s="120">
        <v>1</v>
      </c>
      <c r="P9" s="114" t="s">
        <v>318</v>
      </c>
      <c r="Q9" s="119">
        <v>1</v>
      </c>
      <c r="R9" s="120"/>
      <c r="S9" s="114" t="s">
        <v>318</v>
      </c>
      <c r="T9" s="119"/>
      <c r="U9" s="113"/>
      <c r="V9" s="114" t="s">
        <v>318</v>
      </c>
      <c r="W9" s="115"/>
      <c r="X9" s="115" t="s">
        <v>222</v>
      </c>
      <c r="Y9" s="121">
        <v>45000</v>
      </c>
      <c r="Z9" s="115">
        <v>2</v>
      </c>
      <c r="AA9" s="318"/>
      <c r="AB9" s="317"/>
      <c r="AC9" s="240"/>
      <c r="AD9" s="2"/>
      <c r="AE9" s="53" t="b">
        <v>0</v>
      </c>
      <c r="AF9" s="53" t="b">
        <v>0</v>
      </c>
      <c r="AG9" s="53" t="b">
        <v>0</v>
      </c>
      <c r="AH9" s="2"/>
      <c r="AI9" s="2">
        <f t="shared" si="9"/>
        <v>2</v>
      </c>
    </row>
    <row r="10" spans="1:35" ht="21" customHeight="1">
      <c r="A10" s="122">
        <v>5</v>
      </c>
      <c r="B10" s="316" t="str">
        <f>IF(Roster!$J$25="Español",(IF(F10&gt;0,(IF(F10&gt;H10,"ganado",(IF(F10=H10,"empatado",(IF(F10&lt;H10,"perdido","")))))),"")),(IF(F10&gt;0,(IF(F10&gt;H10,"won",(IF(F10=H10,"tied",(IF(F10&lt;H10,"lost","")))))),"")))</f>
        <v>tied</v>
      </c>
      <c r="C10" s="317"/>
      <c r="D10" s="111" t="s">
        <v>1370</v>
      </c>
      <c r="E10" s="112" t="s">
        <v>154</v>
      </c>
      <c r="F10" s="113">
        <v>1</v>
      </c>
      <c r="G10" s="114" t="s">
        <v>318</v>
      </c>
      <c r="H10" s="115">
        <v>1</v>
      </c>
      <c r="I10" s="116">
        <f t="shared" si="7"/>
        <v>1</v>
      </c>
      <c r="J10" s="117" t="s">
        <v>318</v>
      </c>
      <c r="K10" s="118">
        <f t="shared" si="8"/>
        <v>7</v>
      </c>
      <c r="L10" s="113">
        <v>1</v>
      </c>
      <c r="M10" s="114" t="s">
        <v>318</v>
      </c>
      <c r="N10" s="119">
        <v>4</v>
      </c>
      <c r="O10" s="120"/>
      <c r="P10" s="114" t="s">
        <v>318</v>
      </c>
      <c r="Q10" s="119">
        <v>3</v>
      </c>
      <c r="R10" s="120"/>
      <c r="S10" s="114" t="s">
        <v>318</v>
      </c>
      <c r="T10" s="119"/>
      <c r="U10" s="113"/>
      <c r="V10" s="114" t="s">
        <v>318</v>
      </c>
      <c r="W10" s="115"/>
      <c r="X10" s="115" t="s">
        <v>222</v>
      </c>
      <c r="Y10" s="121">
        <v>30000</v>
      </c>
      <c r="Z10" s="115">
        <v>2</v>
      </c>
      <c r="AA10" s="318" t="s">
        <v>1371</v>
      </c>
      <c r="AB10" s="317"/>
      <c r="AC10" s="240"/>
      <c r="AD10" s="2"/>
      <c r="AE10" s="53" t="b">
        <v>0</v>
      </c>
      <c r="AF10" s="53" t="b">
        <v>0</v>
      </c>
      <c r="AG10" s="53" t="b">
        <v>0</v>
      </c>
      <c r="AH10" s="2"/>
      <c r="AI10" s="2">
        <f t="shared" si="9"/>
        <v>2</v>
      </c>
    </row>
    <row r="11" spans="1:35" ht="21" customHeight="1">
      <c r="A11" s="110">
        <v>6</v>
      </c>
      <c r="B11" s="316" t="str">
        <f>IF(Roster!$J$25="Español",(IF(F11&gt;0,(IF(F11&gt;H11,"ganado",(IF(F11=H11,"empatado",(IF(F11&lt;H11,"perdido","")))))),"")),(IF(F11&gt;0,(IF(F11&gt;H11,"won",(IF(F11=H11,"tied",(IF(F11&lt;H11,"lost","")))))),"")))</f>
        <v/>
      </c>
      <c r="C11" s="317"/>
      <c r="D11" s="111"/>
      <c r="E11" s="112"/>
      <c r="F11" s="113"/>
      <c r="G11" s="114" t="s">
        <v>318</v>
      </c>
      <c r="H11" s="115"/>
      <c r="I11" s="116">
        <f t="shared" si="7"/>
        <v>0</v>
      </c>
      <c r="J11" s="117" t="s">
        <v>318</v>
      </c>
      <c r="K11" s="118">
        <f t="shared" si="8"/>
        <v>0</v>
      </c>
      <c r="L11" s="113"/>
      <c r="M11" s="114" t="s">
        <v>318</v>
      </c>
      <c r="N11" s="119"/>
      <c r="O11" s="120"/>
      <c r="P11" s="114" t="s">
        <v>318</v>
      </c>
      <c r="Q11" s="119"/>
      <c r="R11" s="120"/>
      <c r="S11" s="114" t="s">
        <v>318</v>
      </c>
      <c r="T11" s="119"/>
      <c r="U11" s="113"/>
      <c r="V11" s="114" t="s">
        <v>318</v>
      </c>
      <c r="W11" s="115"/>
      <c r="X11" s="115" t="s">
        <v>222</v>
      </c>
      <c r="Y11" s="121"/>
      <c r="Z11" s="115"/>
      <c r="AA11" s="318"/>
      <c r="AB11" s="317"/>
      <c r="AC11" s="240"/>
      <c r="AD11" s="2"/>
      <c r="AE11" s="53" t="b">
        <v>0</v>
      </c>
      <c r="AF11" s="53" t="b">
        <v>0</v>
      </c>
      <c r="AG11" s="53" t="b">
        <v>0</v>
      </c>
      <c r="AH11" s="2"/>
      <c r="AI11" s="2" t="str">
        <f t="shared" si="9"/>
        <v/>
      </c>
    </row>
    <row r="12" spans="1:35" ht="21" customHeight="1">
      <c r="A12" s="110">
        <v>7</v>
      </c>
      <c r="B12" s="316" t="str">
        <f>IF(Roster!$J$25="Español",(IF(F12&gt;0,(IF(F12&gt;H12,"ganado",(IF(F12=H12,"empatado",(IF(F12&lt;H12,"perdido","")))))),"")),(IF(F12&gt;0,(IF(F12&gt;H12,"won",(IF(F12=H12,"tied",(IF(F12&lt;H12,"lost","")))))),"")))</f>
        <v/>
      </c>
      <c r="C12" s="317"/>
      <c r="D12" s="111"/>
      <c r="E12" s="112"/>
      <c r="F12" s="113"/>
      <c r="G12" s="114" t="s">
        <v>318</v>
      </c>
      <c r="H12" s="115"/>
      <c r="I12" s="116">
        <f t="shared" si="7"/>
        <v>0</v>
      </c>
      <c r="J12" s="117" t="s">
        <v>318</v>
      </c>
      <c r="K12" s="118">
        <f t="shared" si="8"/>
        <v>0</v>
      </c>
      <c r="L12" s="113"/>
      <c r="M12" s="114" t="s">
        <v>318</v>
      </c>
      <c r="N12" s="119"/>
      <c r="O12" s="120"/>
      <c r="P12" s="114" t="s">
        <v>318</v>
      </c>
      <c r="Q12" s="119"/>
      <c r="R12" s="120"/>
      <c r="S12" s="114" t="s">
        <v>318</v>
      </c>
      <c r="T12" s="119"/>
      <c r="U12" s="113"/>
      <c r="V12" s="114" t="s">
        <v>318</v>
      </c>
      <c r="W12" s="115"/>
      <c r="X12" s="115" t="s">
        <v>222</v>
      </c>
      <c r="Y12" s="121"/>
      <c r="Z12" s="115"/>
      <c r="AA12" s="318"/>
      <c r="AB12" s="317"/>
      <c r="AC12" s="240"/>
      <c r="AD12" s="2"/>
      <c r="AE12" s="53" t="b">
        <v>0</v>
      </c>
      <c r="AF12" s="53" t="b">
        <v>0</v>
      </c>
      <c r="AG12" s="53" t="b">
        <v>0</v>
      </c>
      <c r="AH12" s="2"/>
      <c r="AI12" s="2" t="str">
        <f t="shared" si="9"/>
        <v/>
      </c>
    </row>
    <row r="13" spans="1:35" ht="21" customHeight="1">
      <c r="A13" s="122">
        <v>8</v>
      </c>
      <c r="B13" s="316" t="str">
        <f>IF(Roster!$J$25="Español",(IF(F13&gt;0,(IF(F13&gt;H13,"ganado",(IF(F13=H13,"empatado",(IF(F13&lt;H13,"perdido","")))))),"")),(IF(F13&gt;0,(IF(F13&gt;H13,"won",(IF(F13=H13,"tied",(IF(F13&lt;H13,"lost","")))))),"")))</f>
        <v/>
      </c>
      <c r="C13" s="317"/>
      <c r="D13" s="111"/>
      <c r="E13" s="112"/>
      <c r="F13" s="113"/>
      <c r="G13" s="114" t="s">
        <v>318</v>
      </c>
      <c r="H13" s="115"/>
      <c r="I13" s="116">
        <f t="shared" si="7"/>
        <v>0</v>
      </c>
      <c r="J13" s="117" t="s">
        <v>318</v>
      </c>
      <c r="K13" s="118">
        <f t="shared" si="8"/>
        <v>0</v>
      </c>
      <c r="L13" s="113"/>
      <c r="M13" s="114" t="s">
        <v>318</v>
      </c>
      <c r="N13" s="119"/>
      <c r="O13" s="120"/>
      <c r="P13" s="114" t="s">
        <v>318</v>
      </c>
      <c r="Q13" s="119"/>
      <c r="R13" s="120"/>
      <c r="S13" s="114" t="s">
        <v>318</v>
      </c>
      <c r="T13" s="119"/>
      <c r="U13" s="113"/>
      <c r="V13" s="114" t="s">
        <v>318</v>
      </c>
      <c r="W13" s="115"/>
      <c r="X13" s="115" t="s">
        <v>222</v>
      </c>
      <c r="Y13" s="121"/>
      <c r="Z13" s="115"/>
      <c r="AA13" s="318"/>
      <c r="AB13" s="317"/>
      <c r="AC13" s="240"/>
      <c r="AD13" s="2"/>
      <c r="AE13" s="53" t="b">
        <v>0</v>
      </c>
      <c r="AF13" s="53" t="b">
        <v>0</v>
      </c>
      <c r="AG13" s="53" t="b">
        <v>0</v>
      </c>
      <c r="AH13" s="2"/>
      <c r="AI13" s="2" t="str">
        <f t="shared" si="9"/>
        <v/>
      </c>
    </row>
    <row r="14" spans="1:35" ht="21" customHeight="1">
      <c r="A14" s="110">
        <v>9</v>
      </c>
      <c r="B14" s="316" t="str">
        <f>IF(Roster!$J$25="Español",(IF(F14&gt;0,(IF(F14&gt;H14,"ganado",(IF(F14=H14,"empatado",(IF(F14&lt;H14,"perdido","")))))),"")),(IF(F14&gt;0,(IF(F14&gt;H14,"won",(IF(F14=H14,"tied",(IF(F14&lt;H14,"lost","")))))),"")))</f>
        <v/>
      </c>
      <c r="C14" s="317"/>
      <c r="D14" s="111"/>
      <c r="E14" s="112"/>
      <c r="F14" s="113"/>
      <c r="G14" s="114" t="s">
        <v>318</v>
      </c>
      <c r="H14" s="115"/>
      <c r="I14" s="116">
        <f t="shared" si="7"/>
        <v>0</v>
      </c>
      <c r="J14" s="117" t="s">
        <v>318</v>
      </c>
      <c r="K14" s="118">
        <f t="shared" si="8"/>
        <v>0</v>
      </c>
      <c r="L14" s="113"/>
      <c r="M14" s="114" t="s">
        <v>318</v>
      </c>
      <c r="N14" s="119"/>
      <c r="O14" s="120"/>
      <c r="P14" s="114" t="s">
        <v>318</v>
      </c>
      <c r="Q14" s="119"/>
      <c r="R14" s="120"/>
      <c r="S14" s="114" t="s">
        <v>318</v>
      </c>
      <c r="T14" s="119"/>
      <c r="U14" s="113"/>
      <c r="V14" s="114" t="s">
        <v>318</v>
      </c>
      <c r="W14" s="115"/>
      <c r="X14" s="115" t="s">
        <v>222</v>
      </c>
      <c r="Y14" s="121"/>
      <c r="Z14" s="115"/>
      <c r="AA14" s="318"/>
      <c r="AB14" s="317"/>
      <c r="AC14" s="240"/>
      <c r="AD14" s="2"/>
      <c r="AE14" s="53" t="b">
        <v>0</v>
      </c>
      <c r="AF14" s="53" t="b">
        <v>0</v>
      </c>
      <c r="AG14" s="53" t="b">
        <v>0</v>
      </c>
      <c r="AH14" s="2"/>
      <c r="AI14" s="2" t="str">
        <f t="shared" si="9"/>
        <v/>
      </c>
    </row>
    <row r="15" spans="1:35" ht="21" customHeight="1">
      <c r="A15" s="110">
        <v>10</v>
      </c>
      <c r="B15" s="316" t="str">
        <f>IF(Roster!$J$25="Español",(IF(F15&gt;0,(IF(F15&gt;H15,"ganado",(IF(F15=H15,"empatado",(IF(F15&lt;H15,"perdido","")))))),"")),(IF(F15&gt;0,(IF(F15&gt;H15,"won",(IF(F15=H15,"tied",(IF(F15&lt;H15,"lost","")))))),"")))</f>
        <v/>
      </c>
      <c r="C15" s="317"/>
      <c r="D15" s="111"/>
      <c r="E15" s="112"/>
      <c r="F15" s="113"/>
      <c r="G15" s="114" t="s">
        <v>318</v>
      </c>
      <c r="H15" s="115"/>
      <c r="I15" s="116">
        <f t="shared" si="7"/>
        <v>0</v>
      </c>
      <c r="J15" s="117" t="s">
        <v>318</v>
      </c>
      <c r="K15" s="118">
        <f t="shared" si="8"/>
        <v>0</v>
      </c>
      <c r="L15" s="113"/>
      <c r="M15" s="114" t="s">
        <v>318</v>
      </c>
      <c r="N15" s="119"/>
      <c r="O15" s="120"/>
      <c r="P15" s="114" t="s">
        <v>318</v>
      </c>
      <c r="Q15" s="119"/>
      <c r="R15" s="120"/>
      <c r="S15" s="114" t="s">
        <v>318</v>
      </c>
      <c r="T15" s="119"/>
      <c r="U15" s="113"/>
      <c r="V15" s="114" t="s">
        <v>318</v>
      </c>
      <c r="W15" s="115"/>
      <c r="X15" s="115" t="s">
        <v>222</v>
      </c>
      <c r="Y15" s="121"/>
      <c r="Z15" s="115"/>
      <c r="AA15" s="318"/>
      <c r="AB15" s="317"/>
      <c r="AC15" s="240"/>
      <c r="AD15" s="2"/>
      <c r="AE15" s="53" t="b">
        <v>0</v>
      </c>
      <c r="AF15" s="53" t="b">
        <v>0</v>
      </c>
      <c r="AG15" s="53" t="b">
        <v>0</v>
      </c>
      <c r="AH15" s="2"/>
      <c r="AI15" s="2" t="str">
        <f t="shared" si="9"/>
        <v/>
      </c>
    </row>
    <row r="16" spans="1:35" ht="21" customHeight="1">
      <c r="A16" s="122">
        <v>11</v>
      </c>
      <c r="B16" s="316" t="str">
        <f>IF(Roster!$J$25="Español",(IF(F16&gt;0,(IF(F16&gt;H16,"ganado",(IF(F16=H16,"empatado",(IF(F16&lt;H16,"perdido","")))))),"")),(IF(F16&gt;0,(IF(F16&gt;H16,"won",(IF(F16=H16,"tied",(IF(F16&lt;H16,"lost","")))))),"")))</f>
        <v/>
      </c>
      <c r="C16" s="317"/>
      <c r="D16" s="111"/>
      <c r="E16" s="112"/>
      <c r="F16" s="113"/>
      <c r="G16" s="114" t="s">
        <v>318</v>
      </c>
      <c r="H16" s="115"/>
      <c r="I16" s="116">
        <f t="shared" si="7"/>
        <v>0</v>
      </c>
      <c r="J16" s="117" t="s">
        <v>318</v>
      </c>
      <c r="K16" s="118">
        <f t="shared" si="8"/>
        <v>0</v>
      </c>
      <c r="L16" s="113"/>
      <c r="M16" s="114" t="s">
        <v>318</v>
      </c>
      <c r="N16" s="119"/>
      <c r="O16" s="120"/>
      <c r="P16" s="114" t="s">
        <v>318</v>
      </c>
      <c r="Q16" s="119"/>
      <c r="R16" s="120"/>
      <c r="S16" s="114" t="s">
        <v>318</v>
      </c>
      <c r="T16" s="119"/>
      <c r="U16" s="113"/>
      <c r="V16" s="114" t="s">
        <v>318</v>
      </c>
      <c r="W16" s="115"/>
      <c r="X16" s="115" t="s">
        <v>222</v>
      </c>
      <c r="Y16" s="121"/>
      <c r="Z16" s="115"/>
      <c r="AA16" s="318"/>
      <c r="AB16" s="317"/>
      <c r="AC16" s="240"/>
      <c r="AD16" s="2"/>
      <c r="AE16" s="53" t="b">
        <v>0</v>
      </c>
      <c r="AF16" s="53" t="b">
        <v>0</v>
      </c>
      <c r="AG16" s="53" t="b">
        <v>0</v>
      </c>
      <c r="AH16" s="2"/>
      <c r="AI16" s="2" t="str">
        <f t="shared" si="9"/>
        <v/>
      </c>
    </row>
    <row r="17" spans="1:35" ht="21" customHeight="1">
      <c r="A17" s="110">
        <v>12</v>
      </c>
      <c r="B17" s="316" t="str">
        <f>IF(Roster!$J$25="Español",(IF(F17&gt;0,(IF(F17&gt;H17,"ganado",(IF(F17=H17,"empatado",(IF(F17&lt;H17,"perdido","")))))),"")),(IF(F17&gt;0,(IF(F17&gt;H17,"won",(IF(F17=H17,"tied",(IF(F17&lt;H17,"lost","")))))),"")))</f>
        <v/>
      </c>
      <c r="C17" s="317"/>
      <c r="D17" s="111"/>
      <c r="E17" s="112"/>
      <c r="F17" s="113"/>
      <c r="G17" s="114" t="s">
        <v>318</v>
      </c>
      <c r="H17" s="115"/>
      <c r="I17" s="116">
        <f t="shared" si="7"/>
        <v>0</v>
      </c>
      <c r="J17" s="117" t="s">
        <v>318</v>
      </c>
      <c r="K17" s="118">
        <f t="shared" si="8"/>
        <v>0</v>
      </c>
      <c r="L17" s="113"/>
      <c r="M17" s="114" t="s">
        <v>318</v>
      </c>
      <c r="N17" s="119"/>
      <c r="O17" s="120"/>
      <c r="P17" s="114" t="s">
        <v>318</v>
      </c>
      <c r="Q17" s="119"/>
      <c r="R17" s="120"/>
      <c r="S17" s="114" t="s">
        <v>318</v>
      </c>
      <c r="T17" s="119"/>
      <c r="U17" s="113"/>
      <c r="V17" s="114" t="s">
        <v>318</v>
      </c>
      <c r="W17" s="115"/>
      <c r="X17" s="115" t="s">
        <v>222</v>
      </c>
      <c r="Y17" s="121"/>
      <c r="Z17" s="115"/>
      <c r="AA17" s="318"/>
      <c r="AB17" s="317"/>
      <c r="AC17" s="240"/>
      <c r="AD17" s="2"/>
      <c r="AE17" s="53" t="b">
        <v>0</v>
      </c>
      <c r="AF17" s="53" t="b">
        <v>0</v>
      </c>
      <c r="AG17" s="53" t="b">
        <v>0</v>
      </c>
      <c r="AH17" s="2"/>
      <c r="AI17" s="2" t="str">
        <f t="shared" si="9"/>
        <v/>
      </c>
    </row>
    <row r="18" spans="1:35" ht="21" customHeight="1">
      <c r="A18" s="110">
        <v>13</v>
      </c>
      <c r="B18" s="316" t="str">
        <f>IF(Roster!$J$25="Español",(IF(F18&gt;0,(IF(F18&gt;H18,"ganado",(IF(F18=H18,"empatado",(IF(F18&lt;H18,"perdido","")))))),"")),(IF(F18&gt;0,(IF(F18&gt;H18,"won",(IF(F18=H18,"tied",(IF(F18&lt;H18,"lost","")))))),"")))</f>
        <v/>
      </c>
      <c r="C18" s="317"/>
      <c r="D18" s="131"/>
      <c r="E18" s="112"/>
      <c r="F18" s="132"/>
      <c r="G18" s="133" t="s">
        <v>318</v>
      </c>
      <c r="H18" s="134"/>
      <c r="I18" s="135">
        <f t="shared" si="7"/>
        <v>0</v>
      </c>
      <c r="J18" s="136" t="s">
        <v>318</v>
      </c>
      <c r="K18" s="137">
        <f t="shared" si="8"/>
        <v>0</v>
      </c>
      <c r="L18" s="132"/>
      <c r="M18" s="133" t="s">
        <v>318</v>
      </c>
      <c r="N18" s="4"/>
      <c r="O18" s="138"/>
      <c r="P18" s="133" t="s">
        <v>318</v>
      </c>
      <c r="Q18" s="4"/>
      <c r="R18" s="138"/>
      <c r="S18" s="133" t="s">
        <v>318</v>
      </c>
      <c r="T18" s="4"/>
      <c r="U18" s="132"/>
      <c r="V18" s="133" t="s">
        <v>318</v>
      </c>
      <c r="W18" s="134"/>
      <c r="X18" s="115" t="s">
        <v>222</v>
      </c>
      <c r="Y18" s="139"/>
      <c r="Z18" s="134"/>
      <c r="AA18" s="318"/>
      <c r="AB18" s="317"/>
      <c r="AC18" s="240"/>
      <c r="AD18" s="2"/>
      <c r="AE18" s="53" t="b">
        <v>0</v>
      </c>
      <c r="AF18" s="53" t="b">
        <v>0</v>
      </c>
      <c r="AG18" s="53" t="b">
        <v>0</v>
      </c>
      <c r="AH18" s="2"/>
      <c r="AI18" s="2" t="str">
        <f t="shared" si="9"/>
        <v/>
      </c>
    </row>
    <row r="19" spans="1:35" ht="21" customHeight="1">
      <c r="A19" s="122">
        <v>14</v>
      </c>
      <c r="B19" s="316" t="str">
        <f>IF(Roster!$J$25="Español",(IF(F19&gt;0,(IF(F19&gt;H19,"ganado",(IF(F19=H19,"empatado",(IF(F19&lt;H19,"perdido","")))))),"")),(IF(F19&gt;0,(IF(F19&gt;H19,"won",(IF(F19=H19,"tied",(IF(F19&lt;H19,"lost","")))))),"")))</f>
        <v/>
      </c>
      <c r="C19" s="317"/>
      <c r="D19" s="111"/>
      <c r="E19" s="112"/>
      <c r="F19" s="113"/>
      <c r="G19" s="114" t="s">
        <v>318</v>
      </c>
      <c r="H19" s="115"/>
      <c r="I19" s="116">
        <f t="shared" si="7"/>
        <v>0</v>
      </c>
      <c r="J19" s="117" t="s">
        <v>318</v>
      </c>
      <c r="K19" s="118">
        <f t="shared" si="8"/>
        <v>0</v>
      </c>
      <c r="L19" s="113"/>
      <c r="M19" s="114" t="s">
        <v>318</v>
      </c>
      <c r="N19" s="119"/>
      <c r="O19" s="120"/>
      <c r="P19" s="114" t="s">
        <v>318</v>
      </c>
      <c r="Q19" s="119"/>
      <c r="R19" s="120"/>
      <c r="S19" s="114" t="s">
        <v>318</v>
      </c>
      <c r="T19" s="119"/>
      <c r="U19" s="113"/>
      <c r="V19" s="114" t="s">
        <v>318</v>
      </c>
      <c r="W19" s="115"/>
      <c r="X19" s="115" t="s">
        <v>222</v>
      </c>
      <c r="Y19" s="121"/>
      <c r="Z19" s="115"/>
      <c r="AA19" s="318"/>
      <c r="AB19" s="317"/>
      <c r="AC19" s="240"/>
      <c r="AD19" s="2"/>
      <c r="AE19" s="53" t="b">
        <v>0</v>
      </c>
      <c r="AF19" s="53" t="b">
        <v>0</v>
      </c>
      <c r="AG19" s="53" t="b">
        <v>0</v>
      </c>
      <c r="AH19" s="2"/>
      <c r="AI19" s="2" t="str">
        <f t="shared" si="9"/>
        <v/>
      </c>
    </row>
    <row r="20" spans="1:35" ht="21" customHeight="1">
      <c r="A20" s="110">
        <v>15</v>
      </c>
      <c r="B20" s="316" t="str">
        <f>IF(Roster!$J$25="Español",(IF(F20&gt;0,(IF(F20&gt;H20,"ganado",(IF(F20=H20,"empatado",(IF(F20&lt;H20,"perdido","")))))),"")),(IF(F20&gt;0,(IF(F20&gt;H20,"won",(IF(F20=H20,"tied",(IF(F20&lt;H20,"lost","")))))),"")))</f>
        <v/>
      </c>
      <c r="C20" s="317"/>
      <c r="D20" s="123"/>
      <c r="E20" s="112"/>
      <c r="F20" s="124"/>
      <c r="G20" s="114" t="s">
        <v>318</v>
      </c>
      <c r="H20" s="126"/>
      <c r="I20" s="116">
        <f t="shared" si="7"/>
        <v>0</v>
      </c>
      <c r="J20" s="127" t="s">
        <v>318</v>
      </c>
      <c r="K20" s="118">
        <f t="shared" si="8"/>
        <v>0</v>
      </c>
      <c r="L20" s="124"/>
      <c r="M20" s="125" t="s">
        <v>318</v>
      </c>
      <c r="N20" s="128"/>
      <c r="O20" s="129"/>
      <c r="P20" s="125" t="s">
        <v>318</v>
      </c>
      <c r="Q20" s="128"/>
      <c r="R20" s="129"/>
      <c r="S20" s="125" t="s">
        <v>318</v>
      </c>
      <c r="T20" s="128"/>
      <c r="U20" s="124"/>
      <c r="V20" s="125" t="s">
        <v>318</v>
      </c>
      <c r="W20" s="126"/>
      <c r="X20" s="115" t="s">
        <v>222</v>
      </c>
      <c r="Y20" s="130"/>
      <c r="Z20" s="126"/>
      <c r="AA20" s="318"/>
      <c r="AB20" s="317"/>
      <c r="AC20" s="240"/>
      <c r="AD20" s="2"/>
      <c r="AE20" s="53" t="b">
        <v>0</v>
      </c>
      <c r="AF20" s="53" t="b">
        <v>0</v>
      </c>
      <c r="AG20" s="53" t="b">
        <v>0</v>
      </c>
      <c r="AH20" s="2"/>
      <c r="AI20" s="2" t="str">
        <f t="shared" si="9"/>
        <v/>
      </c>
    </row>
    <row r="21" spans="1:35" ht="21" customHeight="1">
      <c r="A21" s="110">
        <v>16</v>
      </c>
      <c r="B21" s="316" t="str">
        <f>IF(Roster!$J$25="Español",(IF(F21&gt;0,(IF(F21&gt;H21,"ganado",(IF(F21=H21,"empatado",(IF(F21&lt;H21,"perdido","")))))),"")),(IF(F21&gt;0,(IF(F21&gt;H21,"won",(IF(F21=H21,"tied",(IF(F21&lt;H21,"lost","")))))),"")))</f>
        <v/>
      </c>
      <c r="C21" s="317"/>
      <c r="D21" s="111"/>
      <c r="E21" s="112"/>
      <c r="F21" s="113"/>
      <c r="G21" s="114" t="s">
        <v>318</v>
      </c>
      <c r="H21" s="115"/>
      <c r="I21" s="116">
        <f t="shared" si="7"/>
        <v>0</v>
      </c>
      <c r="J21" s="117" t="s">
        <v>318</v>
      </c>
      <c r="K21" s="118">
        <f t="shared" si="8"/>
        <v>0</v>
      </c>
      <c r="L21" s="113"/>
      <c r="M21" s="114" t="s">
        <v>318</v>
      </c>
      <c r="N21" s="119"/>
      <c r="O21" s="120"/>
      <c r="P21" s="114" t="s">
        <v>318</v>
      </c>
      <c r="Q21" s="119"/>
      <c r="R21" s="120"/>
      <c r="S21" s="114" t="s">
        <v>318</v>
      </c>
      <c r="T21" s="119"/>
      <c r="U21" s="113"/>
      <c r="V21" s="114" t="s">
        <v>318</v>
      </c>
      <c r="W21" s="115"/>
      <c r="X21" s="115" t="s">
        <v>222</v>
      </c>
      <c r="Y21" s="121"/>
      <c r="Z21" s="115"/>
      <c r="AA21" s="318"/>
      <c r="AB21" s="317"/>
      <c r="AC21" s="240"/>
      <c r="AD21" s="2"/>
      <c r="AE21" s="53" t="b">
        <v>0</v>
      </c>
      <c r="AF21" s="53" t="b">
        <v>0</v>
      </c>
      <c r="AG21" s="53" t="b">
        <v>0</v>
      </c>
      <c r="AH21" s="2"/>
      <c r="AI21" s="2" t="str">
        <f t="shared" si="9"/>
        <v/>
      </c>
    </row>
    <row r="22" spans="1:35" ht="21" customHeight="1">
      <c r="A22" s="122">
        <v>17</v>
      </c>
      <c r="B22" s="316" t="str">
        <f>IF(Roster!$J$25="Español",(IF(F22&gt;0,(IF(F22&gt;H22,"ganado",(IF(F22=H22,"empatado",(IF(F22&lt;H22,"perdido","")))))),"")),(IF(F22&gt;0,(IF(F22&gt;H22,"won",(IF(F22=H22,"tied",(IF(F22&lt;H22,"lost","")))))),"")))</f>
        <v/>
      </c>
      <c r="C22" s="317"/>
      <c r="D22" s="111"/>
      <c r="E22" s="112"/>
      <c r="F22" s="113"/>
      <c r="G22" s="114" t="s">
        <v>318</v>
      </c>
      <c r="H22" s="115"/>
      <c r="I22" s="116">
        <f t="shared" si="7"/>
        <v>0</v>
      </c>
      <c r="J22" s="117" t="s">
        <v>318</v>
      </c>
      <c r="K22" s="118">
        <f t="shared" si="8"/>
        <v>0</v>
      </c>
      <c r="L22" s="113"/>
      <c r="M22" s="114" t="s">
        <v>318</v>
      </c>
      <c r="N22" s="119"/>
      <c r="O22" s="120"/>
      <c r="P22" s="114" t="s">
        <v>318</v>
      </c>
      <c r="Q22" s="119"/>
      <c r="R22" s="120"/>
      <c r="S22" s="114" t="s">
        <v>318</v>
      </c>
      <c r="T22" s="119"/>
      <c r="U22" s="113"/>
      <c r="V22" s="114" t="s">
        <v>318</v>
      </c>
      <c r="W22" s="115"/>
      <c r="X22" s="115" t="s">
        <v>222</v>
      </c>
      <c r="Y22" s="121"/>
      <c r="Z22" s="115"/>
      <c r="AA22" s="318"/>
      <c r="AB22" s="317"/>
      <c r="AC22" s="240"/>
      <c r="AD22" s="2"/>
      <c r="AE22" s="53" t="b">
        <v>0</v>
      </c>
      <c r="AF22" s="53" t="b">
        <v>0</v>
      </c>
      <c r="AG22" s="53" t="b">
        <v>0</v>
      </c>
      <c r="AH22" s="2"/>
      <c r="AI22" s="2" t="str">
        <f t="shared" si="9"/>
        <v/>
      </c>
    </row>
    <row r="23" spans="1:35" ht="21" customHeight="1">
      <c r="A23" s="110">
        <v>18</v>
      </c>
      <c r="B23" s="316" t="str">
        <f>IF(Roster!$J$25="Español",(IF(F23&gt;0,(IF(F23&gt;H23,"ganado",(IF(F23=H23,"empatado",(IF(F23&lt;H23,"perdido","")))))),"")),(IF(F23&gt;0,(IF(F23&gt;H23,"won",(IF(F23=H23,"tied",(IF(F23&lt;H23,"lost","")))))),"")))</f>
        <v/>
      </c>
      <c r="C23" s="317"/>
      <c r="D23" s="111"/>
      <c r="E23" s="112"/>
      <c r="F23" s="113"/>
      <c r="G23" s="114" t="s">
        <v>318</v>
      </c>
      <c r="H23" s="115"/>
      <c r="I23" s="116">
        <f t="shared" si="7"/>
        <v>0</v>
      </c>
      <c r="J23" s="117" t="s">
        <v>318</v>
      </c>
      <c r="K23" s="118">
        <f t="shared" si="8"/>
        <v>0</v>
      </c>
      <c r="L23" s="113"/>
      <c r="M23" s="114" t="s">
        <v>318</v>
      </c>
      <c r="N23" s="119"/>
      <c r="O23" s="120"/>
      <c r="P23" s="114" t="s">
        <v>318</v>
      </c>
      <c r="Q23" s="119"/>
      <c r="R23" s="120"/>
      <c r="S23" s="114" t="s">
        <v>318</v>
      </c>
      <c r="T23" s="119"/>
      <c r="U23" s="113"/>
      <c r="V23" s="114" t="s">
        <v>318</v>
      </c>
      <c r="W23" s="115"/>
      <c r="X23" s="115" t="s">
        <v>222</v>
      </c>
      <c r="Y23" s="121"/>
      <c r="Z23" s="115"/>
      <c r="AA23" s="318"/>
      <c r="AB23" s="317"/>
      <c r="AC23" s="240"/>
      <c r="AD23" s="2"/>
      <c r="AE23" s="53" t="b">
        <v>0</v>
      </c>
      <c r="AF23" s="53" t="b">
        <v>0</v>
      </c>
      <c r="AG23" s="53" t="b">
        <v>0</v>
      </c>
      <c r="AH23" s="2"/>
      <c r="AI23" s="2" t="str">
        <f t="shared" si="9"/>
        <v/>
      </c>
    </row>
    <row r="24" spans="1:35" ht="21" customHeight="1">
      <c r="A24" s="110">
        <v>19</v>
      </c>
      <c r="B24" s="316" t="str">
        <f>IF(Roster!$J$25="Español",(IF(F24&gt;0,(IF(F24&gt;H24,"ganado",(IF(F24=H24,"empatado",(IF(F24&lt;H24,"perdido","")))))),"")),(IF(F24&gt;0,(IF(F24&gt;H24,"won",(IF(F24=H24,"tied",(IF(F24&lt;H24,"lost","")))))),"")))</f>
        <v/>
      </c>
      <c r="C24" s="317"/>
      <c r="D24" s="111"/>
      <c r="E24" s="112"/>
      <c r="F24" s="113"/>
      <c r="G24" s="114" t="s">
        <v>318</v>
      </c>
      <c r="H24" s="115"/>
      <c r="I24" s="116">
        <f t="shared" si="7"/>
        <v>0</v>
      </c>
      <c r="J24" s="117" t="s">
        <v>318</v>
      </c>
      <c r="K24" s="118">
        <f t="shared" si="8"/>
        <v>0</v>
      </c>
      <c r="L24" s="113"/>
      <c r="M24" s="114" t="s">
        <v>318</v>
      </c>
      <c r="N24" s="119"/>
      <c r="O24" s="120"/>
      <c r="P24" s="114" t="s">
        <v>318</v>
      </c>
      <c r="Q24" s="119"/>
      <c r="R24" s="120"/>
      <c r="S24" s="114" t="s">
        <v>318</v>
      </c>
      <c r="T24" s="119"/>
      <c r="U24" s="113"/>
      <c r="V24" s="114" t="s">
        <v>318</v>
      </c>
      <c r="W24" s="115"/>
      <c r="X24" s="115" t="s">
        <v>222</v>
      </c>
      <c r="Y24" s="121"/>
      <c r="Z24" s="115"/>
      <c r="AA24" s="318"/>
      <c r="AB24" s="317"/>
      <c r="AC24" s="240"/>
      <c r="AD24" s="2"/>
      <c r="AE24" s="53" t="b">
        <v>0</v>
      </c>
      <c r="AF24" s="53" t="b">
        <v>0</v>
      </c>
      <c r="AG24" s="53" t="b">
        <v>0</v>
      </c>
      <c r="AH24" s="2"/>
      <c r="AI24" s="2" t="str">
        <f t="shared" si="9"/>
        <v/>
      </c>
    </row>
    <row r="25" spans="1:35" ht="21" customHeight="1">
      <c r="A25" s="122">
        <v>20</v>
      </c>
      <c r="B25" s="316" t="str">
        <f>IF(Roster!$J$25="Español",(IF(F25&gt;0,(IF(F25&gt;H25,"ganado",(IF(F25=H25,"empatado",(IF(F25&lt;H25,"perdido","")))))),"")),(IF(F25&gt;0,(IF(F25&gt;H25,"won",(IF(F25=H25,"tied",(IF(F25&lt;H25,"lost","")))))),"")))</f>
        <v/>
      </c>
      <c r="C25" s="317"/>
      <c r="D25" s="111"/>
      <c r="E25" s="112"/>
      <c r="F25" s="113"/>
      <c r="G25" s="114" t="s">
        <v>318</v>
      </c>
      <c r="H25" s="115"/>
      <c r="I25" s="116">
        <f t="shared" si="7"/>
        <v>0</v>
      </c>
      <c r="J25" s="117" t="s">
        <v>318</v>
      </c>
      <c r="K25" s="118">
        <f t="shared" si="8"/>
        <v>0</v>
      </c>
      <c r="L25" s="113"/>
      <c r="M25" s="114" t="s">
        <v>318</v>
      </c>
      <c r="N25" s="119"/>
      <c r="O25" s="120"/>
      <c r="P25" s="114" t="s">
        <v>318</v>
      </c>
      <c r="Q25" s="119"/>
      <c r="R25" s="120"/>
      <c r="S25" s="114" t="s">
        <v>318</v>
      </c>
      <c r="T25" s="119"/>
      <c r="U25" s="113"/>
      <c r="V25" s="114" t="s">
        <v>318</v>
      </c>
      <c r="W25" s="115"/>
      <c r="X25" s="115" t="s">
        <v>222</v>
      </c>
      <c r="Y25" s="121"/>
      <c r="Z25" s="115"/>
      <c r="AA25" s="318"/>
      <c r="AB25" s="317"/>
      <c r="AC25" s="240"/>
      <c r="AD25" s="2"/>
      <c r="AE25" s="53" t="b">
        <v>0</v>
      </c>
      <c r="AF25" s="53" t="b">
        <v>0</v>
      </c>
      <c r="AG25" s="53" t="b">
        <v>0</v>
      </c>
      <c r="AH25" s="2"/>
      <c r="AI25" s="2" t="str">
        <f t="shared" si="9"/>
        <v/>
      </c>
    </row>
    <row r="26" spans="1:35" ht="21" customHeight="1">
      <c r="A26" s="110">
        <v>21</v>
      </c>
      <c r="B26" s="316" t="str">
        <f>IF(Roster!$J$25="Español",(IF(F26&gt;0,(IF(F26&gt;H26,"ganado",(IF(F26=H26,"empatado",(IF(F26&lt;H26,"perdido","")))))),"")),(IF(F26&gt;0,(IF(F26&gt;H26,"won",(IF(F26=H26,"tied",(IF(F26&lt;H26,"lost","")))))),"")))</f>
        <v/>
      </c>
      <c r="C26" s="317"/>
      <c r="D26" s="111"/>
      <c r="E26" s="112"/>
      <c r="F26" s="113"/>
      <c r="G26" s="114" t="s">
        <v>318</v>
      </c>
      <c r="H26" s="115"/>
      <c r="I26" s="116">
        <f t="shared" si="7"/>
        <v>0</v>
      </c>
      <c r="J26" s="117" t="s">
        <v>318</v>
      </c>
      <c r="K26" s="118">
        <f t="shared" si="8"/>
        <v>0</v>
      </c>
      <c r="L26" s="113"/>
      <c r="M26" s="114" t="s">
        <v>318</v>
      </c>
      <c r="N26" s="119"/>
      <c r="O26" s="120"/>
      <c r="P26" s="114" t="s">
        <v>318</v>
      </c>
      <c r="Q26" s="119"/>
      <c r="R26" s="120"/>
      <c r="S26" s="114" t="s">
        <v>318</v>
      </c>
      <c r="T26" s="119"/>
      <c r="U26" s="113"/>
      <c r="V26" s="114" t="s">
        <v>318</v>
      </c>
      <c r="W26" s="115"/>
      <c r="X26" s="115" t="s">
        <v>222</v>
      </c>
      <c r="Y26" s="121"/>
      <c r="Z26" s="115"/>
      <c r="AA26" s="318"/>
      <c r="AB26" s="317"/>
      <c r="AC26" s="240"/>
      <c r="AD26" s="2"/>
      <c r="AE26" s="53" t="b">
        <v>0</v>
      </c>
      <c r="AF26" s="53" t="b">
        <v>0</v>
      </c>
      <c r="AG26" s="53" t="b">
        <v>0</v>
      </c>
      <c r="AH26" s="2"/>
      <c r="AI26" s="2" t="str">
        <f t="shared" si="9"/>
        <v/>
      </c>
    </row>
    <row r="27" spans="1:35" ht="21" customHeight="1">
      <c r="A27" s="110">
        <v>22</v>
      </c>
      <c r="B27" s="316" t="str">
        <f>IF(Roster!$J$25="Español",(IF(F27&gt;0,(IF(F27&gt;H27,"ganado",(IF(F27=H27,"empatado",(IF(F27&lt;H27,"perdido","")))))),"")),(IF(F27&gt;0,(IF(F27&gt;H27,"won",(IF(F27=H27,"tied",(IF(F27&lt;H27,"lost","")))))),"")))</f>
        <v/>
      </c>
      <c r="C27" s="317"/>
      <c r="D27" s="111"/>
      <c r="E27" s="112"/>
      <c r="F27" s="113"/>
      <c r="G27" s="114" t="s">
        <v>318</v>
      </c>
      <c r="H27" s="115"/>
      <c r="I27" s="116">
        <f t="shared" si="7"/>
        <v>0</v>
      </c>
      <c r="J27" s="117" t="s">
        <v>318</v>
      </c>
      <c r="K27" s="118">
        <f t="shared" si="8"/>
        <v>0</v>
      </c>
      <c r="L27" s="113"/>
      <c r="M27" s="114" t="s">
        <v>318</v>
      </c>
      <c r="N27" s="119"/>
      <c r="O27" s="120"/>
      <c r="P27" s="114" t="s">
        <v>318</v>
      </c>
      <c r="Q27" s="119"/>
      <c r="R27" s="120"/>
      <c r="S27" s="114" t="s">
        <v>318</v>
      </c>
      <c r="T27" s="119"/>
      <c r="U27" s="113"/>
      <c r="V27" s="114" t="s">
        <v>318</v>
      </c>
      <c r="W27" s="115"/>
      <c r="X27" s="115" t="s">
        <v>222</v>
      </c>
      <c r="Y27" s="121"/>
      <c r="Z27" s="115"/>
      <c r="AA27" s="318"/>
      <c r="AB27" s="317"/>
      <c r="AC27" s="240"/>
      <c r="AD27" s="2"/>
      <c r="AE27" s="53" t="b">
        <v>0</v>
      </c>
      <c r="AF27" s="53" t="b">
        <v>0</v>
      </c>
      <c r="AG27" s="53" t="b">
        <v>0</v>
      </c>
      <c r="AH27" s="2"/>
      <c r="AI27" s="2" t="str">
        <f t="shared" si="9"/>
        <v/>
      </c>
    </row>
    <row r="28" spans="1:35" ht="21" customHeight="1">
      <c r="A28" s="122">
        <v>23</v>
      </c>
      <c r="B28" s="316" t="str">
        <f>IF(Roster!$J$25="Español",(IF(F28&gt;0,(IF(F28&gt;H28,"ganado",(IF(F28=H28,"empatado",(IF(F28&lt;H28,"perdido","")))))),"")),(IF(F28&gt;0,(IF(F28&gt;H28,"won",(IF(F28=H28,"tied",(IF(F28&lt;H28,"lost","")))))),"")))</f>
        <v/>
      </c>
      <c r="C28" s="317"/>
      <c r="D28" s="111"/>
      <c r="E28" s="112"/>
      <c r="F28" s="113"/>
      <c r="G28" s="114" t="s">
        <v>318</v>
      </c>
      <c r="H28" s="115"/>
      <c r="I28" s="116">
        <f t="shared" si="7"/>
        <v>0</v>
      </c>
      <c r="J28" s="117" t="s">
        <v>318</v>
      </c>
      <c r="K28" s="118">
        <f t="shared" si="8"/>
        <v>0</v>
      </c>
      <c r="L28" s="113"/>
      <c r="M28" s="114" t="s">
        <v>318</v>
      </c>
      <c r="N28" s="119"/>
      <c r="O28" s="120"/>
      <c r="P28" s="114" t="s">
        <v>318</v>
      </c>
      <c r="Q28" s="119"/>
      <c r="R28" s="120"/>
      <c r="S28" s="114" t="s">
        <v>318</v>
      </c>
      <c r="T28" s="119"/>
      <c r="U28" s="113"/>
      <c r="V28" s="114" t="s">
        <v>318</v>
      </c>
      <c r="W28" s="115"/>
      <c r="X28" s="115" t="s">
        <v>222</v>
      </c>
      <c r="Y28" s="121"/>
      <c r="Z28" s="115"/>
      <c r="AA28" s="318"/>
      <c r="AB28" s="317"/>
      <c r="AC28" s="240"/>
      <c r="AD28" s="2"/>
      <c r="AE28" s="53" t="b">
        <v>0</v>
      </c>
      <c r="AF28" s="53" t="b">
        <v>0</v>
      </c>
      <c r="AG28" s="53" t="b">
        <v>0</v>
      </c>
      <c r="AH28" s="2"/>
      <c r="AI28" s="2" t="str">
        <f t="shared" si="9"/>
        <v/>
      </c>
    </row>
    <row r="29" spans="1:35" ht="21" customHeight="1">
      <c r="A29" s="110">
        <v>24</v>
      </c>
      <c r="B29" s="316" t="str">
        <f>IF(Roster!$J$25="Español",(IF(F29&gt;0,(IF(F29&gt;H29,"ganado",(IF(F29=H29,"empatado",(IF(F29&lt;H29,"perdido","")))))),"")),(IF(F29&gt;0,(IF(F29&gt;H29,"won",(IF(F29=H29,"tied",(IF(F29&lt;H29,"lost","")))))),"")))</f>
        <v/>
      </c>
      <c r="C29" s="317"/>
      <c r="D29" s="111"/>
      <c r="E29" s="112"/>
      <c r="F29" s="113"/>
      <c r="G29" s="114" t="s">
        <v>318</v>
      </c>
      <c r="H29" s="115"/>
      <c r="I29" s="116">
        <f t="shared" si="7"/>
        <v>0</v>
      </c>
      <c r="J29" s="117" t="s">
        <v>318</v>
      </c>
      <c r="K29" s="118">
        <f t="shared" si="8"/>
        <v>0</v>
      </c>
      <c r="L29" s="113"/>
      <c r="M29" s="114" t="s">
        <v>318</v>
      </c>
      <c r="N29" s="119"/>
      <c r="O29" s="120"/>
      <c r="P29" s="114" t="s">
        <v>318</v>
      </c>
      <c r="Q29" s="119"/>
      <c r="R29" s="120"/>
      <c r="S29" s="114" t="s">
        <v>318</v>
      </c>
      <c r="T29" s="119"/>
      <c r="U29" s="113"/>
      <c r="V29" s="114" t="s">
        <v>318</v>
      </c>
      <c r="W29" s="115"/>
      <c r="X29" s="115" t="s">
        <v>222</v>
      </c>
      <c r="Y29" s="121"/>
      <c r="Z29" s="115"/>
      <c r="AA29" s="318"/>
      <c r="AB29" s="317"/>
      <c r="AC29" s="240"/>
      <c r="AD29" s="2"/>
      <c r="AE29" s="53" t="b">
        <v>0</v>
      </c>
      <c r="AF29" s="53" t="b">
        <v>0</v>
      </c>
      <c r="AG29" s="53" t="b">
        <v>0</v>
      </c>
      <c r="AH29" s="2"/>
      <c r="AI29" s="2" t="str">
        <f t="shared" si="9"/>
        <v/>
      </c>
    </row>
    <row r="30" spans="1:35" ht="21" customHeight="1">
      <c r="A30" s="110">
        <v>25</v>
      </c>
      <c r="B30" s="316" t="str">
        <f>IF(Roster!$J$25="Español",(IF(F30&gt;0,(IF(F30&gt;H30,"ganado",(IF(F30=H30,"empatado",(IF(F30&lt;H30,"perdido","")))))),"")),(IF(F30&gt;0,(IF(F30&gt;H30,"won",(IF(F30=H30,"tied",(IF(F30&lt;H30,"lost","")))))),"")))</f>
        <v/>
      </c>
      <c r="C30" s="317"/>
      <c r="D30" s="111"/>
      <c r="E30" s="112"/>
      <c r="F30" s="113"/>
      <c r="G30" s="114" t="s">
        <v>318</v>
      </c>
      <c r="H30" s="115"/>
      <c r="I30" s="116">
        <f t="shared" si="7"/>
        <v>0</v>
      </c>
      <c r="J30" s="117" t="s">
        <v>318</v>
      </c>
      <c r="K30" s="118">
        <f t="shared" si="8"/>
        <v>0</v>
      </c>
      <c r="L30" s="113"/>
      <c r="M30" s="114" t="s">
        <v>318</v>
      </c>
      <c r="N30" s="119"/>
      <c r="O30" s="120"/>
      <c r="P30" s="114" t="s">
        <v>318</v>
      </c>
      <c r="Q30" s="119"/>
      <c r="R30" s="120"/>
      <c r="S30" s="114" t="s">
        <v>318</v>
      </c>
      <c r="T30" s="119"/>
      <c r="U30" s="113"/>
      <c r="V30" s="114" t="s">
        <v>318</v>
      </c>
      <c r="W30" s="115"/>
      <c r="X30" s="115" t="s">
        <v>222</v>
      </c>
      <c r="Y30" s="121"/>
      <c r="Z30" s="115"/>
      <c r="AA30" s="318"/>
      <c r="AB30" s="317"/>
      <c r="AC30" s="240"/>
      <c r="AD30" s="2"/>
      <c r="AE30" s="53" t="b">
        <v>0</v>
      </c>
      <c r="AF30" s="53" t="b">
        <v>0</v>
      </c>
      <c r="AG30" s="53" t="b">
        <v>0</v>
      </c>
      <c r="AH30" s="2"/>
      <c r="AI30" s="2" t="str">
        <f t="shared" si="9"/>
        <v/>
      </c>
    </row>
    <row r="31" spans="1:35" ht="21" customHeight="1">
      <c r="A31" s="122">
        <v>26</v>
      </c>
      <c r="B31" s="316" t="str">
        <f>IF(Roster!$J$25="Español",(IF(F31&gt;0,(IF(F31&gt;H31,"ganado",(IF(F31=H31,"empatado",(IF(F31&lt;H31,"perdido","")))))),"")),(IF(F31&gt;0,(IF(F31&gt;H31,"won",(IF(F31=H31,"tied",(IF(F31&lt;H31,"lost","")))))),"")))</f>
        <v/>
      </c>
      <c r="C31" s="317"/>
      <c r="D31" s="131"/>
      <c r="E31" s="112"/>
      <c r="F31" s="132"/>
      <c r="G31" s="133" t="s">
        <v>318</v>
      </c>
      <c r="H31" s="134"/>
      <c r="I31" s="135">
        <f t="shared" si="7"/>
        <v>0</v>
      </c>
      <c r="J31" s="136" t="s">
        <v>318</v>
      </c>
      <c r="K31" s="137">
        <f t="shared" si="8"/>
        <v>0</v>
      </c>
      <c r="L31" s="132"/>
      <c r="M31" s="133" t="s">
        <v>318</v>
      </c>
      <c r="N31" s="4"/>
      <c r="O31" s="138"/>
      <c r="P31" s="133" t="s">
        <v>318</v>
      </c>
      <c r="Q31" s="4"/>
      <c r="R31" s="138"/>
      <c r="S31" s="133" t="s">
        <v>318</v>
      </c>
      <c r="T31" s="4"/>
      <c r="U31" s="132"/>
      <c r="V31" s="133" t="s">
        <v>318</v>
      </c>
      <c r="W31" s="134"/>
      <c r="X31" s="115" t="s">
        <v>222</v>
      </c>
      <c r="Y31" s="139"/>
      <c r="Z31" s="134"/>
      <c r="AA31" s="318"/>
      <c r="AB31" s="317"/>
      <c r="AC31" s="240"/>
      <c r="AD31" s="2"/>
      <c r="AE31" s="53" t="b">
        <v>0</v>
      </c>
      <c r="AF31" s="53" t="b">
        <v>0</v>
      </c>
      <c r="AG31" s="53" t="b">
        <v>0</v>
      </c>
      <c r="AH31" s="2"/>
      <c r="AI31" s="2" t="str">
        <f t="shared" si="9"/>
        <v/>
      </c>
    </row>
    <row r="32" spans="1:35" ht="21" customHeight="1">
      <c r="A32" s="110">
        <v>27</v>
      </c>
      <c r="B32" s="316" t="str">
        <f>IF(Roster!$J$25="Español",(IF(F32&gt;0,(IF(F32&gt;H32,"ganado",(IF(F32=H32,"empatado",(IF(F32&lt;H32,"perdido","")))))),"")),(IF(F32&gt;0,(IF(F32&gt;H32,"won",(IF(F32=H32,"tied",(IF(F32&lt;H32,"lost","")))))),"")))</f>
        <v/>
      </c>
      <c r="C32" s="317"/>
      <c r="D32" s="111"/>
      <c r="E32" s="112"/>
      <c r="F32" s="113"/>
      <c r="G32" s="114" t="s">
        <v>318</v>
      </c>
      <c r="H32" s="115"/>
      <c r="I32" s="116">
        <f t="shared" si="7"/>
        <v>0</v>
      </c>
      <c r="J32" s="117" t="s">
        <v>318</v>
      </c>
      <c r="K32" s="118">
        <f t="shared" si="8"/>
        <v>0</v>
      </c>
      <c r="L32" s="113"/>
      <c r="M32" s="114" t="s">
        <v>318</v>
      </c>
      <c r="N32" s="119"/>
      <c r="O32" s="120"/>
      <c r="P32" s="114" t="s">
        <v>318</v>
      </c>
      <c r="Q32" s="119"/>
      <c r="R32" s="120"/>
      <c r="S32" s="114" t="s">
        <v>318</v>
      </c>
      <c r="T32" s="119"/>
      <c r="U32" s="113"/>
      <c r="V32" s="114" t="s">
        <v>318</v>
      </c>
      <c r="W32" s="115"/>
      <c r="X32" s="115" t="s">
        <v>222</v>
      </c>
      <c r="Y32" s="121"/>
      <c r="Z32" s="115"/>
      <c r="AA32" s="318"/>
      <c r="AB32" s="317"/>
      <c r="AC32" s="240"/>
      <c r="AD32" s="2"/>
      <c r="AE32" s="53" t="b">
        <v>0</v>
      </c>
      <c r="AF32" s="53" t="b">
        <v>0</v>
      </c>
      <c r="AG32" s="53" t="b">
        <v>0</v>
      </c>
      <c r="AH32" s="2"/>
      <c r="AI32" s="2" t="str">
        <f t="shared" si="9"/>
        <v/>
      </c>
    </row>
    <row r="33" spans="1:35" ht="21" customHeight="1">
      <c r="A33" s="110">
        <v>28</v>
      </c>
      <c r="B33" s="316" t="str">
        <f>IF(Roster!$J$25="Español",(IF(F33&gt;0,(IF(F33&gt;H33,"ganado",(IF(F33=H33,"empatado",(IF(F33&lt;H33,"perdido","")))))),"")),(IF(F33&gt;0,(IF(F33&gt;H33,"won",(IF(F33=H33,"tied",(IF(F33&lt;H33,"lost","")))))),"")))</f>
        <v/>
      </c>
      <c r="C33" s="317"/>
      <c r="D33" s="123"/>
      <c r="E33" s="112"/>
      <c r="F33" s="124"/>
      <c r="G33" s="114" t="s">
        <v>318</v>
      </c>
      <c r="H33" s="126"/>
      <c r="I33" s="116">
        <f t="shared" si="7"/>
        <v>0</v>
      </c>
      <c r="J33" s="127" t="s">
        <v>318</v>
      </c>
      <c r="K33" s="118">
        <f t="shared" si="8"/>
        <v>0</v>
      </c>
      <c r="L33" s="124"/>
      <c r="M33" s="125" t="s">
        <v>318</v>
      </c>
      <c r="N33" s="128"/>
      <c r="O33" s="129"/>
      <c r="P33" s="125" t="s">
        <v>318</v>
      </c>
      <c r="Q33" s="128"/>
      <c r="R33" s="129"/>
      <c r="S33" s="125" t="s">
        <v>318</v>
      </c>
      <c r="T33" s="128"/>
      <c r="U33" s="124"/>
      <c r="V33" s="125" t="s">
        <v>318</v>
      </c>
      <c r="W33" s="126"/>
      <c r="X33" s="115" t="s">
        <v>222</v>
      </c>
      <c r="Y33" s="130"/>
      <c r="Z33" s="126"/>
      <c r="AA33" s="318"/>
      <c r="AB33" s="317"/>
      <c r="AC33" s="240"/>
      <c r="AD33" s="2"/>
      <c r="AE33" s="53" t="b">
        <v>0</v>
      </c>
      <c r="AF33" s="53" t="b">
        <v>0</v>
      </c>
      <c r="AG33" s="53" t="b">
        <v>0</v>
      </c>
      <c r="AH33" s="2"/>
      <c r="AI33" s="2" t="str">
        <f t="shared" si="9"/>
        <v/>
      </c>
    </row>
    <row r="34" spans="1:35" ht="21" customHeight="1">
      <c r="A34" s="122">
        <v>29</v>
      </c>
      <c r="B34" s="316" t="str">
        <f>IF(Roster!$J$25="Español",(IF(F34&gt;0,(IF(F34&gt;H34,"ganado",(IF(F34=H34,"empatado",(IF(F34&lt;H34,"perdido","")))))),"")),(IF(F34&gt;0,(IF(F34&gt;H34,"won",(IF(F34=H34,"tied",(IF(F34&lt;H34,"lost","")))))),"")))</f>
        <v/>
      </c>
      <c r="C34" s="317"/>
      <c r="D34" s="111"/>
      <c r="E34" s="112"/>
      <c r="F34" s="113"/>
      <c r="G34" s="114" t="s">
        <v>318</v>
      </c>
      <c r="H34" s="115"/>
      <c r="I34" s="116">
        <f t="shared" si="7"/>
        <v>0</v>
      </c>
      <c r="J34" s="117" t="s">
        <v>318</v>
      </c>
      <c r="K34" s="118">
        <f t="shared" si="8"/>
        <v>0</v>
      </c>
      <c r="L34" s="113"/>
      <c r="M34" s="114" t="s">
        <v>318</v>
      </c>
      <c r="N34" s="119"/>
      <c r="O34" s="120"/>
      <c r="P34" s="114" t="s">
        <v>318</v>
      </c>
      <c r="Q34" s="119"/>
      <c r="R34" s="120"/>
      <c r="S34" s="114" t="s">
        <v>318</v>
      </c>
      <c r="T34" s="119"/>
      <c r="U34" s="113"/>
      <c r="V34" s="114" t="s">
        <v>318</v>
      </c>
      <c r="W34" s="115"/>
      <c r="X34" s="115" t="s">
        <v>222</v>
      </c>
      <c r="Y34" s="121"/>
      <c r="Z34" s="115"/>
      <c r="AA34" s="318"/>
      <c r="AB34" s="317"/>
      <c r="AC34" s="240"/>
      <c r="AD34" s="2"/>
      <c r="AE34" s="53" t="b">
        <v>0</v>
      </c>
      <c r="AF34" s="53" t="b">
        <v>0</v>
      </c>
      <c r="AG34" s="53" t="b">
        <v>0</v>
      </c>
      <c r="AH34" s="2"/>
      <c r="AI34" s="2" t="str">
        <f t="shared" si="9"/>
        <v/>
      </c>
    </row>
    <row r="35" spans="1:35" ht="21" customHeight="1">
      <c r="A35" s="110">
        <v>30</v>
      </c>
      <c r="B35" s="316" t="str">
        <f>IF(Roster!$J$25="Español",(IF(F35&gt;0,(IF(F35&gt;H35,"ganado",(IF(F35=H35,"empatado",(IF(F35&lt;H35,"perdido","")))))),"")),(IF(F35&gt;0,(IF(F35&gt;H35,"won",(IF(F35=H35,"tied",(IF(F35&lt;H35,"lost","")))))),"")))</f>
        <v/>
      </c>
      <c r="C35" s="317"/>
      <c r="D35" s="111"/>
      <c r="E35" s="112"/>
      <c r="F35" s="113"/>
      <c r="G35" s="114" t="s">
        <v>318</v>
      </c>
      <c r="H35" s="115"/>
      <c r="I35" s="116">
        <f t="shared" si="7"/>
        <v>0</v>
      </c>
      <c r="J35" s="117" t="s">
        <v>318</v>
      </c>
      <c r="K35" s="118">
        <f t="shared" si="8"/>
        <v>0</v>
      </c>
      <c r="L35" s="113"/>
      <c r="M35" s="114" t="s">
        <v>318</v>
      </c>
      <c r="N35" s="119"/>
      <c r="O35" s="120"/>
      <c r="P35" s="114" t="s">
        <v>318</v>
      </c>
      <c r="Q35" s="119"/>
      <c r="R35" s="120"/>
      <c r="S35" s="114" t="s">
        <v>318</v>
      </c>
      <c r="T35" s="119"/>
      <c r="U35" s="113"/>
      <c r="V35" s="114" t="s">
        <v>318</v>
      </c>
      <c r="W35" s="115"/>
      <c r="X35" s="115" t="s">
        <v>222</v>
      </c>
      <c r="Y35" s="121"/>
      <c r="Z35" s="115"/>
      <c r="AA35" s="318"/>
      <c r="AB35" s="317"/>
      <c r="AC35" s="240"/>
      <c r="AD35" s="2"/>
      <c r="AE35" s="53" t="b">
        <v>0</v>
      </c>
      <c r="AF35" s="53" t="b">
        <v>0</v>
      </c>
      <c r="AG35" s="53" t="b">
        <v>0</v>
      </c>
      <c r="AH35" s="2"/>
      <c r="AI35" s="2" t="str">
        <f t="shared" si="9"/>
        <v/>
      </c>
    </row>
    <row r="36" spans="1:35" ht="21" customHeight="1">
      <c r="A36" s="110">
        <v>31</v>
      </c>
      <c r="B36" s="316" t="str">
        <f>IF(Roster!$J$25="Español",(IF(F36&gt;0,(IF(F36&gt;H36,"ganado",(IF(F36=H36,"empatado",(IF(F36&lt;H36,"perdido","")))))),"")),(IF(F36&gt;0,(IF(F36&gt;H36,"won",(IF(F36=H36,"tied",(IF(F36&lt;H36,"lost","")))))),"")))</f>
        <v/>
      </c>
      <c r="C36" s="317"/>
      <c r="D36" s="111"/>
      <c r="E36" s="112"/>
      <c r="F36" s="113"/>
      <c r="G36" s="114" t="s">
        <v>318</v>
      </c>
      <c r="H36" s="115"/>
      <c r="I36" s="116">
        <f t="shared" si="7"/>
        <v>0</v>
      </c>
      <c r="J36" s="117" t="s">
        <v>318</v>
      </c>
      <c r="K36" s="118">
        <f t="shared" si="8"/>
        <v>0</v>
      </c>
      <c r="L36" s="113"/>
      <c r="M36" s="114" t="s">
        <v>318</v>
      </c>
      <c r="N36" s="119"/>
      <c r="O36" s="120"/>
      <c r="P36" s="114" t="s">
        <v>318</v>
      </c>
      <c r="Q36" s="119"/>
      <c r="R36" s="120"/>
      <c r="S36" s="114" t="s">
        <v>318</v>
      </c>
      <c r="T36" s="119"/>
      <c r="U36" s="113"/>
      <c r="V36" s="114" t="s">
        <v>318</v>
      </c>
      <c r="W36" s="115"/>
      <c r="X36" s="115" t="s">
        <v>222</v>
      </c>
      <c r="Y36" s="121"/>
      <c r="Z36" s="115"/>
      <c r="AA36" s="318"/>
      <c r="AB36" s="317"/>
      <c r="AC36" s="240"/>
      <c r="AD36" s="2"/>
      <c r="AE36" s="53" t="b">
        <v>0</v>
      </c>
      <c r="AF36" s="53" t="b">
        <v>0</v>
      </c>
      <c r="AG36" s="53" t="b">
        <v>0</v>
      </c>
      <c r="AH36" s="2"/>
      <c r="AI36" s="2" t="str">
        <f t="shared" si="9"/>
        <v/>
      </c>
    </row>
    <row r="37" spans="1:35" ht="21" customHeight="1">
      <c r="A37" s="122">
        <v>32</v>
      </c>
      <c r="B37" s="316" t="str">
        <f>IF(Roster!$J$25="Español",(IF(F37&gt;0,(IF(F37&gt;H37,"ganado",(IF(F37=H37,"empatado",(IF(F37&lt;H37,"perdido","")))))),"")),(IF(F37&gt;0,(IF(F37&gt;H37,"won",(IF(F37=H37,"tied",(IF(F37&lt;H37,"lost","")))))),"")))</f>
        <v/>
      </c>
      <c r="C37" s="317"/>
      <c r="D37" s="111"/>
      <c r="E37" s="112"/>
      <c r="F37" s="113"/>
      <c r="G37" s="114" t="s">
        <v>318</v>
      </c>
      <c r="H37" s="115"/>
      <c r="I37" s="116">
        <f t="shared" si="7"/>
        <v>0</v>
      </c>
      <c r="J37" s="117" t="s">
        <v>318</v>
      </c>
      <c r="K37" s="118">
        <f t="shared" si="8"/>
        <v>0</v>
      </c>
      <c r="L37" s="113"/>
      <c r="M37" s="114" t="s">
        <v>318</v>
      </c>
      <c r="N37" s="119"/>
      <c r="O37" s="120"/>
      <c r="P37" s="114" t="s">
        <v>318</v>
      </c>
      <c r="Q37" s="119"/>
      <c r="R37" s="120"/>
      <c r="S37" s="114" t="s">
        <v>318</v>
      </c>
      <c r="T37" s="119"/>
      <c r="U37" s="113"/>
      <c r="V37" s="114" t="s">
        <v>318</v>
      </c>
      <c r="W37" s="115"/>
      <c r="X37" s="115" t="s">
        <v>222</v>
      </c>
      <c r="Y37" s="121"/>
      <c r="Z37" s="115"/>
      <c r="AA37" s="318"/>
      <c r="AB37" s="317"/>
      <c r="AC37" s="240"/>
      <c r="AD37" s="2"/>
      <c r="AE37" s="53" t="b">
        <v>0</v>
      </c>
      <c r="AF37" s="53" t="b">
        <v>0</v>
      </c>
      <c r="AG37" s="53" t="b">
        <v>0</v>
      </c>
      <c r="AH37" s="2"/>
      <c r="AI37" s="2" t="str">
        <f t="shared" si="9"/>
        <v/>
      </c>
    </row>
    <row r="38" spans="1:35" ht="21" customHeight="1">
      <c r="A38" s="110">
        <v>33</v>
      </c>
      <c r="B38" s="316" t="str">
        <f>IF(Roster!$J$25="Español",(IF(F38&gt;0,(IF(F38&gt;H38,"ganado",(IF(F38=H38,"empatado",(IF(F38&lt;H38,"perdido","")))))),"")),(IF(F38&gt;0,(IF(F38&gt;H38,"won",(IF(F38=H38,"tied",(IF(F38&lt;H38,"lost","")))))),"")))</f>
        <v/>
      </c>
      <c r="C38" s="317"/>
      <c r="D38" s="111"/>
      <c r="E38" s="112"/>
      <c r="F38" s="113"/>
      <c r="G38" s="114" t="s">
        <v>318</v>
      </c>
      <c r="H38" s="115"/>
      <c r="I38" s="116">
        <f t="shared" si="7"/>
        <v>0</v>
      </c>
      <c r="J38" s="117" t="s">
        <v>318</v>
      </c>
      <c r="K38" s="118">
        <f t="shared" si="8"/>
        <v>0</v>
      </c>
      <c r="L38" s="113"/>
      <c r="M38" s="114" t="s">
        <v>318</v>
      </c>
      <c r="N38" s="119"/>
      <c r="O38" s="120"/>
      <c r="P38" s="114" t="s">
        <v>318</v>
      </c>
      <c r="Q38" s="119"/>
      <c r="R38" s="120"/>
      <c r="S38" s="114" t="s">
        <v>318</v>
      </c>
      <c r="T38" s="119"/>
      <c r="U38" s="113"/>
      <c r="V38" s="114" t="s">
        <v>318</v>
      </c>
      <c r="W38" s="115"/>
      <c r="X38" s="115" t="s">
        <v>222</v>
      </c>
      <c r="Y38" s="121"/>
      <c r="Z38" s="115"/>
      <c r="AA38" s="318"/>
      <c r="AB38" s="317"/>
      <c r="AC38" s="240"/>
      <c r="AD38" s="2"/>
      <c r="AE38" s="53" t="b">
        <v>0</v>
      </c>
      <c r="AF38" s="53" t="b">
        <v>0</v>
      </c>
      <c r="AG38" s="53" t="b">
        <v>0</v>
      </c>
      <c r="AH38" s="2"/>
      <c r="AI38" s="2" t="str">
        <f t="shared" si="9"/>
        <v/>
      </c>
    </row>
    <row r="39" spans="1:35" ht="21" customHeight="1">
      <c r="A39" s="110">
        <v>34</v>
      </c>
      <c r="B39" s="316" t="str">
        <f>IF(Roster!$J$25="Español",(IF(F39&gt;0,(IF(F39&gt;H39,"ganado",(IF(F39=H39,"empatado",(IF(F39&lt;H39,"perdido","")))))),"")),(IF(F39&gt;0,(IF(F39&gt;H39,"won",(IF(F39=H39,"tied",(IF(F39&lt;H39,"lost","")))))),"")))</f>
        <v/>
      </c>
      <c r="C39" s="317"/>
      <c r="D39" s="111"/>
      <c r="E39" s="112"/>
      <c r="F39" s="113"/>
      <c r="G39" s="114" t="s">
        <v>318</v>
      </c>
      <c r="H39" s="115"/>
      <c r="I39" s="116">
        <f t="shared" si="7"/>
        <v>0</v>
      </c>
      <c r="J39" s="117" t="s">
        <v>318</v>
      </c>
      <c r="K39" s="118">
        <f t="shared" si="8"/>
        <v>0</v>
      </c>
      <c r="L39" s="113"/>
      <c r="M39" s="114" t="s">
        <v>318</v>
      </c>
      <c r="N39" s="119"/>
      <c r="O39" s="120"/>
      <c r="P39" s="114" t="s">
        <v>318</v>
      </c>
      <c r="Q39" s="119"/>
      <c r="R39" s="120"/>
      <c r="S39" s="114" t="s">
        <v>318</v>
      </c>
      <c r="T39" s="119"/>
      <c r="U39" s="113"/>
      <c r="V39" s="114" t="s">
        <v>318</v>
      </c>
      <c r="W39" s="115"/>
      <c r="X39" s="115" t="s">
        <v>222</v>
      </c>
      <c r="Y39" s="121"/>
      <c r="Z39" s="115"/>
      <c r="AA39" s="318"/>
      <c r="AB39" s="317"/>
      <c r="AC39" s="240"/>
      <c r="AD39" s="2"/>
      <c r="AE39" s="53" t="b">
        <v>0</v>
      </c>
      <c r="AF39" s="53" t="b">
        <v>0</v>
      </c>
      <c r="AG39" s="53" t="b">
        <v>0</v>
      </c>
      <c r="AH39" s="2"/>
      <c r="AI39" s="2" t="str">
        <f t="shared" si="9"/>
        <v/>
      </c>
    </row>
    <row r="40" spans="1:35" ht="21" customHeight="1">
      <c r="A40" s="122">
        <v>35</v>
      </c>
      <c r="B40" s="316" t="str">
        <f>IF(Roster!$J$25="Español",(IF(F40&gt;0,(IF(F40&gt;H40,"ganado",(IF(F40=H40,"empatado",(IF(F40&lt;H40,"perdido","")))))),"")),(IF(F40&gt;0,(IF(F40&gt;H40,"won",(IF(F40=H40,"tied",(IF(F40&lt;H40,"lost","")))))),"")))</f>
        <v/>
      </c>
      <c r="C40" s="317"/>
      <c r="D40" s="111"/>
      <c r="E40" s="112"/>
      <c r="F40" s="113"/>
      <c r="G40" s="114" t="s">
        <v>318</v>
      </c>
      <c r="H40" s="115"/>
      <c r="I40" s="116">
        <f t="shared" si="7"/>
        <v>0</v>
      </c>
      <c r="J40" s="117" t="s">
        <v>318</v>
      </c>
      <c r="K40" s="118">
        <f t="shared" si="8"/>
        <v>0</v>
      </c>
      <c r="L40" s="113"/>
      <c r="M40" s="114" t="s">
        <v>318</v>
      </c>
      <c r="N40" s="119"/>
      <c r="O40" s="120"/>
      <c r="P40" s="114" t="s">
        <v>318</v>
      </c>
      <c r="Q40" s="119"/>
      <c r="R40" s="120"/>
      <c r="S40" s="114" t="s">
        <v>318</v>
      </c>
      <c r="T40" s="119"/>
      <c r="U40" s="113"/>
      <c r="V40" s="114" t="s">
        <v>318</v>
      </c>
      <c r="W40" s="115"/>
      <c r="X40" s="115" t="s">
        <v>222</v>
      </c>
      <c r="Y40" s="121"/>
      <c r="Z40" s="115"/>
      <c r="AA40" s="318"/>
      <c r="AB40" s="317"/>
      <c r="AC40" s="240"/>
      <c r="AD40" s="2"/>
      <c r="AE40" s="53" t="b">
        <v>0</v>
      </c>
      <c r="AF40" s="53" t="b">
        <v>0</v>
      </c>
      <c r="AG40" s="53" t="b">
        <v>0</v>
      </c>
      <c r="AH40" s="2"/>
      <c r="AI40" s="2" t="str">
        <f t="shared" si="9"/>
        <v/>
      </c>
    </row>
    <row r="41" spans="1:35" ht="21" customHeight="1">
      <c r="A41" s="110">
        <v>36</v>
      </c>
      <c r="B41" s="316" t="str">
        <f>IF(Roster!$J$25="Español",(IF(F41&gt;0,(IF(F41&gt;H41,"ganado",(IF(F41=H41,"empatado",(IF(F41&lt;H41,"perdido","")))))),"")),(IF(F41&gt;0,(IF(F41&gt;H41,"won",(IF(F41=H41,"tied",(IF(F41&lt;H41,"lost","")))))),"")))</f>
        <v/>
      </c>
      <c r="C41" s="317"/>
      <c r="D41" s="111"/>
      <c r="E41" s="112"/>
      <c r="F41" s="113"/>
      <c r="G41" s="114" t="s">
        <v>318</v>
      </c>
      <c r="H41" s="115"/>
      <c r="I41" s="116">
        <f t="shared" si="7"/>
        <v>0</v>
      </c>
      <c r="J41" s="117" t="s">
        <v>318</v>
      </c>
      <c r="K41" s="118">
        <f t="shared" si="8"/>
        <v>0</v>
      </c>
      <c r="L41" s="113"/>
      <c r="M41" s="114" t="s">
        <v>318</v>
      </c>
      <c r="N41" s="119"/>
      <c r="O41" s="120"/>
      <c r="P41" s="114" t="s">
        <v>318</v>
      </c>
      <c r="Q41" s="119"/>
      <c r="R41" s="120"/>
      <c r="S41" s="114" t="s">
        <v>318</v>
      </c>
      <c r="T41" s="119"/>
      <c r="U41" s="113"/>
      <c r="V41" s="114" t="s">
        <v>318</v>
      </c>
      <c r="W41" s="115"/>
      <c r="X41" s="115" t="s">
        <v>222</v>
      </c>
      <c r="Y41" s="121"/>
      <c r="Z41" s="115"/>
      <c r="AA41" s="318"/>
      <c r="AB41" s="317"/>
      <c r="AC41" s="240"/>
      <c r="AD41" s="2"/>
      <c r="AE41" s="53" t="b">
        <v>0</v>
      </c>
      <c r="AF41" s="53" t="b">
        <v>0</v>
      </c>
      <c r="AG41" s="53" t="b">
        <v>0</v>
      </c>
      <c r="AH41" s="2"/>
      <c r="AI41" s="2" t="str">
        <f t="shared" si="9"/>
        <v/>
      </c>
    </row>
    <row r="42" spans="1:35" ht="21" customHeight="1">
      <c r="A42" s="110">
        <v>37</v>
      </c>
      <c r="B42" s="316" t="str">
        <f>IF(Roster!$J$25="Español",(IF(F42&gt;0,(IF(F42&gt;H42,"ganado",(IF(F42=H42,"empatado",(IF(F42&lt;H42,"perdido","")))))),"")),(IF(F42&gt;0,(IF(F42&gt;H42,"won",(IF(F42=H42,"tied",(IF(F42&lt;H42,"lost","")))))),"")))</f>
        <v/>
      </c>
      <c r="C42" s="317"/>
      <c r="D42" s="111"/>
      <c r="E42" s="112"/>
      <c r="F42" s="113"/>
      <c r="G42" s="114" t="s">
        <v>318</v>
      </c>
      <c r="H42" s="115"/>
      <c r="I42" s="116">
        <f t="shared" si="7"/>
        <v>0</v>
      </c>
      <c r="J42" s="117" t="s">
        <v>318</v>
      </c>
      <c r="K42" s="118">
        <f t="shared" si="8"/>
        <v>0</v>
      </c>
      <c r="L42" s="113"/>
      <c r="M42" s="114" t="s">
        <v>318</v>
      </c>
      <c r="N42" s="119"/>
      <c r="O42" s="120"/>
      <c r="P42" s="114" t="s">
        <v>318</v>
      </c>
      <c r="Q42" s="119"/>
      <c r="R42" s="120"/>
      <c r="S42" s="114" t="s">
        <v>318</v>
      </c>
      <c r="T42" s="119"/>
      <c r="U42" s="113"/>
      <c r="V42" s="114" t="s">
        <v>318</v>
      </c>
      <c r="W42" s="115"/>
      <c r="X42" s="115" t="s">
        <v>222</v>
      </c>
      <c r="Y42" s="121"/>
      <c r="Z42" s="115"/>
      <c r="AA42" s="318"/>
      <c r="AB42" s="317"/>
      <c r="AC42" s="240"/>
      <c r="AD42" s="2"/>
      <c r="AE42" s="53" t="b">
        <v>0</v>
      </c>
      <c r="AF42" s="53" t="b">
        <v>0</v>
      </c>
      <c r="AG42" s="53" t="b">
        <v>0</v>
      </c>
      <c r="AH42" s="2"/>
      <c r="AI42" s="2" t="str">
        <f t="shared" si="9"/>
        <v/>
      </c>
    </row>
    <row r="43" spans="1:35" ht="21" customHeight="1">
      <c r="A43" s="122">
        <v>38</v>
      </c>
      <c r="B43" s="316" t="str">
        <f>IF(Roster!$J$25="Español",(IF(F43&gt;0,(IF(F43&gt;H43,"ganado",(IF(F43=H43,"empatado",(IF(F43&lt;H43,"perdido","")))))),"")),(IF(F43&gt;0,(IF(F43&gt;H43,"won",(IF(F43=H43,"tied",(IF(F43&lt;H43,"lost","")))))),"")))</f>
        <v/>
      </c>
      <c r="C43" s="317"/>
      <c r="D43" s="111"/>
      <c r="E43" s="112"/>
      <c r="F43" s="113"/>
      <c r="G43" s="114" t="s">
        <v>318</v>
      </c>
      <c r="H43" s="115"/>
      <c r="I43" s="116">
        <f t="shared" si="7"/>
        <v>0</v>
      </c>
      <c r="J43" s="117" t="s">
        <v>318</v>
      </c>
      <c r="K43" s="118">
        <f t="shared" si="8"/>
        <v>0</v>
      </c>
      <c r="L43" s="113"/>
      <c r="M43" s="114" t="s">
        <v>318</v>
      </c>
      <c r="N43" s="119"/>
      <c r="O43" s="120"/>
      <c r="P43" s="114" t="s">
        <v>318</v>
      </c>
      <c r="Q43" s="119"/>
      <c r="R43" s="120"/>
      <c r="S43" s="114" t="s">
        <v>318</v>
      </c>
      <c r="T43" s="119"/>
      <c r="U43" s="113"/>
      <c r="V43" s="114" t="s">
        <v>318</v>
      </c>
      <c r="W43" s="115"/>
      <c r="X43" s="115" t="s">
        <v>222</v>
      </c>
      <c r="Y43" s="121"/>
      <c r="Z43" s="115"/>
      <c r="AA43" s="318"/>
      <c r="AB43" s="317"/>
      <c r="AC43" s="240"/>
      <c r="AD43" s="2"/>
      <c r="AE43" s="53" t="b">
        <v>0</v>
      </c>
      <c r="AF43" s="53" t="b">
        <v>0</v>
      </c>
      <c r="AG43" s="53" t="b">
        <v>0</v>
      </c>
      <c r="AH43" s="2"/>
      <c r="AI43" s="2" t="str">
        <f t="shared" si="9"/>
        <v/>
      </c>
    </row>
    <row r="44" spans="1:35" ht="21" customHeight="1">
      <c r="A44" s="110">
        <v>39</v>
      </c>
      <c r="B44" s="316" t="str">
        <f>IF(Roster!$J$25="Español",(IF(F44&gt;0,(IF(F44&gt;H44,"ganado",(IF(F44=H44,"empatado",(IF(F44&lt;H44,"perdido","")))))),"")),(IF(F44&gt;0,(IF(F44&gt;H44,"won",(IF(F44=H44,"tied",(IF(F44&lt;H44,"lost","")))))),"")))</f>
        <v/>
      </c>
      <c r="C44" s="317"/>
      <c r="D44" s="131"/>
      <c r="E44" s="112"/>
      <c r="F44" s="132"/>
      <c r="G44" s="133" t="s">
        <v>318</v>
      </c>
      <c r="H44" s="134"/>
      <c r="I44" s="135">
        <f t="shared" si="7"/>
        <v>0</v>
      </c>
      <c r="J44" s="136" t="s">
        <v>318</v>
      </c>
      <c r="K44" s="137">
        <f t="shared" si="8"/>
        <v>0</v>
      </c>
      <c r="L44" s="132"/>
      <c r="M44" s="133" t="s">
        <v>318</v>
      </c>
      <c r="N44" s="4"/>
      <c r="O44" s="138"/>
      <c r="P44" s="133" t="s">
        <v>318</v>
      </c>
      <c r="Q44" s="4"/>
      <c r="R44" s="138"/>
      <c r="S44" s="133" t="s">
        <v>318</v>
      </c>
      <c r="T44" s="4"/>
      <c r="U44" s="132"/>
      <c r="V44" s="133" t="s">
        <v>318</v>
      </c>
      <c r="W44" s="134"/>
      <c r="X44" s="115" t="s">
        <v>222</v>
      </c>
      <c r="Y44" s="139"/>
      <c r="Z44" s="134"/>
      <c r="AA44" s="318"/>
      <c r="AB44" s="317"/>
      <c r="AC44" s="240"/>
      <c r="AD44" s="2"/>
      <c r="AE44" s="53" t="b">
        <v>0</v>
      </c>
      <c r="AF44" s="53" t="b">
        <v>0</v>
      </c>
      <c r="AG44" s="53" t="b">
        <v>0</v>
      </c>
      <c r="AH44" s="2"/>
      <c r="AI44" s="2" t="str">
        <f t="shared" si="9"/>
        <v/>
      </c>
    </row>
    <row r="45" spans="1:35" ht="21" customHeight="1">
      <c r="A45" s="110">
        <v>40</v>
      </c>
      <c r="B45" s="316" t="str">
        <f>IF(Roster!$J$25="Español",(IF(F45&gt;0,(IF(F45&gt;H45,"ganado",(IF(F45=H45,"empatado",(IF(F45&lt;H45,"perdido","")))))),"")),(IF(F45&gt;0,(IF(F45&gt;H45,"won",(IF(F45=H45,"tied",(IF(F45&lt;H45,"lost","")))))),"")))</f>
        <v/>
      </c>
      <c r="C45" s="317"/>
      <c r="D45" s="111"/>
      <c r="E45" s="112"/>
      <c r="F45" s="113"/>
      <c r="G45" s="114" t="s">
        <v>318</v>
      </c>
      <c r="H45" s="115"/>
      <c r="I45" s="116">
        <f t="shared" si="7"/>
        <v>0</v>
      </c>
      <c r="J45" s="117" t="s">
        <v>318</v>
      </c>
      <c r="K45" s="118">
        <f t="shared" si="8"/>
        <v>0</v>
      </c>
      <c r="L45" s="113"/>
      <c r="M45" s="114" t="s">
        <v>318</v>
      </c>
      <c r="N45" s="119"/>
      <c r="O45" s="120"/>
      <c r="P45" s="114" t="s">
        <v>318</v>
      </c>
      <c r="Q45" s="119"/>
      <c r="R45" s="120"/>
      <c r="S45" s="114" t="s">
        <v>318</v>
      </c>
      <c r="T45" s="119"/>
      <c r="U45" s="113"/>
      <c r="V45" s="114" t="s">
        <v>318</v>
      </c>
      <c r="W45" s="115"/>
      <c r="X45" s="115" t="s">
        <v>222</v>
      </c>
      <c r="Y45" s="121"/>
      <c r="Z45" s="115"/>
      <c r="AA45" s="318"/>
      <c r="AB45" s="317"/>
      <c r="AC45" s="240"/>
      <c r="AD45" s="2"/>
      <c r="AE45" s="53" t="b">
        <v>0</v>
      </c>
      <c r="AF45" s="53" t="b">
        <v>0</v>
      </c>
      <c r="AG45" s="53" t="b">
        <v>0</v>
      </c>
      <c r="AH45" s="2"/>
      <c r="AI45" s="2" t="str">
        <f t="shared" si="9"/>
        <v/>
      </c>
    </row>
    <row r="46" spans="1:35" ht="21" customHeight="1">
      <c r="A46" s="122">
        <v>41</v>
      </c>
      <c r="B46" s="316" t="str">
        <f>IF(Roster!$J$25="Español",(IF(F46&gt;0,(IF(F46&gt;H46,"ganado",(IF(F46=H46,"empatado",(IF(F46&lt;H46,"perdido","")))))),"")),(IF(F46&gt;0,(IF(F46&gt;H46,"won",(IF(F46=H46,"tied",(IF(F46&lt;H46,"lost","")))))),"")))</f>
        <v/>
      </c>
      <c r="C46" s="317"/>
      <c r="D46" s="123"/>
      <c r="E46" s="112"/>
      <c r="F46" s="124"/>
      <c r="G46" s="114" t="s">
        <v>318</v>
      </c>
      <c r="H46" s="126"/>
      <c r="I46" s="116">
        <f t="shared" si="7"/>
        <v>0</v>
      </c>
      <c r="J46" s="127" t="s">
        <v>318</v>
      </c>
      <c r="K46" s="118">
        <f t="shared" si="8"/>
        <v>0</v>
      </c>
      <c r="L46" s="124"/>
      <c r="M46" s="125" t="s">
        <v>318</v>
      </c>
      <c r="N46" s="128"/>
      <c r="O46" s="129"/>
      <c r="P46" s="125" t="s">
        <v>318</v>
      </c>
      <c r="Q46" s="128"/>
      <c r="R46" s="129"/>
      <c r="S46" s="125" t="s">
        <v>318</v>
      </c>
      <c r="T46" s="128"/>
      <c r="U46" s="124"/>
      <c r="V46" s="125" t="s">
        <v>318</v>
      </c>
      <c r="W46" s="126"/>
      <c r="X46" s="115" t="s">
        <v>222</v>
      </c>
      <c r="Y46" s="130"/>
      <c r="Z46" s="126"/>
      <c r="AA46" s="318"/>
      <c r="AB46" s="317"/>
      <c r="AC46" s="240"/>
      <c r="AD46" s="2"/>
      <c r="AE46" s="53" t="b">
        <v>0</v>
      </c>
      <c r="AF46" s="53" t="b">
        <v>0</v>
      </c>
      <c r="AG46" s="53" t="b">
        <v>0</v>
      </c>
      <c r="AH46" s="2"/>
      <c r="AI46" s="2" t="str">
        <f t="shared" si="9"/>
        <v/>
      </c>
    </row>
    <row r="47" spans="1:35" ht="21" customHeight="1">
      <c r="A47" s="110">
        <v>42</v>
      </c>
      <c r="B47" s="316" t="str">
        <f>IF(Roster!$J$25="Español",(IF(F47&gt;0,(IF(F47&gt;H47,"ganado",(IF(F47=H47,"empatado",(IF(F47&lt;H47,"perdido","")))))),"")),(IF(F47&gt;0,(IF(F47&gt;H47,"won",(IF(F47=H47,"tied",(IF(F47&lt;H47,"lost","")))))),"")))</f>
        <v/>
      </c>
      <c r="C47" s="317"/>
      <c r="D47" s="111"/>
      <c r="E47" s="112"/>
      <c r="F47" s="113"/>
      <c r="G47" s="114" t="s">
        <v>318</v>
      </c>
      <c r="H47" s="115"/>
      <c r="I47" s="116">
        <f t="shared" si="7"/>
        <v>0</v>
      </c>
      <c r="J47" s="117" t="s">
        <v>318</v>
      </c>
      <c r="K47" s="118">
        <f t="shared" si="8"/>
        <v>0</v>
      </c>
      <c r="L47" s="113"/>
      <c r="M47" s="114" t="s">
        <v>318</v>
      </c>
      <c r="N47" s="119"/>
      <c r="O47" s="120"/>
      <c r="P47" s="114" t="s">
        <v>318</v>
      </c>
      <c r="Q47" s="119"/>
      <c r="R47" s="120"/>
      <c r="S47" s="114" t="s">
        <v>318</v>
      </c>
      <c r="T47" s="119"/>
      <c r="U47" s="113"/>
      <c r="V47" s="114" t="s">
        <v>318</v>
      </c>
      <c r="W47" s="115"/>
      <c r="X47" s="115" t="s">
        <v>222</v>
      </c>
      <c r="Y47" s="121"/>
      <c r="Z47" s="115"/>
      <c r="AA47" s="318"/>
      <c r="AB47" s="317"/>
      <c r="AC47" s="240"/>
      <c r="AD47" s="2"/>
      <c r="AE47" s="53" t="b">
        <v>0</v>
      </c>
      <c r="AF47" s="53" t="b">
        <v>0</v>
      </c>
      <c r="AG47" s="53" t="b">
        <v>0</v>
      </c>
      <c r="AH47" s="2"/>
      <c r="AI47" s="2" t="str">
        <f t="shared" si="9"/>
        <v/>
      </c>
    </row>
    <row r="48" spans="1:35" ht="21" customHeight="1">
      <c r="A48" s="110">
        <v>43</v>
      </c>
      <c r="B48" s="316" t="str">
        <f>IF(Roster!$J$25="Español",(IF(F48&gt;0,(IF(F48&gt;H48,"ganado",(IF(F48=H48,"empatado",(IF(F48&lt;H48,"perdido","")))))),"")),(IF(F48&gt;0,(IF(F48&gt;H48,"won",(IF(F48=H48,"tied",(IF(F48&lt;H48,"lost","")))))),"")))</f>
        <v/>
      </c>
      <c r="C48" s="317"/>
      <c r="D48" s="111"/>
      <c r="E48" s="112"/>
      <c r="F48" s="113"/>
      <c r="G48" s="114" t="s">
        <v>318</v>
      </c>
      <c r="H48" s="115"/>
      <c r="I48" s="116">
        <f t="shared" si="7"/>
        <v>0</v>
      </c>
      <c r="J48" s="117" t="s">
        <v>318</v>
      </c>
      <c r="K48" s="118">
        <f t="shared" si="8"/>
        <v>0</v>
      </c>
      <c r="L48" s="113"/>
      <c r="M48" s="114" t="s">
        <v>318</v>
      </c>
      <c r="N48" s="119"/>
      <c r="O48" s="120"/>
      <c r="P48" s="114" t="s">
        <v>318</v>
      </c>
      <c r="Q48" s="119"/>
      <c r="R48" s="120"/>
      <c r="S48" s="114" t="s">
        <v>318</v>
      </c>
      <c r="T48" s="119"/>
      <c r="U48" s="113"/>
      <c r="V48" s="114" t="s">
        <v>318</v>
      </c>
      <c r="W48" s="115"/>
      <c r="X48" s="115" t="s">
        <v>222</v>
      </c>
      <c r="Y48" s="121"/>
      <c r="Z48" s="115"/>
      <c r="AA48" s="318"/>
      <c r="AB48" s="317"/>
      <c r="AC48" s="240"/>
      <c r="AD48" s="2"/>
      <c r="AE48" s="53" t="b">
        <v>0</v>
      </c>
      <c r="AF48" s="53" t="b">
        <v>0</v>
      </c>
      <c r="AG48" s="53" t="b">
        <v>0</v>
      </c>
      <c r="AH48" s="2"/>
      <c r="AI48" s="2" t="str">
        <f t="shared" si="9"/>
        <v/>
      </c>
    </row>
    <row r="49" spans="1:35" ht="21" customHeight="1">
      <c r="A49" s="122">
        <v>44</v>
      </c>
      <c r="B49" s="316" t="str">
        <f>IF(Roster!$J$25="Español",(IF(F49&gt;0,(IF(F49&gt;H49,"ganado",(IF(F49=H49,"empatado",(IF(F49&lt;H49,"perdido","")))))),"")),(IF(F49&gt;0,(IF(F49&gt;H49,"won",(IF(F49=H49,"tied",(IF(F49&lt;H49,"lost","")))))),"")))</f>
        <v/>
      </c>
      <c r="C49" s="317"/>
      <c r="D49" s="111"/>
      <c r="E49" s="112"/>
      <c r="F49" s="113"/>
      <c r="G49" s="114" t="s">
        <v>318</v>
      </c>
      <c r="H49" s="115"/>
      <c r="I49" s="116">
        <f t="shared" si="7"/>
        <v>0</v>
      </c>
      <c r="J49" s="117" t="s">
        <v>318</v>
      </c>
      <c r="K49" s="118">
        <f t="shared" si="8"/>
        <v>0</v>
      </c>
      <c r="L49" s="113"/>
      <c r="M49" s="114" t="s">
        <v>318</v>
      </c>
      <c r="N49" s="119"/>
      <c r="O49" s="120"/>
      <c r="P49" s="114" t="s">
        <v>318</v>
      </c>
      <c r="Q49" s="119"/>
      <c r="R49" s="120"/>
      <c r="S49" s="114" t="s">
        <v>318</v>
      </c>
      <c r="T49" s="119"/>
      <c r="U49" s="113"/>
      <c r="V49" s="114" t="s">
        <v>318</v>
      </c>
      <c r="W49" s="115"/>
      <c r="X49" s="115" t="s">
        <v>222</v>
      </c>
      <c r="Y49" s="121"/>
      <c r="Z49" s="115"/>
      <c r="AA49" s="318"/>
      <c r="AB49" s="317"/>
      <c r="AC49" s="240"/>
      <c r="AD49" s="2"/>
      <c r="AE49" s="53" t="b">
        <v>0</v>
      </c>
      <c r="AF49" s="53" t="b">
        <v>0</v>
      </c>
      <c r="AG49" s="53" t="b">
        <v>0</v>
      </c>
      <c r="AH49" s="2"/>
      <c r="AI49" s="2" t="str">
        <f t="shared" si="9"/>
        <v/>
      </c>
    </row>
    <row r="50" spans="1:35" ht="21" customHeight="1">
      <c r="A50" s="110">
        <v>45</v>
      </c>
      <c r="B50" s="316" t="str">
        <f>IF(Roster!$J$25="Español",(IF(F50&gt;0,(IF(F50&gt;H50,"ganado",(IF(F50=H50,"empatado",(IF(F50&lt;H50,"perdido","")))))),"")),(IF(F50&gt;0,(IF(F50&gt;H50,"won",(IF(F50=H50,"tied",(IF(F50&lt;H50,"lost","")))))),"")))</f>
        <v/>
      </c>
      <c r="C50" s="317"/>
      <c r="D50" s="111"/>
      <c r="E50" s="112"/>
      <c r="F50" s="113"/>
      <c r="G50" s="114" t="s">
        <v>318</v>
      </c>
      <c r="H50" s="115"/>
      <c r="I50" s="116">
        <f t="shared" si="7"/>
        <v>0</v>
      </c>
      <c r="J50" s="117" t="s">
        <v>318</v>
      </c>
      <c r="K50" s="118">
        <f t="shared" si="8"/>
        <v>0</v>
      </c>
      <c r="L50" s="113"/>
      <c r="M50" s="114" t="s">
        <v>318</v>
      </c>
      <c r="N50" s="119"/>
      <c r="O50" s="120"/>
      <c r="P50" s="114" t="s">
        <v>318</v>
      </c>
      <c r="Q50" s="119"/>
      <c r="R50" s="120"/>
      <c r="S50" s="114" t="s">
        <v>318</v>
      </c>
      <c r="T50" s="119"/>
      <c r="U50" s="113"/>
      <c r="V50" s="114" t="s">
        <v>318</v>
      </c>
      <c r="W50" s="115"/>
      <c r="X50" s="115" t="s">
        <v>222</v>
      </c>
      <c r="Y50" s="121"/>
      <c r="Z50" s="115"/>
      <c r="AA50" s="318"/>
      <c r="AB50" s="317"/>
      <c r="AC50" s="240"/>
      <c r="AD50" s="2"/>
      <c r="AE50" s="53" t="b">
        <v>0</v>
      </c>
      <c r="AF50" s="53" t="b">
        <v>0</v>
      </c>
      <c r="AG50" s="53" t="b">
        <v>0</v>
      </c>
      <c r="AH50" s="2"/>
      <c r="AI50" s="2" t="str">
        <f t="shared" si="9"/>
        <v/>
      </c>
    </row>
    <row r="51" spans="1:35" ht="21" customHeight="1">
      <c r="A51" s="110">
        <v>46</v>
      </c>
      <c r="B51" s="316" t="str">
        <f>IF(Roster!$J$25="Español",(IF(F51&gt;0,(IF(F51&gt;H51,"ganado",(IF(F51=H51,"empatado",(IF(F51&lt;H51,"perdido","")))))),"")),(IF(F51&gt;0,(IF(F51&gt;H51,"won",(IF(F51=H51,"tied",(IF(F51&lt;H51,"lost","")))))),"")))</f>
        <v/>
      </c>
      <c r="C51" s="317"/>
      <c r="D51" s="111"/>
      <c r="E51" s="112"/>
      <c r="F51" s="113"/>
      <c r="G51" s="114" t="s">
        <v>318</v>
      </c>
      <c r="H51" s="115"/>
      <c r="I51" s="116">
        <f t="shared" si="7"/>
        <v>0</v>
      </c>
      <c r="J51" s="117" t="s">
        <v>318</v>
      </c>
      <c r="K51" s="118">
        <f t="shared" si="8"/>
        <v>0</v>
      </c>
      <c r="L51" s="113"/>
      <c r="M51" s="114" t="s">
        <v>318</v>
      </c>
      <c r="N51" s="119"/>
      <c r="O51" s="120"/>
      <c r="P51" s="114" t="s">
        <v>318</v>
      </c>
      <c r="Q51" s="119"/>
      <c r="R51" s="120"/>
      <c r="S51" s="114" t="s">
        <v>318</v>
      </c>
      <c r="T51" s="119"/>
      <c r="U51" s="113"/>
      <c r="V51" s="114" t="s">
        <v>318</v>
      </c>
      <c r="W51" s="115"/>
      <c r="X51" s="115" t="s">
        <v>222</v>
      </c>
      <c r="Y51" s="121"/>
      <c r="Z51" s="115"/>
      <c r="AA51" s="318"/>
      <c r="AB51" s="317"/>
      <c r="AC51" s="240"/>
      <c r="AD51" s="2"/>
      <c r="AE51" s="53" t="b">
        <v>0</v>
      </c>
      <c r="AF51" s="53" t="b">
        <v>0</v>
      </c>
      <c r="AG51" s="53" t="b">
        <v>0</v>
      </c>
      <c r="AH51" s="2"/>
      <c r="AI51" s="2" t="str">
        <f t="shared" si="9"/>
        <v/>
      </c>
    </row>
    <row r="52" spans="1:35" ht="21" customHeight="1">
      <c r="A52" s="122">
        <v>47</v>
      </c>
      <c r="B52" s="316" t="str">
        <f>IF(Roster!$J$25="Español",(IF(F52&gt;0,(IF(F52&gt;H52,"ganado",(IF(F52=H52,"empatado",(IF(F52&lt;H52,"perdido","")))))),"")),(IF(F52&gt;0,(IF(F52&gt;H52,"won",(IF(F52=H52,"tied",(IF(F52&lt;H52,"lost","")))))),"")))</f>
        <v/>
      </c>
      <c r="C52" s="317"/>
      <c r="D52" s="111"/>
      <c r="E52" s="112"/>
      <c r="F52" s="113"/>
      <c r="G52" s="114" t="s">
        <v>318</v>
      </c>
      <c r="H52" s="115"/>
      <c r="I52" s="116">
        <f t="shared" si="7"/>
        <v>0</v>
      </c>
      <c r="J52" s="117" t="s">
        <v>318</v>
      </c>
      <c r="K52" s="118">
        <f t="shared" si="8"/>
        <v>0</v>
      </c>
      <c r="L52" s="113"/>
      <c r="M52" s="114" t="s">
        <v>318</v>
      </c>
      <c r="N52" s="119"/>
      <c r="O52" s="120"/>
      <c r="P52" s="114" t="s">
        <v>318</v>
      </c>
      <c r="Q52" s="119"/>
      <c r="R52" s="120"/>
      <c r="S52" s="114" t="s">
        <v>318</v>
      </c>
      <c r="T52" s="119"/>
      <c r="U52" s="113"/>
      <c r="V52" s="114" t="s">
        <v>318</v>
      </c>
      <c r="W52" s="115"/>
      <c r="X52" s="115" t="s">
        <v>222</v>
      </c>
      <c r="Y52" s="121"/>
      <c r="Z52" s="115"/>
      <c r="AA52" s="318"/>
      <c r="AB52" s="317"/>
      <c r="AC52" s="240"/>
      <c r="AD52" s="2"/>
      <c r="AE52" s="53" t="b">
        <v>0</v>
      </c>
      <c r="AF52" s="53" t="b">
        <v>0</v>
      </c>
      <c r="AG52" s="53" t="b">
        <v>0</v>
      </c>
      <c r="AH52" s="2"/>
      <c r="AI52" s="2" t="str">
        <f t="shared" si="9"/>
        <v/>
      </c>
    </row>
    <row r="53" spans="1:35" ht="21" customHeight="1">
      <c r="A53" s="110">
        <v>48</v>
      </c>
      <c r="B53" s="316" t="str">
        <f>IF(Roster!$J$25="Español",(IF(F53&gt;0,(IF(F53&gt;H53,"ganado",(IF(F53=H53,"empatado",(IF(F53&lt;H53,"perdido","")))))),"")),(IF(F53&gt;0,(IF(F53&gt;H53,"won",(IF(F53=H53,"tied",(IF(F53&lt;H53,"lost","")))))),"")))</f>
        <v/>
      </c>
      <c r="C53" s="317"/>
      <c r="D53" s="111"/>
      <c r="E53" s="112"/>
      <c r="F53" s="113"/>
      <c r="G53" s="114" t="s">
        <v>318</v>
      </c>
      <c r="H53" s="115"/>
      <c r="I53" s="116">
        <f t="shared" si="7"/>
        <v>0</v>
      </c>
      <c r="J53" s="117" t="s">
        <v>318</v>
      </c>
      <c r="K53" s="118">
        <f t="shared" si="8"/>
        <v>0</v>
      </c>
      <c r="L53" s="113"/>
      <c r="M53" s="114" t="s">
        <v>318</v>
      </c>
      <c r="N53" s="119"/>
      <c r="O53" s="120"/>
      <c r="P53" s="114" t="s">
        <v>318</v>
      </c>
      <c r="Q53" s="119"/>
      <c r="R53" s="120"/>
      <c r="S53" s="114" t="s">
        <v>318</v>
      </c>
      <c r="T53" s="119"/>
      <c r="U53" s="113"/>
      <c r="V53" s="114" t="s">
        <v>318</v>
      </c>
      <c r="W53" s="115"/>
      <c r="X53" s="115" t="s">
        <v>222</v>
      </c>
      <c r="Y53" s="121"/>
      <c r="Z53" s="115"/>
      <c r="AA53" s="318"/>
      <c r="AB53" s="317"/>
      <c r="AC53" s="240"/>
      <c r="AD53" s="2"/>
      <c r="AE53" s="53" t="b">
        <v>0</v>
      </c>
      <c r="AF53" s="53" t="b">
        <v>0</v>
      </c>
      <c r="AG53" s="53" t="b">
        <v>0</v>
      </c>
      <c r="AH53" s="2"/>
      <c r="AI53" s="2" t="str">
        <f t="shared" si="9"/>
        <v/>
      </c>
    </row>
    <row r="54" spans="1:35" ht="21" customHeight="1">
      <c r="A54" s="110">
        <v>49</v>
      </c>
      <c r="B54" s="316" t="str">
        <f>IF(Roster!$J$25="Español",(IF(F54&gt;0,(IF(F54&gt;H54,"ganado",(IF(F54=H54,"empatado",(IF(F54&lt;H54,"perdido","")))))),"")),(IF(F54&gt;0,(IF(F54&gt;H54,"won",(IF(F54=H54,"tied",(IF(F54&lt;H54,"lost","")))))),"")))</f>
        <v/>
      </c>
      <c r="C54" s="317"/>
      <c r="D54" s="111"/>
      <c r="E54" s="112"/>
      <c r="F54" s="113"/>
      <c r="G54" s="114" t="s">
        <v>318</v>
      </c>
      <c r="H54" s="115"/>
      <c r="I54" s="116">
        <f t="shared" si="7"/>
        <v>0</v>
      </c>
      <c r="J54" s="117" t="s">
        <v>318</v>
      </c>
      <c r="K54" s="118">
        <f t="shared" si="8"/>
        <v>0</v>
      </c>
      <c r="L54" s="113"/>
      <c r="M54" s="114" t="s">
        <v>318</v>
      </c>
      <c r="N54" s="119"/>
      <c r="O54" s="120"/>
      <c r="P54" s="114" t="s">
        <v>318</v>
      </c>
      <c r="Q54" s="119"/>
      <c r="R54" s="120"/>
      <c r="S54" s="114" t="s">
        <v>318</v>
      </c>
      <c r="T54" s="119"/>
      <c r="U54" s="113"/>
      <c r="V54" s="114" t="s">
        <v>318</v>
      </c>
      <c r="W54" s="115"/>
      <c r="X54" s="115" t="s">
        <v>222</v>
      </c>
      <c r="Y54" s="121"/>
      <c r="Z54" s="115"/>
      <c r="AA54" s="318"/>
      <c r="AB54" s="317"/>
      <c r="AC54" s="240"/>
      <c r="AD54" s="2"/>
      <c r="AE54" s="53" t="b">
        <v>0</v>
      </c>
      <c r="AF54" s="53" t="b">
        <v>0</v>
      </c>
      <c r="AG54" s="53" t="b">
        <v>0</v>
      </c>
      <c r="AH54" s="2"/>
      <c r="AI54" s="2" t="str">
        <f t="shared" si="9"/>
        <v/>
      </c>
    </row>
    <row r="55" spans="1:35" ht="21" customHeight="1">
      <c r="A55" s="122">
        <v>50</v>
      </c>
      <c r="B55" s="316" t="str">
        <f>IF(Roster!$J$25="Español",(IF(F55&gt;0,(IF(F55&gt;H55,"ganado",(IF(F55=H55,"empatado",(IF(F55&lt;H55,"perdido","")))))),"")),(IF(F55&gt;0,(IF(F55&gt;H55,"won",(IF(F55=H55,"tied",(IF(F55&lt;H55,"lost","")))))),"")))</f>
        <v/>
      </c>
      <c r="C55" s="317"/>
      <c r="D55" s="111"/>
      <c r="E55" s="112"/>
      <c r="F55" s="113"/>
      <c r="G55" s="114" t="s">
        <v>318</v>
      </c>
      <c r="H55" s="115"/>
      <c r="I55" s="116">
        <f t="shared" si="7"/>
        <v>0</v>
      </c>
      <c r="J55" s="117" t="s">
        <v>318</v>
      </c>
      <c r="K55" s="118">
        <f t="shared" si="8"/>
        <v>0</v>
      </c>
      <c r="L55" s="113"/>
      <c r="M55" s="114" t="s">
        <v>318</v>
      </c>
      <c r="N55" s="119"/>
      <c r="O55" s="120"/>
      <c r="P55" s="114" t="s">
        <v>318</v>
      </c>
      <c r="Q55" s="119"/>
      <c r="R55" s="120"/>
      <c r="S55" s="114" t="s">
        <v>318</v>
      </c>
      <c r="T55" s="119"/>
      <c r="U55" s="113"/>
      <c r="V55" s="114" t="s">
        <v>318</v>
      </c>
      <c r="W55" s="115"/>
      <c r="X55" s="115" t="s">
        <v>222</v>
      </c>
      <c r="Y55" s="121"/>
      <c r="Z55" s="115"/>
      <c r="AA55" s="318"/>
      <c r="AB55" s="317"/>
      <c r="AC55" s="240"/>
      <c r="AD55" s="2"/>
      <c r="AE55" s="53" t="b">
        <v>0</v>
      </c>
      <c r="AF55" s="53" t="b">
        <v>0</v>
      </c>
      <c r="AG55" s="53" t="b">
        <v>0</v>
      </c>
      <c r="AH55" s="2"/>
      <c r="AI55" s="2" t="str">
        <f t="shared" si="9"/>
        <v/>
      </c>
    </row>
    <row r="56" spans="1:35" ht="21" customHeight="1">
      <c r="A56" s="322" t="str">
        <f>IF(Roster!J25="Italiano","  Note",(IF(Roster!J25="Español","  Notas",(IF(Roster!J25="Deutsch","  Notizen","  Notes")))))</f>
        <v xml:space="preserve">  Note</v>
      </c>
      <c r="B56" s="323"/>
      <c r="C56" s="324"/>
      <c r="D56" s="325"/>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4"/>
      <c r="AC56" s="241"/>
      <c r="AD56" s="2"/>
      <c r="AE56" s="45"/>
      <c r="AF56" s="45"/>
      <c r="AG56" s="45"/>
      <c r="AH56" s="2"/>
      <c r="AI56" s="2"/>
    </row>
    <row r="57" spans="1:35" ht="8.25" customHeight="1">
      <c r="A57" s="320"/>
      <c r="B57" s="24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4"/>
      <c r="AD57" s="2"/>
      <c r="AE57" s="2"/>
      <c r="AF57" s="2"/>
      <c r="AG57" s="2"/>
      <c r="AH57" s="2"/>
      <c r="AI57" s="2"/>
    </row>
    <row r="58" spans="1:35" ht="30" hidden="1" customHeight="1">
      <c r="A58" s="140"/>
      <c r="B58" s="319"/>
      <c r="C58" s="277"/>
      <c r="D58" s="141"/>
      <c r="E58" s="141"/>
      <c r="F58" s="142"/>
      <c r="G58" s="143"/>
      <c r="H58" s="142"/>
      <c r="I58" s="144"/>
      <c r="J58" s="143"/>
      <c r="K58" s="142"/>
      <c r="L58" s="145"/>
      <c r="M58" s="143"/>
      <c r="N58" s="146"/>
      <c r="O58" s="145"/>
      <c r="P58" s="143"/>
      <c r="Q58" s="146"/>
      <c r="R58" s="145"/>
      <c r="S58" s="143"/>
      <c r="T58" s="146"/>
      <c r="U58" s="142"/>
      <c r="V58" s="143"/>
      <c r="W58" s="142"/>
      <c r="X58" s="142"/>
      <c r="Y58" s="142"/>
      <c r="Z58" s="142"/>
      <c r="AA58" s="147"/>
      <c r="AB58" s="147"/>
      <c r="AC58" s="147"/>
      <c r="AD58" s="2"/>
      <c r="AE58" s="2"/>
      <c r="AF58" s="2"/>
      <c r="AG58" s="2"/>
      <c r="AH58" s="2"/>
      <c r="AI58" s="2"/>
    </row>
    <row r="59" spans="1:35" ht="30" hidden="1" customHeight="1">
      <c r="A59" s="140"/>
      <c r="B59" s="319"/>
      <c r="C59" s="277"/>
      <c r="D59" s="141"/>
      <c r="E59" s="141"/>
      <c r="F59" s="142"/>
      <c r="G59" s="143"/>
      <c r="H59" s="142"/>
      <c r="I59" s="144"/>
      <c r="J59" s="143"/>
      <c r="K59" s="142"/>
      <c r="L59" s="145"/>
      <c r="M59" s="143"/>
      <c r="N59" s="146"/>
      <c r="O59" s="145"/>
      <c r="P59" s="143"/>
      <c r="Q59" s="146"/>
      <c r="R59" s="145"/>
      <c r="S59" s="143"/>
      <c r="T59" s="146"/>
      <c r="U59" s="142"/>
      <c r="V59" s="143"/>
      <c r="W59" s="142"/>
      <c r="X59" s="142"/>
      <c r="Y59" s="142"/>
      <c r="Z59" s="142"/>
      <c r="AA59" s="147"/>
      <c r="AB59" s="147"/>
      <c r="AC59" s="147"/>
      <c r="AD59" s="2"/>
      <c r="AE59" s="2"/>
      <c r="AF59" s="2"/>
      <c r="AG59" s="2"/>
      <c r="AH59" s="2"/>
      <c r="AI59" s="2"/>
    </row>
    <row r="60" spans="1:35" ht="30" hidden="1" customHeight="1">
      <c r="A60" s="140"/>
      <c r="B60" s="319"/>
      <c r="C60" s="277"/>
      <c r="D60" s="141"/>
      <c r="E60" s="141"/>
      <c r="F60" s="142"/>
      <c r="G60" s="143"/>
      <c r="H60" s="142"/>
      <c r="I60" s="144"/>
      <c r="J60" s="143"/>
      <c r="K60" s="142"/>
      <c r="L60" s="145"/>
      <c r="M60" s="143"/>
      <c r="N60" s="146"/>
      <c r="O60" s="145"/>
      <c r="P60" s="143"/>
      <c r="Q60" s="146"/>
      <c r="R60" s="145"/>
      <c r="S60" s="143"/>
      <c r="T60" s="146"/>
      <c r="U60" s="142"/>
      <c r="V60" s="143"/>
      <c r="W60" s="142"/>
      <c r="X60" s="142"/>
      <c r="Y60" s="142"/>
      <c r="Z60" s="142"/>
      <c r="AA60" s="147"/>
      <c r="AB60" s="147"/>
      <c r="AC60" s="147"/>
      <c r="AD60" s="2"/>
      <c r="AE60" s="2"/>
      <c r="AF60" s="2"/>
      <c r="AG60" s="2"/>
      <c r="AH60" s="2"/>
      <c r="AI60" s="2"/>
    </row>
    <row r="61" spans="1:35" ht="30" hidden="1" customHeight="1">
      <c r="A61" s="140"/>
      <c r="B61" s="319"/>
      <c r="C61" s="277"/>
      <c r="D61" s="141"/>
      <c r="E61" s="141"/>
      <c r="F61" s="142"/>
      <c r="G61" s="143"/>
      <c r="H61" s="142"/>
      <c r="I61" s="144"/>
      <c r="J61" s="143"/>
      <c r="K61" s="142"/>
      <c r="L61" s="145"/>
      <c r="M61" s="143"/>
      <c r="N61" s="146"/>
      <c r="O61" s="145"/>
      <c r="P61" s="143"/>
      <c r="Q61" s="146"/>
      <c r="R61" s="145"/>
      <c r="S61" s="143"/>
      <c r="T61" s="146"/>
      <c r="U61" s="142"/>
      <c r="V61" s="143"/>
      <c r="W61" s="142"/>
      <c r="X61" s="142"/>
      <c r="Y61" s="142"/>
      <c r="Z61" s="142"/>
      <c r="AA61" s="147"/>
      <c r="AB61" s="147"/>
      <c r="AC61" s="147"/>
      <c r="AD61" s="2"/>
      <c r="AE61" s="2"/>
      <c r="AF61" s="2"/>
      <c r="AG61" s="2"/>
      <c r="AH61" s="2"/>
      <c r="AI61" s="2"/>
    </row>
    <row r="62" spans="1:35" ht="30" hidden="1" customHeight="1">
      <c r="A62" s="140"/>
      <c r="B62" s="319"/>
      <c r="C62" s="277"/>
      <c r="D62" s="141"/>
      <c r="E62" s="141"/>
      <c r="F62" s="142"/>
      <c r="G62" s="143"/>
      <c r="H62" s="142"/>
      <c r="I62" s="144"/>
      <c r="J62" s="143"/>
      <c r="K62" s="142"/>
      <c r="L62" s="145"/>
      <c r="M62" s="143"/>
      <c r="N62" s="146"/>
      <c r="O62" s="145"/>
      <c r="P62" s="143"/>
      <c r="Q62" s="146"/>
      <c r="R62" s="145"/>
      <c r="S62" s="143"/>
      <c r="T62" s="146"/>
      <c r="U62" s="142"/>
      <c r="V62" s="143"/>
      <c r="W62" s="142"/>
      <c r="X62" s="142"/>
      <c r="Y62" s="142"/>
      <c r="Z62" s="142"/>
      <c r="AA62" s="147"/>
      <c r="AB62" s="147"/>
      <c r="AC62" s="147"/>
      <c r="AD62" s="2"/>
      <c r="AE62" s="2"/>
      <c r="AF62" s="2"/>
      <c r="AG62" s="2"/>
      <c r="AH62" s="2"/>
      <c r="AI62" s="2"/>
    </row>
    <row r="63" spans="1:35" ht="30" hidden="1" customHeight="1">
      <c r="A63" s="140"/>
      <c r="B63" s="319"/>
      <c r="C63" s="277"/>
      <c r="D63" s="141"/>
      <c r="E63" s="141"/>
      <c r="F63" s="142"/>
      <c r="G63" s="143"/>
      <c r="H63" s="142"/>
      <c r="I63" s="144"/>
      <c r="J63" s="143"/>
      <c r="K63" s="142"/>
      <c r="L63" s="145"/>
      <c r="M63" s="143"/>
      <c r="N63" s="146"/>
      <c r="O63" s="145"/>
      <c r="P63" s="143"/>
      <c r="Q63" s="146"/>
      <c r="R63" s="145"/>
      <c r="S63" s="143"/>
      <c r="T63" s="146"/>
      <c r="U63" s="142"/>
      <c r="V63" s="143"/>
      <c r="W63" s="142"/>
      <c r="X63" s="142"/>
      <c r="Y63" s="142"/>
      <c r="Z63" s="142"/>
      <c r="AA63" s="147"/>
      <c r="AB63" s="147"/>
      <c r="AC63" s="147"/>
      <c r="AD63" s="2"/>
      <c r="AE63" s="2"/>
      <c r="AF63" s="2"/>
      <c r="AG63" s="2"/>
      <c r="AH63" s="2"/>
      <c r="AI63" s="2"/>
    </row>
    <row r="64" spans="1:35" ht="30" hidden="1" customHeight="1">
      <c r="A64" s="140"/>
      <c r="B64" s="319"/>
      <c r="C64" s="277"/>
      <c r="D64" s="141"/>
      <c r="E64" s="141"/>
      <c r="F64" s="142"/>
      <c r="G64" s="143"/>
      <c r="H64" s="142"/>
      <c r="I64" s="144"/>
      <c r="J64" s="143"/>
      <c r="K64" s="142"/>
      <c r="L64" s="145"/>
      <c r="M64" s="143"/>
      <c r="N64" s="146"/>
      <c r="O64" s="145"/>
      <c r="P64" s="143"/>
      <c r="Q64" s="146"/>
      <c r="R64" s="145"/>
      <c r="S64" s="143"/>
      <c r="T64" s="146"/>
      <c r="U64" s="142"/>
      <c r="V64" s="143"/>
      <c r="W64" s="142"/>
      <c r="X64" s="142"/>
      <c r="Y64" s="142"/>
      <c r="Z64" s="142"/>
      <c r="AA64" s="147"/>
      <c r="AB64" s="147"/>
      <c r="AC64" s="147"/>
      <c r="AD64" s="2"/>
      <c r="AE64" s="2"/>
      <c r="AF64" s="2"/>
      <c r="AG64" s="2"/>
      <c r="AH64" s="2"/>
      <c r="AI64" s="2"/>
    </row>
    <row r="65" spans="1:35" ht="30" hidden="1" customHeight="1">
      <c r="A65" s="140"/>
      <c r="B65" s="319"/>
      <c r="C65" s="277"/>
      <c r="D65" s="141"/>
      <c r="E65" s="141"/>
      <c r="F65" s="142"/>
      <c r="G65" s="143"/>
      <c r="H65" s="142"/>
      <c r="I65" s="144"/>
      <c r="J65" s="143"/>
      <c r="K65" s="142"/>
      <c r="L65" s="145"/>
      <c r="M65" s="143"/>
      <c r="N65" s="146"/>
      <c r="O65" s="145"/>
      <c r="P65" s="143"/>
      <c r="Q65" s="146"/>
      <c r="R65" s="145"/>
      <c r="S65" s="143"/>
      <c r="T65" s="146"/>
      <c r="U65" s="142"/>
      <c r="V65" s="143"/>
      <c r="W65" s="142"/>
      <c r="X65" s="142"/>
      <c r="Y65" s="142"/>
      <c r="Z65" s="142"/>
      <c r="AA65" s="147"/>
      <c r="AB65" s="147"/>
      <c r="AC65" s="147"/>
      <c r="AD65" s="2"/>
      <c r="AE65" s="2"/>
      <c r="AF65" s="2"/>
      <c r="AG65" s="2"/>
      <c r="AH65" s="2"/>
      <c r="AI65" s="2"/>
    </row>
    <row r="66" spans="1:35" ht="30" hidden="1" customHeight="1">
      <c r="A66" s="140"/>
      <c r="B66" s="319"/>
      <c r="C66" s="277"/>
      <c r="D66" s="141"/>
      <c r="E66" s="141"/>
      <c r="F66" s="142"/>
      <c r="G66" s="143"/>
      <c r="H66" s="142"/>
      <c r="I66" s="144"/>
      <c r="J66" s="143"/>
      <c r="K66" s="142"/>
      <c r="L66" s="145"/>
      <c r="M66" s="143"/>
      <c r="N66" s="146"/>
      <c r="O66" s="145"/>
      <c r="P66" s="143"/>
      <c r="Q66" s="146"/>
      <c r="R66" s="145"/>
      <c r="S66" s="143"/>
      <c r="T66" s="146"/>
      <c r="U66" s="142"/>
      <c r="V66" s="143"/>
      <c r="W66" s="142"/>
      <c r="X66" s="142"/>
      <c r="Y66" s="142"/>
      <c r="Z66" s="142"/>
      <c r="AA66" s="147"/>
      <c r="AB66" s="147"/>
      <c r="AC66" s="147"/>
      <c r="AD66" s="2"/>
      <c r="AE66" s="2"/>
      <c r="AF66" s="2"/>
      <c r="AG66" s="2"/>
      <c r="AH66" s="2"/>
      <c r="AI66" s="2"/>
    </row>
    <row r="67" spans="1:35" ht="30" hidden="1" customHeight="1">
      <c r="A67" s="140"/>
      <c r="B67" s="319"/>
      <c r="C67" s="277"/>
      <c r="D67" s="141"/>
      <c r="E67" s="141"/>
      <c r="F67" s="142"/>
      <c r="G67" s="143"/>
      <c r="H67" s="142"/>
      <c r="I67" s="144"/>
      <c r="J67" s="143"/>
      <c r="K67" s="142"/>
      <c r="L67" s="145"/>
      <c r="M67" s="143"/>
      <c r="N67" s="146"/>
      <c r="O67" s="145"/>
      <c r="P67" s="143"/>
      <c r="Q67" s="146"/>
      <c r="R67" s="145"/>
      <c r="S67" s="143"/>
      <c r="T67" s="146"/>
      <c r="U67" s="142"/>
      <c r="V67" s="143"/>
      <c r="W67" s="142"/>
      <c r="X67" s="142"/>
      <c r="Y67" s="142"/>
      <c r="Z67" s="142"/>
      <c r="AA67" s="147"/>
      <c r="AB67" s="147"/>
      <c r="AC67" s="147"/>
      <c r="AD67" s="2"/>
      <c r="AE67" s="2"/>
      <c r="AF67" s="2"/>
      <c r="AG67" s="2"/>
      <c r="AH67" s="2"/>
      <c r="AI67" s="2"/>
    </row>
    <row r="68" spans="1:35" ht="30" hidden="1" customHeight="1">
      <c r="A68" s="140"/>
      <c r="B68" s="319"/>
      <c r="C68" s="277"/>
      <c r="D68" s="141"/>
      <c r="E68" s="141"/>
      <c r="F68" s="142"/>
      <c r="G68" s="143"/>
      <c r="H68" s="142"/>
      <c r="I68" s="144"/>
      <c r="J68" s="143"/>
      <c r="K68" s="142"/>
      <c r="L68" s="145"/>
      <c r="M68" s="143"/>
      <c r="N68" s="146"/>
      <c r="O68" s="145"/>
      <c r="P68" s="143"/>
      <c r="Q68" s="146"/>
      <c r="R68" s="145"/>
      <c r="S68" s="143"/>
      <c r="T68" s="146"/>
      <c r="U68" s="142"/>
      <c r="V68" s="143"/>
      <c r="W68" s="142"/>
      <c r="X68" s="142"/>
      <c r="Y68" s="142"/>
      <c r="Z68" s="142"/>
      <c r="AA68" s="147"/>
      <c r="AB68" s="147"/>
      <c r="AC68" s="147"/>
      <c r="AD68" s="2"/>
      <c r="AE68" s="2"/>
      <c r="AF68" s="2"/>
      <c r="AG68" s="2"/>
      <c r="AH68" s="2"/>
      <c r="AI68" s="2"/>
    </row>
    <row r="69" spans="1:35" ht="30" hidden="1" customHeight="1">
      <c r="A69" s="140"/>
      <c r="B69" s="319"/>
      <c r="C69" s="277"/>
      <c r="D69" s="141"/>
      <c r="E69" s="141"/>
      <c r="F69" s="142"/>
      <c r="G69" s="143"/>
      <c r="H69" s="142"/>
      <c r="I69" s="144"/>
      <c r="J69" s="143"/>
      <c r="K69" s="142"/>
      <c r="L69" s="145"/>
      <c r="M69" s="143"/>
      <c r="N69" s="146"/>
      <c r="O69" s="145"/>
      <c r="P69" s="143"/>
      <c r="Q69" s="146"/>
      <c r="R69" s="145"/>
      <c r="S69" s="143"/>
      <c r="T69" s="146"/>
      <c r="U69" s="142"/>
      <c r="V69" s="143"/>
      <c r="W69" s="142"/>
      <c r="X69" s="142"/>
      <c r="Y69" s="142"/>
      <c r="Z69" s="142"/>
      <c r="AA69" s="147"/>
      <c r="AB69" s="147"/>
      <c r="AC69" s="147"/>
      <c r="AD69" s="2"/>
      <c r="AE69" s="2"/>
      <c r="AF69" s="2"/>
      <c r="AG69" s="2"/>
      <c r="AH69" s="2"/>
      <c r="AI69" s="2"/>
    </row>
    <row r="70" spans="1:35" ht="30" hidden="1" customHeight="1">
      <c r="A70" s="140"/>
      <c r="B70" s="319"/>
      <c r="C70" s="277"/>
      <c r="D70" s="141"/>
      <c r="E70" s="141"/>
      <c r="F70" s="142"/>
      <c r="G70" s="143"/>
      <c r="H70" s="142"/>
      <c r="I70" s="144"/>
      <c r="J70" s="143"/>
      <c r="K70" s="142"/>
      <c r="L70" s="145"/>
      <c r="M70" s="143"/>
      <c r="N70" s="146"/>
      <c r="O70" s="145"/>
      <c r="P70" s="143"/>
      <c r="Q70" s="146"/>
      <c r="R70" s="145"/>
      <c r="S70" s="143"/>
      <c r="T70" s="146"/>
      <c r="U70" s="142"/>
      <c r="V70" s="143"/>
      <c r="W70" s="142"/>
      <c r="X70" s="142"/>
      <c r="Y70" s="142"/>
      <c r="Z70" s="142"/>
      <c r="AA70" s="147"/>
      <c r="AB70" s="147"/>
      <c r="AC70" s="147"/>
      <c r="AD70" s="2"/>
      <c r="AE70" s="2"/>
      <c r="AF70" s="2"/>
      <c r="AG70" s="2"/>
      <c r="AH70" s="2"/>
      <c r="AI70" s="2"/>
    </row>
    <row r="71" spans="1:35" ht="30" hidden="1" customHeight="1">
      <c r="A71" s="140"/>
      <c r="B71" s="319"/>
      <c r="C71" s="277"/>
      <c r="D71" s="141"/>
      <c r="E71" s="141"/>
      <c r="F71" s="142"/>
      <c r="G71" s="143"/>
      <c r="H71" s="142"/>
      <c r="I71" s="144"/>
      <c r="J71" s="143"/>
      <c r="K71" s="142"/>
      <c r="L71" s="145"/>
      <c r="M71" s="143"/>
      <c r="N71" s="146"/>
      <c r="O71" s="145"/>
      <c r="P71" s="143"/>
      <c r="Q71" s="146"/>
      <c r="R71" s="145"/>
      <c r="S71" s="143"/>
      <c r="T71" s="146"/>
      <c r="U71" s="142"/>
      <c r="V71" s="143"/>
      <c r="W71" s="142"/>
      <c r="X71" s="142"/>
      <c r="Y71" s="142"/>
      <c r="Z71" s="142"/>
      <c r="AA71" s="147"/>
      <c r="AB71" s="147"/>
      <c r="AC71" s="147"/>
      <c r="AD71" s="2"/>
      <c r="AE71" s="2"/>
      <c r="AF71" s="2"/>
      <c r="AG71" s="2"/>
      <c r="AH71" s="2"/>
      <c r="AI71" s="2"/>
    </row>
    <row r="72" spans="1:35" ht="30" hidden="1" customHeight="1">
      <c r="A72" s="140"/>
      <c r="B72" s="319"/>
      <c r="C72" s="277"/>
      <c r="D72" s="141"/>
      <c r="E72" s="141"/>
      <c r="F72" s="142"/>
      <c r="G72" s="143"/>
      <c r="H72" s="142"/>
      <c r="I72" s="144"/>
      <c r="J72" s="143"/>
      <c r="K72" s="142"/>
      <c r="L72" s="145"/>
      <c r="M72" s="143"/>
      <c r="N72" s="146"/>
      <c r="O72" s="145"/>
      <c r="P72" s="143"/>
      <c r="Q72" s="146"/>
      <c r="R72" s="145"/>
      <c r="S72" s="143"/>
      <c r="T72" s="146"/>
      <c r="U72" s="142"/>
      <c r="V72" s="143"/>
      <c r="W72" s="142"/>
      <c r="X72" s="142"/>
      <c r="Y72" s="142"/>
      <c r="Z72" s="142"/>
      <c r="AA72" s="147"/>
      <c r="AB72" s="147"/>
      <c r="AC72" s="147"/>
      <c r="AD72" s="2"/>
      <c r="AE72" s="2"/>
      <c r="AF72" s="2"/>
      <c r="AG72" s="2"/>
      <c r="AH72" s="2"/>
      <c r="AI72" s="2"/>
    </row>
    <row r="73" spans="1:35" ht="30" hidden="1" customHeight="1">
      <c r="A73" s="140"/>
      <c r="B73" s="319"/>
      <c r="C73" s="277"/>
      <c r="D73" s="141"/>
      <c r="E73" s="141"/>
      <c r="F73" s="142"/>
      <c r="G73" s="143"/>
      <c r="H73" s="142"/>
      <c r="I73" s="144"/>
      <c r="J73" s="143"/>
      <c r="K73" s="142"/>
      <c r="L73" s="145"/>
      <c r="M73" s="143"/>
      <c r="N73" s="146"/>
      <c r="O73" s="145"/>
      <c r="P73" s="143"/>
      <c r="Q73" s="146"/>
      <c r="R73" s="145"/>
      <c r="S73" s="143"/>
      <c r="T73" s="146"/>
      <c r="U73" s="142"/>
      <c r="V73" s="143"/>
      <c r="W73" s="142"/>
      <c r="X73" s="142"/>
      <c r="Y73" s="142"/>
      <c r="Z73" s="142"/>
      <c r="AA73" s="147"/>
      <c r="AB73" s="147"/>
      <c r="AC73" s="147"/>
      <c r="AD73" s="2"/>
      <c r="AE73" s="2"/>
      <c r="AF73" s="2"/>
      <c r="AG73" s="2"/>
      <c r="AH73" s="2"/>
      <c r="AI73" s="2"/>
    </row>
    <row r="74" spans="1:35" ht="30" hidden="1" customHeight="1">
      <c r="A74" s="140"/>
      <c r="B74" s="319"/>
      <c r="C74" s="277"/>
      <c r="D74" s="141"/>
      <c r="E74" s="141"/>
      <c r="F74" s="142"/>
      <c r="G74" s="143"/>
      <c r="H74" s="142"/>
      <c r="I74" s="144"/>
      <c r="J74" s="143"/>
      <c r="K74" s="142"/>
      <c r="L74" s="145"/>
      <c r="M74" s="143"/>
      <c r="N74" s="146"/>
      <c r="O74" s="145"/>
      <c r="P74" s="143"/>
      <c r="Q74" s="146"/>
      <c r="R74" s="145"/>
      <c r="S74" s="143"/>
      <c r="T74" s="146"/>
      <c r="U74" s="142"/>
      <c r="V74" s="143"/>
      <c r="W74" s="142"/>
      <c r="X74" s="142"/>
      <c r="Y74" s="142"/>
      <c r="Z74" s="142"/>
      <c r="AA74" s="147"/>
      <c r="AB74" s="147"/>
      <c r="AC74" s="147"/>
      <c r="AD74" s="2"/>
      <c r="AE74" s="2"/>
      <c r="AF74" s="2"/>
      <c r="AG74" s="2"/>
      <c r="AH74" s="2"/>
      <c r="AI74" s="2"/>
    </row>
    <row r="75" spans="1:35" ht="30" hidden="1" customHeight="1">
      <c r="A75" s="140"/>
      <c r="B75" s="319"/>
      <c r="C75" s="277"/>
      <c r="D75" s="141"/>
      <c r="E75" s="141"/>
      <c r="F75" s="142"/>
      <c r="G75" s="143"/>
      <c r="H75" s="142"/>
      <c r="I75" s="144"/>
      <c r="J75" s="143"/>
      <c r="K75" s="142"/>
      <c r="L75" s="145"/>
      <c r="M75" s="143"/>
      <c r="N75" s="146"/>
      <c r="O75" s="145"/>
      <c r="P75" s="143"/>
      <c r="Q75" s="146"/>
      <c r="R75" s="145"/>
      <c r="S75" s="143"/>
      <c r="T75" s="146"/>
      <c r="U75" s="142"/>
      <c r="V75" s="143"/>
      <c r="W75" s="142"/>
      <c r="X75" s="142"/>
      <c r="Y75" s="142"/>
      <c r="Z75" s="142"/>
      <c r="AA75" s="147"/>
      <c r="AB75" s="147"/>
      <c r="AC75" s="147"/>
      <c r="AD75" s="2"/>
      <c r="AE75" s="2"/>
      <c r="AF75" s="2"/>
      <c r="AG75" s="2"/>
      <c r="AH75" s="2"/>
      <c r="AI75" s="2"/>
    </row>
    <row r="76" spans="1:35" ht="30" hidden="1" customHeight="1">
      <c r="A76" s="140"/>
      <c r="B76" s="319"/>
      <c r="C76" s="277"/>
      <c r="D76" s="141"/>
      <c r="E76" s="141"/>
      <c r="F76" s="142"/>
      <c r="G76" s="143"/>
      <c r="H76" s="142"/>
      <c r="I76" s="144"/>
      <c r="J76" s="143"/>
      <c r="K76" s="142"/>
      <c r="L76" s="145"/>
      <c r="M76" s="143"/>
      <c r="N76" s="146"/>
      <c r="O76" s="145"/>
      <c r="P76" s="143"/>
      <c r="Q76" s="146"/>
      <c r="R76" s="145"/>
      <c r="S76" s="143"/>
      <c r="T76" s="146"/>
      <c r="U76" s="142"/>
      <c r="V76" s="143"/>
      <c r="W76" s="142"/>
      <c r="X76" s="142"/>
      <c r="Y76" s="142"/>
      <c r="Z76" s="142"/>
      <c r="AA76" s="147"/>
      <c r="AB76" s="147"/>
      <c r="AC76" s="147"/>
      <c r="AD76" s="2"/>
      <c r="AE76" s="2"/>
      <c r="AF76" s="2"/>
      <c r="AG76" s="2"/>
      <c r="AH76" s="2"/>
      <c r="AI76" s="2"/>
    </row>
    <row r="77" spans="1:35" ht="30" hidden="1" customHeight="1">
      <c r="A77" s="140"/>
      <c r="B77" s="319"/>
      <c r="C77" s="277"/>
      <c r="D77" s="141"/>
      <c r="E77" s="141"/>
      <c r="F77" s="142"/>
      <c r="G77" s="143"/>
      <c r="H77" s="142"/>
      <c r="I77" s="144"/>
      <c r="J77" s="143"/>
      <c r="K77" s="142"/>
      <c r="L77" s="145"/>
      <c r="M77" s="143"/>
      <c r="N77" s="146"/>
      <c r="O77" s="145"/>
      <c r="P77" s="143"/>
      <c r="Q77" s="146"/>
      <c r="R77" s="145"/>
      <c r="S77" s="143"/>
      <c r="T77" s="146"/>
      <c r="U77" s="142"/>
      <c r="V77" s="143"/>
      <c r="W77" s="142"/>
      <c r="X77" s="142"/>
      <c r="Y77" s="142"/>
      <c r="Z77" s="142"/>
      <c r="AA77" s="147"/>
      <c r="AB77" s="147"/>
      <c r="AC77" s="147"/>
      <c r="AD77" s="2"/>
      <c r="AE77" s="2"/>
      <c r="AF77" s="2"/>
      <c r="AG77" s="2"/>
      <c r="AH77" s="2"/>
      <c r="AI77" s="2"/>
    </row>
    <row r="78" spans="1:35" ht="30" hidden="1" customHeight="1">
      <c r="A78" s="140"/>
      <c r="B78" s="319"/>
      <c r="C78" s="277"/>
      <c r="D78" s="141"/>
      <c r="E78" s="141"/>
      <c r="F78" s="142"/>
      <c r="G78" s="143"/>
      <c r="H78" s="142"/>
      <c r="I78" s="144"/>
      <c r="J78" s="143"/>
      <c r="K78" s="142"/>
      <c r="L78" s="145"/>
      <c r="M78" s="143"/>
      <c r="N78" s="146"/>
      <c r="O78" s="145"/>
      <c r="P78" s="143"/>
      <c r="Q78" s="146"/>
      <c r="R78" s="145"/>
      <c r="S78" s="143"/>
      <c r="T78" s="146"/>
      <c r="U78" s="142"/>
      <c r="V78" s="143"/>
      <c r="W78" s="142"/>
      <c r="X78" s="142"/>
      <c r="Y78" s="142"/>
      <c r="Z78" s="142"/>
      <c r="AA78" s="147"/>
      <c r="AB78" s="147"/>
      <c r="AC78" s="147"/>
      <c r="AD78" s="2"/>
      <c r="AE78" s="2"/>
      <c r="AF78" s="2"/>
      <c r="AG78" s="2"/>
      <c r="AH78" s="2"/>
      <c r="AI78" s="2"/>
    </row>
    <row r="79" spans="1:35" ht="30" hidden="1" customHeight="1">
      <c r="A79" s="140"/>
      <c r="B79" s="319"/>
      <c r="C79" s="277"/>
      <c r="D79" s="141"/>
      <c r="E79" s="141"/>
      <c r="F79" s="142"/>
      <c r="G79" s="143"/>
      <c r="H79" s="142"/>
      <c r="I79" s="144"/>
      <c r="J79" s="143"/>
      <c r="K79" s="142"/>
      <c r="L79" s="145"/>
      <c r="M79" s="143"/>
      <c r="N79" s="146"/>
      <c r="O79" s="145"/>
      <c r="P79" s="143"/>
      <c r="Q79" s="146"/>
      <c r="R79" s="145"/>
      <c r="S79" s="143"/>
      <c r="T79" s="146"/>
      <c r="U79" s="142"/>
      <c r="V79" s="143"/>
      <c r="W79" s="142"/>
      <c r="X79" s="142"/>
      <c r="Y79" s="142"/>
      <c r="Z79" s="142"/>
      <c r="AA79" s="147"/>
      <c r="AB79" s="147"/>
      <c r="AC79" s="147"/>
      <c r="AD79" s="2"/>
      <c r="AE79" s="2"/>
      <c r="AF79" s="2"/>
      <c r="AG79" s="2"/>
      <c r="AH79" s="2"/>
      <c r="AI79" s="2"/>
    </row>
    <row r="80" spans="1:35" ht="30" hidden="1" customHeight="1">
      <c r="A80" s="140"/>
      <c r="B80" s="319"/>
      <c r="C80" s="277"/>
      <c r="D80" s="141"/>
      <c r="E80" s="141"/>
      <c r="F80" s="142"/>
      <c r="G80" s="143"/>
      <c r="H80" s="142"/>
      <c r="I80" s="144"/>
      <c r="J80" s="143"/>
      <c r="K80" s="142"/>
      <c r="L80" s="145"/>
      <c r="M80" s="143"/>
      <c r="N80" s="146"/>
      <c r="O80" s="145"/>
      <c r="P80" s="143"/>
      <c r="Q80" s="146"/>
      <c r="R80" s="145"/>
      <c r="S80" s="143"/>
      <c r="T80" s="146"/>
      <c r="U80" s="142"/>
      <c r="V80" s="143"/>
      <c r="W80" s="142"/>
      <c r="X80" s="142"/>
      <c r="Y80" s="142"/>
      <c r="Z80" s="142"/>
      <c r="AA80" s="147"/>
      <c r="AB80" s="147"/>
      <c r="AC80" s="147"/>
      <c r="AD80" s="2"/>
      <c r="AE80" s="2"/>
      <c r="AF80" s="2"/>
      <c r="AG80" s="2"/>
      <c r="AH80" s="2"/>
      <c r="AI80" s="2"/>
    </row>
    <row r="81" spans="1:35" ht="30" hidden="1" customHeight="1">
      <c r="A81" s="140"/>
      <c r="B81" s="319"/>
      <c r="C81" s="277"/>
      <c r="D81" s="141"/>
      <c r="E81" s="141"/>
      <c r="F81" s="142"/>
      <c r="G81" s="143"/>
      <c r="H81" s="142"/>
      <c r="I81" s="144"/>
      <c r="J81" s="143"/>
      <c r="K81" s="142"/>
      <c r="L81" s="145"/>
      <c r="M81" s="143"/>
      <c r="N81" s="146"/>
      <c r="O81" s="145"/>
      <c r="P81" s="143"/>
      <c r="Q81" s="146"/>
      <c r="R81" s="145"/>
      <c r="S81" s="143"/>
      <c r="T81" s="146"/>
      <c r="U81" s="142"/>
      <c r="V81" s="143"/>
      <c r="W81" s="142"/>
      <c r="X81" s="142"/>
      <c r="Y81" s="142"/>
      <c r="Z81" s="142"/>
      <c r="AA81" s="147"/>
      <c r="AB81" s="147"/>
      <c r="AC81" s="147"/>
      <c r="AD81" s="2"/>
      <c r="AE81" s="2"/>
      <c r="AF81" s="2"/>
      <c r="AG81" s="2"/>
      <c r="AH81" s="2"/>
      <c r="AI81" s="2"/>
    </row>
    <row r="82" spans="1:35" ht="30" hidden="1" customHeight="1">
      <c r="A82" s="140"/>
      <c r="B82" s="319"/>
      <c r="C82" s="277"/>
      <c r="D82" s="141"/>
      <c r="E82" s="141"/>
      <c r="F82" s="142"/>
      <c r="G82" s="143"/>
      <c r="H82" s="142"/>
      <c r="I82" s="144"/>
      <c r="J82" s="143"/>
      <c r="K82" s="142"/>
      <c r="L82" s="145"/>
      <c r="M82" s="143"/>
      <c r="N82" s="146"/>
      <c r="O82" s="145"/>
      <c r="P82" s="143"/>
      <c r="Q82" s="146"/>
      <c r="R82" s="145"/>
      <c r="S82" s="143"/>
      <c r="T82" s="146"/>
      <c r="U82" s="142"/>
      <c r="V82" s="143"/>
      <c r="W82" s="142"/>
      <c r="X82" s="142"/>
      <c r="Y82" s="142"/>
      <c r="Z82" s="142"/>
      <c r="AA82" s="147"/>
      <c r="AB82" s="147"/>
      <c r="AC82" s="147"/>
      <c r="AD82" s="2"/>
      <c r="AE82" s="2"/>
      <c r="AF82" s="2"/>
      <c r="AG82" s="2"/>
      <c r="AH82" s="2"/>
      <c r="AI82" s="2"/>
    </row>
    <row r="83" spans="1:35" ht="30" hidden="1" customHeight="1">
      <c r="A83" s="140"/>
      <c r="B83" s="319"/>
      <c r="C83" s="277"/>
      <c r="D83" s="141"/>
      <c r="E83" s="141"/>
      <c r="F83" s="142"/>
      <c r="G83" s="143"/>
      <c r="H83" s="142"/>
      <c r="I83" s="144"/>
      <c r="J83" s="143"/>
      <c r="K83" s="142"/>
      <c r="L83" s="145"/>
      <c r="M83" s="143"/>
      <c r="N83" s="146"/>
      <c r="O83" s="145"/>
      <c r="P83" s="143"/>
      <c r="Q83" s="146"/>
      <c r="R83" s="145"/>
      <c r="S83" s="143"/>
      <c r="T83" s="146"/>
      <c r="U83" s="142"/>
      <c r="V83" s="143"/>
      <c r="W83" s="142"/>
      <c r="X83" s="142"/>
      <c r="Y83" s="142"/>
      <c r="Z83" s="142"/>
      <c r="AA83" s="147"/>
      <c r="AB83" s="147"/>
      <c r="AC83" s="147"/>
      <c r="AD83" s="2"/>
      <c r="AE83" s="2"/>
      <c r="AF83" s="2"/>
      <c r="AG83" s="2"/>
      <c r="AH83" s="2"/>
      <c r="AI83" s="2"/>
    </row>
    <row r="84" spans="1:35" ht="30" hidden="1" customHeight="1">
      <c r="A84" s="140"/>
      <c r="B84" s="319"/>
      <c r="C84" s="277"/>
      <c r="D84" s="141"/>
      <c r="E84" s="141"/>
      <c r="F84" s="142"/>
      <c r="G84" s="143"/>
      <c r="H84" s="142"/>
      <c r="I84" s="144"/>
      <c r="J84" s="143"/>
      <c r="K84" s="142"/>
      <c r="L84" s="145"/>
      <c r="M84" s="143"/>
      <c r="N84" s="146"/>
      <c r="O84" s="145"/>
      <c r="P84" s="143"/>
      <c r="Q84" s="146"/>
      <c r="R84" s="145"/>
      <c r="S84" s="143"/>
      <c r="T84" s="146"/>
      <c r="U84" s="142"/>
      <c r="V84" s="143"/>
      <c r="W84" s="142"/>
      <c r="X84" s="142"/>
      <c r="Y84" s="142"/>
      <c r="Z84" s="142"/>
      <c r="AA84" s="147"/>
      <c r="AB84" s="147"/>
      <c r="AC84" s="147"/>
      <c r="AD84" s="2"/>
      <c r="AE84" s="2"/>
      <c r="AF84" s="2"/>
      <c r="AG84" s="2"/>
      <c r="AH84" s="2"/>
      <c r="AI84" s="2"/>
    </row>
    <row r="85" spans="1:35" ht="30" hidden="1" customHeight="1">
      <c r="A85" s="140"/>
      <c r="B85" s="319"/>
      <c r="C85" s="277"/>
      <c r="D85" s="141"/>
      <c r="E85" s="141"/>
      <c r="F85" s="142"/>
      <c r="G85" s="143"/>
      <c r="H85" s="142"/>
      <c r="I85" s="144"/>
      <c r="J85" s="143"/>
      <c r="K85" s="142"/>
      <c r="L85" s="145"/>
      <c r="M85" s="143"/>
      <c r="N85" s="146"/>
      <c r="O85" s="145"/>
      <c r="P85" s="143"/>
      <c r="Q85" s="146"/>
      <c r="R85" s="145"/>
      <c r="S85" s="143"/>
      <c r="T85" s="146"/>
      <c r="U85" s="142"/>
      <c r="V85" s="143"/>
      <c r="W85" s="142"/>
      <c r="X85" s="142"/>
      <c r="Y85" s="142"/>
      <c r="Z85" s="142"/>
      <c r="AA85" s="147"/>
      <c r="AB85" s="147"/>
      <c r="AC85" s="147"/>
      <c r="AD85" s="2"/>
      <c r="AE85" s="2"/>
      <c r="AF85" s="2"/>
      <c r="AG85" s="2"/>
      <c r="AH85" s="2"/>
      <c r="AI85" s="2"/>
    </row>
    <row r="86" spans="1:35" ht="30" hidden="1" customHeight="1">
      <c r="A86" s="140"/>
      <c r="B86" s="319"/>
      <c r="C86" s="277"/>
      <c r="D86" s="141"/>
      <c r="E86" s="141"/>
      <c r="F86" s="142"/>
      <c r="G86" s="143"/>
      <c r="H86" s="142"/>
      <c r="I86" s="144"/>
      <c r="J86" s="143"/>
      <c r="K86" s="142"/>
      <c r="L86" s="145"/>
      <c r="M86" s="143"/>
      <c r="N86" s="146"/>
      <c r="O86" s="145"/>
      <c r="P86" s="143"/>
      <c r="Q86" s="146"/>
      <c r="R86" s="145"/>
      <c r="S86" s="143"/>
      <c r="T86" s="146"/>
      <c r="U86" s="142"/>
      <c r="V86" s="143"/>
      <c r="W86" s="142"/>
      <c r="X86" s="142"/>
      <c r="Y86" s="142"/>
      <c r="Z86" s="142"/>
      <c r="AA86" s="147"/>
      <c r="AB86" s="147"/>
      <c r="AC86" s="147"/>
      <c r="AD86" s="2"/>
      <c r="AE86" s="2"/>
      <c r="AF86" s="2"/>
      <c r="AG86" s="2"/>
      <c r="AH86" s="2"/>
      <c r="AI86" s="2"/>
    </row>
    <row r="87" spans="1:35" ht="30" hidden="1" customHeight="1">
      <c r="A87" s="140"/>
      <c r="B87" s="319"/>
      <c r="C87" s="277"/>
      <c r="D87" s="141"/>
      <c r="E87" s="141"/>
      <c r="F87" s="142"/>
      <c r="G87" s="143"/>
      <c r="H87" s="142"/>
      <c r="I87" s="144"/>
      <c r="J87" s="143"/>
      <c r="K87" s="142"/>
      <c r="L87" s="145"/>
      <c r="M87" s="143"/>
      <c r="N87" s="146"/>
      <c r="O87" s="145"/>
      <c r="P87" s="143"/>
      <c r="Q87" s="146"/>
      <c r="R87" s="145"/>
      <c r="S87" s="143"/>
      <c r="T87" s="146"/>
      <c r="U87" s="142"/>
      <c r="V87" s="143"/>
      <c r="W87" s="142"/>
      <c r="X87" s="142"/>
      <c r="Y87" s="142"/>
      <c r="Z87" s="142"/>
      <c r="AA87" s="147"/>
      <c r="AB87" s="147"/>
      <c r="AC87" s="147"/>
      <c r="AD87" s="2"/>
      <c r="AE87" s="2"/>
      <c r="AF87" s="2"/>
      <c r="AG87" s="2"/>
      <c r="AH87" s="2"/>
      <c r="AI87" s="2"/>
    </row>
    <row r="88" spans="1:35" ht="30" hidden="1" customHeight="1">
      <c r="A88" s="140"/>
      <c r="B88" s="319"/>
      <c r="C88" s="277"/>
      <c r="D88" s="141"/>
      <c r="E88" s="141"/>
      <c r="F88" s="142"/>
      <c r="G88" s="143"/>
      <c r="H88" s="142"/>
      <c r="I88" s="144"/>
      <c r="J88" s="143"/>
      <c r="K88" s="142"/>
      <c r="L88" s="145"/>
      <c r="M88" s="143"/>
      <c r="N88" s="146"/>
      <c r="O88" s="145"/>
      <c r="P88" s="143"/>
      <c r="Q88" s="146"/>
      <c r="R88" s="145"/>
      <c r="S88" s="143"/>
      <c r="T88" s="146"/>
      <c r="U88" s="142"/>
      <c r="V88" s="143"/>
      <c r="W88" s="142"/>
      <c r="X88" s="142"/>
      <c r="Y88" s="142"/>
      <c r="Z88" s="142"/>
      <c r="AA88" s="147"/>
      <c r="AB88" s="147"/>
      <c r="AC88" s="147"/>
      <c r="AD88" s="2"/>
      <c r="AE88" s="2"/>
      <c r="AF88" s="2"/>
      <c r="AG88" s="2"/>
      <c r="AH88" s="2"/>
      <c r="AI88" s="2"/>
    </row>
    <row r="89" spans="1:35" ht="30" hidden="1" customHeight="1">
      <c r="A89" s="140"/>
      <c r="B89" s="319"/>
      <c r="C89" s="277"/>
      <c r="D89" s="141"/>
      <c r="E89" s="141"/>
      <c r="F89" s="142"/>
      <c r="G89" s="143"/>
      <c r="H89" s="142"/>
      <c r="I89" s="144"/>
      <c r="J89" s="143"/>
      <c r="K89" s="142"/>
      <c r="L89" s="145"/>
      <c r="M89" s="143"/>
      <c r="N89" s="146"/>
      <c r="O89" s="145"/>
      <c r="P89" s="143"/>
      <c r="Q89" s="146"/>
      <c r="R89" s="145"/>
      <c r="S89" s="143"/>
      <c r="T89" s="146"/>
      <c r="U89" s="142"/>
      <c r="V89" s="143"/>
      <c r="W89" s="142"/>
      <c r="X89" s="142"/>
      <c r="Y89" s="142"/>
      <c r="Z89" s="142"/>
      <c r="AA89" s="147"/>
      <c r="AB89" s="147"/>
      <c r="AC89" s="147"/>
      <c r="AD89" s="2"/>
      <c r="AE89" s="2"/>
      <c r="AF89" s="2"/>
      <c r="AG89" s="2"/>
      <c r="AH89" s="2"/>
      <c r="AI89" s="2"/>
    </row>
    <row r="90" spans="1:35" ht="30" hidden="1" customHeight="1">
      <c r="A90" s="140"/>
      <c r="B90" s="319"/>
      <c r="C90" s="277"/>
      <c r="D90" s="141"/>
      <c r="E90" s="141"/>
      <c r="F90" s="142"/>
      <c r="G90" s="143"/>
      <c r="H90" s="142"/>
      <c r="I90" s="144"/>
      <c r="J90" s="143"/>
      <c r="K90" s="142"/>
      <c r="L90" s="145"/>
      <c r="M90" s="143"/>
      <c r="N90" s="146"/>
      <c r="O90" s="145"/>
      <c r="P90" s="143"/>
      <c r="Q90" s="146"/>
      <c r="R90" s="145"/>
      <c r="S90" s="143"/>
      <c r="T90" s="146"/>
      <c r="U90" s="142"/>
      <c r="V90" s="143"/>
      <c r="W90" s="142"/>
      <c r="X90" s="142"/>
      <c r="Y90" s="142"/>
      <c r="Z90" s="142"/>
      <c r="AA90" s="147"/>
      <c r="AB90" s="147"/>
      <c r="AC90" s="147"/>
      <c r="AD90" s="2"/>
      <c r="AE90" s="2"/>
      <c r="AF90" s="2"/>
      <c r="AG90" s="2"/>
      <c r="AH90" s="2"/>
      <c r="AI90" s="2"/>
    </row>
    <row r="91" spans="1:35" ht="30" hidden="1" customHeight="1">
      <c r="A91" s="140"/>
      <c r="B91" s="319"/>
      <c r="C91" s="277"/>
      <c r="D91" s="141"/>
      <c r="E91" s="141"/>
      <c r="F91" s="142"/>
      <c r="G91" s="143"/>
      <c r="H91" s="142"/>
      <c r="I91" s="144"/>
      <c r="J91" s="143"/>
      <c r="K91" s="142"/>
      <c r="L91" s="145"/>
      <c r="M91" s="143"/>
      <c r="N91" s="146"/>
      <c r="O91" s="145"/>
      <c r="P91" s="143"/>
      <c r="Q91" s="146"/>
      <c r="R91" s="145"/>
      <c r="S91" s="143"/>
      <c r="T91" s="146"/>
      <c r="U91" s="142"/>
      <c r="V91" s="143"/>
      <c r="W91" s="142"/>
      <c r="X91" s="142"/>
      <c r="Y91" s="142"/>
      <c r="Z91" s="142"/>
      <c r="AA91" s="147"/>
      <c r="AB91" s="147"/>
      <c r="AC91" s="147"/>
      <c r="AD91" s="2"/>
      <c r="AE91" s="2"/>
      <c r="AF91" s="2"/>
      <c r="AG91" s="2"/>
      <c r="AH91" s="2"/>
      <c r="AI91" s="2"/>
    </row>
    <row r="92" spans="1:35" ht="30" hidden="1" customHeight="1">
      <c r="A92" s="140"/>
      <c r="B92" s="319"/>
      <c r="C92" s="277"/>
      <c r="D92" s="141"/>
      <c r="E92" s="141"/>
      <c r="F92" s="142"/>
      <c r="G92" s="143"/>
      <c r="H92" s="142"/>
      <c r="I92" s="144"/>
      <c r="J92" s="143"/>
      <c r="K92" s="142"/>
      <c r="L92" s="145"/>
      <c r="M92" s="143"/>
      <c r="N92" s="146"/>
      <c r="O92" s="145"/>
      <c r="P92" s="143"/>
      <c r="Q92" s="146"/>
      <c r="R92" s="145"/>
      <c r="S92" s="143"/>
      <c r="T92" s="146"/>
      <c r="U92" s="142"/>
      <c r="V92" s="143"/>
      <c r="W92" s="142"/>
      <c r="X92" s="142"/>
      <c r="Y92" s="142"/>
      <c r="Z92" s="142"/>
      <c r="AA92" s="147"/>
      <c r="AB92" s="147"/>
      <c r="AC92" s="147"/>
      <c r="AD92" s="2"/>
      <c r="AE92" s="2"/>
      <c r="AF92" s="2"/>
      <c r="AG92" s="2"/>
      <c r="AH92" s="2"/>
      <c r="AI92" s="2"/>
    </row>
    <row r="93" spans="1:35" ht="30" hidden="1" customHeight="1">
      <c r="A93" s="140"/>
      <c r="B93" s="319"/>
      <c r="C93" s="277"/>
      <c r="D93" s="141"/>
      <c r="E93" s="141"/>
      <c r="F93" s="142"/>
      <c r="G93" s="143"/>
      <c r="H93" s="142"/>
      <c r="I93" s="144"/>
      <c r="J93" s="143"/>
      <c r="K93" s="142"/>
      <c r="L93" s="145"/>
      <c r="M93" s="143"/>
      <c r="N93" s="146"/>
      <c r="O93" s="145"/>
      <c r="P93" s="143"/>
      <c r="Q93" s="146"/>
      <c r="R93" s="145"/>
      <c r="S93" s="143"/>
      <c r="T93" s="146"/>
      <c r="U93" s="142"/>
      <c r="V93" s="143"/>
      <c r="W93" s="142"/>
      <c r="X93" s="142"/>
      <c r="Y93" s="142"/>
      <c r="Z93" s="142"/>
      <c r="AA93" s="147"/>
      <c r="AB93" s="147"/>
      <c r="AC93" s="147"/>
      <c r="AD93" s="2"/>
      <c r="AE93" s="2"/>
      <c r="AF93" s="2"/>
      <c r="AG93" s="2"/>
      <c r="AH93" s="2"/>
      <c r="AI93" s="2"/>
    </row>
    <row r="94" spans="1:35" ht="30" hidden="1" customHeight="1">
      <c r="A94" s="140"/>
      <c r="B94" s="319"/>
      <c r="C94" s="277"/>
      <c r="D94" s="141"/>
      <c r="E94" s="141"/>
      <c r="F94" s="142"/>
      <c r="G94" s="143"/>
      <c r="H94" s="142"/>
      <c r="I94" s="144"/>
      <c r="J94" s="143"/>
      <c r="K94" s="142"/>
      <c r="L94" s="145"/>
      <c r="M94" s="143"/>
      <c r="N94" s="146"/>
      <c r="O94" s="145"/>
      <c r="P94" s="143"/>
      <c r="Q94" s="146"/>
      <c r="R94" s="145"/>
      <c r="S94" s="143"/>
      <c r="T94" s="146"/>
      <c r="U94" s="142"/>
      <c r="V94" s="143"/>
      <c r="W94" s="142"/>
      <c r="X94" s="142"/>
      <c r="Y94" s="142"/>
      <c r="Z94" s="142"/>
      <c r="AA94" s="147"/>
      <c r="AB94" s="147"/>
      <c r="AC94" s="147"/>
      <c r="AD94" s="2"/>
      <c r="AE94" s="2"/>
      <c r="AF94" s="2"/>
      <c r="AG94" s="2"/>
      <c r="AH94" s="2"/>
      <c r="AI94" s="2"/>
    </row>
    <row r="95" spans="1:35" ht="30" hidden="1" customHeight="1">
      <c r="A95" s="140"/>
      <c r="B95" s="319"/>
      <c r="C95" s="277"/>
      <c r="D95" s="141"/>
      <c r="E95" s="141"/>
      <c r="F95" s="142"/>
      <c r="G95" s="143"/>
      <c r="H95" s="142"/>
      <c r="I95" s="144"/>
      <c r="J95" s="143"/>
      <c r="K95" s="142"/>
      <c r="L95" s="145"/>
      <c r="M95" s="143"/>
      <c r="N95" s="146"/>
      <c r="O95" s="145"/>
      <c r="P95" s="143"/>
      <c r="Q95" s="146"/>
      <c r="R95" s="145"/>
      <c r="S95" s="143"/>
      <c r="T95" s="146"/>
      <c r="U95" s="142"/>
      <c r="V95" s="143"/>
      <c r="W95" s="142"/>
      <c r="X95" s="142"/>
      <c r="Y95" s="142"/>
      <c r="Z95" s="142"/>
      <c r="AA95" s="147"/>
      <c r="AB95" s="147"/>
      <c r="AC95" s="147"/>
      <c r="AD95" s="2"/>
      <c r="AE95" s="2"/>
      <c r="AF95" s="2"/>
      <c r="AG95" s="2"/>
      <c r="AH95" s="2"/>
      <c r="AI95" s="2"/>
    </row>
    <row r="96" spans="1:35" ht="30" hidden="1" customHeight="1">
      <c r="A96" s="140"/>
      <c r="B96" s="319"/>
      <c r="C96" s="277"/>
      <c r="D96" s="141"/>
      <c r="E96" s="141"/>
      <c r="F96" s="142"/>
      <c r="G96" s="143"/>
      <c r="H96" s="142"/>
      <c r="I96" s="144"/>
      <c r="J96" s="143"/>
      <c r="K96" s="142"/>
      <c r="L96" s="145"/>
      <c r="M96" s="143"/>
      <c r="N96" s="146"/>
      <c r="O96" s="145"/>
      <c r="P96" s="143"/>
      <c r="Q96" s="146"/>
      <c r="R96" s="145"/>
      <c r="S96" s="143"/>
      <c r="T96" s="146"/>
      <c r="U96" s="142"/>
      <c r="V96" s="143"/>
      <c r="W96" s="142"/>
      <c r="X96" s="142"/>
      <c r="Y96" s="142"/>
      <c r="Z96" s="142"/>
      <c r="AA96" s="147"/>
      <c r="AB96" s="147"/>
      <c r="AC96" s="147"/>
      <c r="AD96" s="2"/>
      <c r="AE96" s="2"/>
      <c r="AF96" s="2"/>
      <c r="AG96" s="2"/>
      <c r="AH96" s="2"/>
      <c r="AI96" s="2"/>
    </row>
    <row r="97" spans="1:35" ht="30" hidden="1" customHeight="1">
      <c r="A97" s="140"/>
      <c r="B97" s="319"/>
      <c r="C97" s="277"/>
      <c r="D97" s="141"/>
      <c r="E97" s="141"/>
      <c r="F97" s="142"/>
      <c r="G97" s="143"/>
      <c r="H97" s="142"/>
      <c r="I97" s="144"/>
      <c r="J97" s="143"/>
      <c r="K97" s="142"/>
      <c r="L97" s="145"/>
      <c r="M97" s="143"/>
      <c r="N97" s="146"/>
      <c r="O97" s="145"/>
      <c r="P97" s="143"/>
      <c r="Q97" s="146"/>
      <c r="R97" s="145"/>
      <c r="S97" s="143"/>
      <c r="T97" s="146"/>
      <c r="U97" s="142"/>
      <c r="V97" s="143"/>
      <c r="W97" s="142"/>
      <c r="X97" s="142"/>
      <c r="Y97" s="142"/>
      <c r="Z97" s="142"/>
      <c r="AA97" s="147"/>
      <c r="AB97" s="147"/>
      <c r="AC97" s="147"/>
      <c r="AD97" s="2"/>
      <c r="AE97" s="2"/>
      <c r="AF97" s="2"/>
      <c r="AG97" s="2"/>
      <c r="AH97" s="2"/>
      <c r="AI97" s="2"/>
    </row>
    <row r="98" spans="1:35" ht="30" hidden="1" customHeight="1">
      <c r="A98" s="140"/>
      <c r="B98" s="319"/>
      <c r="C98" s="277"/>
      <c r="D98" s="141"/>
      <c r="E98" s="141"/>
      <c r="F98" s="142"/>
      <c r="G98" s="143"/>
      <c r="H98" s="142"/>
      <c r="I98" s="144"/>
      <c r="J98" s="143"/>
      <c r="K98" s="142"/>
      <c r="L98" s="145"/>
      <c r="M98" s="143"/>
      <c r="N98" s="146"/>
      <c r="O98" s="145"/>
      <c r="P98" s="143"/>
      <c r="Q98" s="146"/>
      <c r="R98" s="145"/>
      <c r="S98" s="143"/>
      <c r="T98" s="146"/>
      <c r="U98" s="142"/>
      <c r="V98" s="143"/>
      <c r="W98" s="142"/>
      <c r="X98" s="142"/>
      <c r="Y98" s="142"/>
      <c r="Z98" s="142"/>
      <c r="AA98" s="147"/>
      <c r="AB98" s="147"/>
      <c r="AC98" s="147"/>
      <c r="AD98" s="2"/>
      <c r="AE98" s="2"/>
      <c r="AF98" s="2"/>
      <c r="AG98" s="2"/>
      <c r="AH98" s="2"/>
      <c r="AI98" s="2"/>
    </row>
    <row r="99" spans="1:35" ht="30" hidden="1" customHeight="1">
      <c r="A99" s="140"/>
      <c r="B99" s="319"/>
      <c r="C99" s="277"/>
      <c r="D99" s="141"/>
      <c r="E99" s="141"/>
      <c r="F99" s="142"/>
      <c r="G99" s="143"/>
      <c r="H99" s="142"/>
      <c r="I99" s="144"/>
      <c r="J99" s="143"/>
      <c r="K99" s="142"/>
      <c r="L99" s="145"/>
      <c r="M99" s="143"/>
      <c r="N99" s="146"/>
      <c r="O99" s="145"/>
      <c r="P99" s="143"/>
      <c r="Q99" s="146"/>
      <c r="R99" s="145"/>
      <c r="S99" s="143"/>
      <c r="T99" s="146"/>
      <c r="U99" s="142"/>
      <c r="V99" s="143"/>
      <c r="W99" s="142"/>
      <c r="X99" s="142"/>
      <c r="Y99" s="142"/>
      <c r="Z99" s="142"/>
      <c r="AA99" s="147"/>
      <c r="AB99" s="147"/>
      <c r="AC99" s="147"/>
      <c r="AD99" s="2"/>
      <c r="AE99" s="2"/>
      <c r="AF99" s="2"/>
      <c r="AG99" s="2"/>
      <c r="AH99" s="2"/>
      <c r="AI99" s="2"/>
    </row>
    <row r="100" spans="1:35" ht="30" hidden="1" customHeight="1">
      <c r="A100" s="140"/>
      <c r="B100" s="319"/>
      <c r="C100" s="277"/>
      <c r="D100" s="141"/>
      <c r="E100" s="141"/>
      <c r="F100" s="142"/>
      <c r="G100" s="143"/>
      <c r="H100" s="142"/>
      <c r="I100" s="144"/>
      <c r="J100" s="143"/>
      <c r="K100" s="142"/>
      <c r="L100" s="145"/>
      <c r="M100" s="143"/>
      <c r="N100" s="146"/>
      <c r="O100" s="145"/>
      <c r="P100" s="143"/>
      <c r="Q100" s="146"/>
      <c r="R100" s="145"/>
      <c r="S100" s="143"/>
      <c r="T100" s="146"/>
      <c r="U100" s="142"/>
      <c r="V100" s="143"/>
      <c r="W100" s="142"/>
      <c r="X100" s="142"/>
      <c r="Y100" s="142"/>
      <c r="Z100" s="142"/>
      <c r="AA100" s="147"/>
      <c r="AB100" s="147"/>
      <c r="AC100" s="147"/>
      <c r="AD100" s="2"/>
      <c r="AE100" s="2"/>
      <c r="AF100" s="2"/>
      <c r="AG100" s="2"/>
      <c r="AH100" s="2"/>
      <c r="AI100" s="2"/>
    </row>
    <row r="101" spans="1:35" ht="30" hidden="1" customHeight="1">
      <c r="A101" s="140"/>
      <c r="B101" s="319"/>
      <c r="C101" s="277"/>
      <c r="D101" s="141"/>
      <c r="E101" s="141"/>
      <c r="F101" s="142"/>
      <c r="G101" s="143"/>
      <c r="H101" s="142"/>
      <c r="I101" s="144"/>
      <c r="J101" s="143"/>
      <c r="K101" s="142"/>
      <c r="L101" s="145"/>
      <c r="M101" s="143"/>
      <c r="N101" s="146"/>
      <c r="O101" s="145"/>
      <c r="P101" s="143"/>
      <c r="Q101" s="146"/>
      <c r="R101" s="145"/>
      <c r="S101" s="143"/>
      <c r="T101" s="146"/>
      <c r="U101" s="142"/>
      <c r="V101" s="143"/>
      <c r="W101" s="142"/>
      <c r="X101" s="142"/>
      <c r="Y101" s="142"/>
      <c r="Z101" s="142"/>
      <c r="AA101" s="147"/>
      <c r="AB101" s="147"/>
      <c r="AC101" s="147"/>
      <c r="AD101" s="2"/>
      <c r="AE101" s="2"/>
      <c r="AF101" s="2"/>
      <c r="AG101" s="2"/>
      <c r="AH101" s="2"/>
      <c r="AI101" s="2"/>
    </row>
    <row r="102" spans="1:35" ht="30" hidden="1" customHeight="1">
      <c r="A102" s="140"/>
      <c r="B102" s="319"/>
      <c r="C102" s="277"/>
      <c r="D102" s="141"/>
      <c r="E102" s="141"/>
      <c r="F102" s="142"/>
      <c r="G102" s="143"/>
      <c r="H102" s="142"/>
      <c r="I102" s="144"/>
      <c r="J102" s="143"/>
      <c r="K102" s="142"/>
      <c r="L102" s="145"/>
      <c r="M102" s="143"/>
      <c r="N102" s="146"/>
      <c r="O102" s="145"/>
      <c r="P102" s="143"/>
      <c r="Q102" s="146"/>
      <c r="R102" s="145"/>
      <c r="S102" s="143"/>
      <c r="T102" s="146"/>
      <c r="U102" s="142"/>
      <c r="V102" s="143"/>
      <c r="W102" s="142"/>
      <c r="X102" s="142"/>
      <c r="Y102" s="142"/>
      <c r="Z102" s="142"/>
      <c r="AA102" s="147"/>
      <c r="AB102" s="147"/>
      <c r="AC102" s="147"/>
      <c r="AD102" s="2"/>
      <c r="AE102" s="2"/>
      <c r="AF102" s="2"/>
      <c r="AG102" s="2"/>
      <c r="AH102" s="2"/>
      <c r="AI102" s="2"/>
    </row>
    <row r="103" spans="1:35" ht="30" hidden="1" customHeight="1">
      <c r="A103" s="140"/>
      <c r="B103" s="319"/>
      <c r="C103" s="277"/>
      <c r="D103" s="141"/>
      <c r="E103" s="141"/>
      <c r="F103" s="142"/>
      <c r="G103" s="143"/>
      <c r="H103" s="142"/>
      <c r="I103" s="144"/>
      <c r="J103" s="143"/>
      <c r="K103" s="142"/>
      <c r="L103" s="145"/>
      <c r="M103" s="143"/>
      <c r="N103" s="146"/>
      <c r="O103" s="145"/>
      <c r="P103" s="143"/>
      <c r="Q103" s="146"/>
      <c r="R103" s="145"/>
      <c r="S103" s="143"/>
      <c r="T103" s="146"/>
      <c r="U103" s="142"/>
      <c r="V103" s="143"/>
      <c r="W103" s="142"/>
      <c r="X103" s="142"/>
      <c r="Y103" s="142"/>
      <c r="Z103" s="142"/>
      <c r="AA103" s="147"/>
      <c r="AB103" s="147"/>
      <c r="AC103" s="147"/>
      <c r="AD103" s="2"/>
      <c r="AE103" s="2"/>
      <c r="AF103" s="2"/>
      <c r="AG103" s="2"/>
      <c r="AH103" s="2"/>
      <c r="AI103" s="2"/>
    </row>
    <row r="104" spans="1:35" ht="30" hidden="1" customHeight="1">
      <c r="A104" s="140"/>
      <c r="B104" s="319"/>
      <c r="C104" s="277"/>
      <c r="D104" s="141"/>
      <c r="E104" s="141"/>
      <c r="F104" s="142"/>
      <c r="G104" s="143"/>
      <c r="H104" s="142"/>
      <c r="I104" s="144"/>
      <c r="J104" s="143"/>
      <c r="K104" s="142"/>
      <c r="L104" s="145"/>
      <c r="M104" s="143"/>
      <c r="N104" s="146"/>
      <c r="O104" s="145"/>
      <c r="P104" s="143"/>
      <c r="Q104" s="146"/>
      <c r="R104" s="145"/>
      <c r="S104" s="143"/>
      <c r="T104" s="146"/>
      <c r="U104" s="142"/>
      <c r="V104" s="143"/>
      <c r="W104" s="142"/>
      <c r="X104" s="142"/>
      <c r="Y104" s="142"/>
      <c r="Z104" s="142"/>
      <c r="AA104" s="147"/>
      <c r="AB104" s="147"/>
      <c r="AC104" s="147"/>
      <c r="AD104" s="2"/>
      <c r="AE104" s="2"/>
      <c r="AF104" s="2"/>
      <c r="AG104" s="2"/>
      <c r="AH104" s="2"/>
      <c r="AI104" s="2"/>
    </row>
    <row r="105" spans="1:35" ht="30" hidden="1" customHeight="1">
      <c r="A105" s="140"/>
      <c r="B105" s="319"/>
      <c r="C105" s="277"/>
      <c r="D105" s="141"/>
      <c r="E105" s="141"/>
      <c r="F105" s="142"/>
      <c r="G105" s="143"/>
      <c r="H105" s="142"/>
      <c r="I105" s="144"/>
      <c r="J105" s="143"/>
      <c r="K105" s="142"/>
      <c r="L105" s="145"/>
      <c r="M105" s="143"/>
      <c r="N105" s="146"/>
      <c r="O105" s="145"/>
      <c r="P105" s="143"/>
      <c r="Q105" s="146"/>
      <c r="R105" s="145"/>
      <c r="S105" s="143"/>
      <c r="T105" s="146"/>
      <c r="U105" s="142"/>
      <c r="V105" s="143"/>
      <c r="W105" s="142"/>
      <c r="X105" s="142"/>
      <c r="Y105" s="142"/>
      <c r="Z105" s="142"/>
      <c r="AA105" s="147"/>
      <c r="AB105" s="147"/>
      <c r="AC105" s="147"/>
      <c r="AD105" s="2"/>
      <c r="AE105" s="2"/>
      <c r="AF105" s="2"/>
      <c r="AG105" s="2"/>
      <c r="AH105" s="2"/>
      <c r="AI105" s="2"/>
    </row>
    <row r="106" spans="1:35" ht="30" hidden="1" customHeight="1">
      <c r="A106" s="140"/>
      <c r="B106" s="319"/>
      <c r="C106" s="277"/>
      <c r="D106" s="141"/>
      <c r="E106" s="141"/>
      <c r="F106" s="142"/>
      <c r="G106" s="143"/>
      <c r="H106" s="142"/>
      <c r="I106" s="144"/>
      <c r="J106" s="143"/>
      <c r="K106" s="142"/>
      <c r="L106" s="145"/>
      <c r="M106" s="143"/>
      <c r="N106" s="146"/>
      <c r="O106" s="145"/>
      <c r="P106" s="143"/>
      <c r="Q106" s="146"/>
      <c r="R106" s="145"/>
      <c r="S106" s="143"/>
      <c r="T106" s="146"/>
      <c r="U106" s="142"/>
      <c r="V106" s="143"/>
      <c r="W106" s="142"/>
      <c r="X106" s="142"/>
      <c r="Y106" s="142"/>
      <c r="Z106" s="142"/>
      <c r="AA106" s="147"/>
      <c r="AB106" s="147"/>
      <c r="AC106" s="147"/>
      <c r="AD106" s="2"/>
      <c r="AE106" s="2"/>
      <c r="AF106" s="2"/>
      <c r="AG106" s="2"/>
      <c r="AH106" s="2"/>
      <c r="AI106" s="2"/>
    </row>
    <row r="107" spans="1:35" ht="30" hidden="1" customHeight="1">
      <c r="A107" s="140"/>
      <c r="B107" s="319"/>
      <c r="C107" s="277"/>
      <c r="D107" s="141"/>
      <c r="E107" s="141"/>
      <c r="F107" s="142"/>
      <c r="G107" s="143"/>
      <c r="H107" s="142"/>
      <c r="I107" s="144"/>
      <c r="J107" s="143"/>
      <c r="K107" s="142"/>
      <c r="L107" s="145"/>
      <c r="M107" s="143"/>
      <c r="N107" s="146"/>
      <c r="O107" s="145"/>
      <c r="P107" s="143"/>
      <c r="Q107" s="146"/>
      <c r="R107" s="145"/>
      <c r="S107" s="143"/>
      <c r="T107" s="146"/>
      <c r="U107" s="142"/>
      <c r="V107" s="143"/>
      <c r="W107" s="142"/>
      <c r="X107" s="142"/>
      <c r="Y107" s="142"/>
      <c r="Z107" s="142"/>
      <c r="AA107" s="147"/>
      <c r="AB107" s="147"/>
      <c r="AC107" s="147"/>
      <c r="AD107" s="2"/>
      <c r="AE107" s="2"/>
      <c r="AF107" s="2"/>
      <c r="AG107" s="2"/>
      <c r="AH107" s="2"/>
      <c r="AI107" s="2"/>
    </row>
    <row r="108" spans="1:35" ht="30" hidden="1" customHeight="1">
      <c r="A108" s="140"/>
      <c r="B108" s="319"/>
      <c r="C108" s="277"/>
      <c r="D108" s="141"/>
      <c r="E108" s="141"/>
      <c r="F108" s="142"/>
      <c r="G108" s="143"/>
      <c r="H108" s="142"/>
      <c r="I108" s="144"/>
      <c r="J108" s="143"/>
      <c r="K108" s="142"/>
      <c r="L108" s="145"/>
      <c r="M108" s="143"/>
      <c r="N108" s="146"/>
      <c r="O108" s="145"/>
      <c r="P108" s="143"/>
      <c r="Q108" s="146"/>
      <c r="R108" s="145"/>
      <c r="S108" s="143"/>
      <c r="T108" s="146"/>
      <c r="U108" s="142"/>
      <c r="V108" s="143"/>
      <c r="W108" s="142"/>
      <c r="X108" s="142"/>
      <c r="Y108" s="142"/>
      <c r="Z108" s="142"/>
      <c r="AA108" s="147"/>
      <c r="AB108" s="147"/>
      <c r="AC108" s="147"/>
      <c r="AD108" s="2"/>
      <c r="AE108" s="2"/>
      <c r="AF108" s="2"/>
      <c r="AG108" s="2"/>
      <c r="AH108" s="2"/>
      <c r="AI108" s="2"/>
    </row>
    <row r="109" spans="1:35" ht="30" hidden="1" customHeight="1">
      <c r="A109" s="140"/>
      <c r="B109" s="319"/>
      <c r="C109" s="277"/>
      <c r="D109" s="141"/>
      <c r="E109" s="141"/>
      <c r="F109" s="142"/>
      <c r="G109" s="143"/>
      <c r="H109" s="142"/>
      <c r="I109" s="144"/>
      <c r="J109" s="143"/>
      <c r="K109" s="142"/>
      <c r="L109" s="145"/>
      <c r="M109" s="143"/>
      <c r="N109" s="146"/>
      <c r="O109" s="145"/>
      <c r="P109" s="143"/>
      <c r="Q109" s="146"/>
      <c r="R109" s="145"/>
      <c r="S109" s="143"/>
      <c r="T109" s="146"/>
      <c r="U109" s="142"/>
      <c r="V109" s="143"/>
      <c r="W109" s="142"/>
      <c r="X109" s="142"/>
      <c r="Y109" s="142"/>
      <c r="Z109" s="142"/>
      <c r="AA109" s="147"/>
      <c r="AB109" s="147"/>
      <c r="AC109" s="147"/>
      <c r="AD109" s="2"/>
      <c r="AE109" s="2"/>
      <c r="AF109" s="2"/>
      <c r="AG109" s="2"/>
      <c r="AH109" s="2"/>
      <c r="AI109" s="2"/>
    </row>
    <row r="110" spans="1:35" ht="30" hidden="1" customHeight="1">
      <c r="A110" s="140"/>
      <c r="B110" s="319"/>
      <c r="C110" s="277"/>
      <c r="D110" s="141"/>
      <c r="E110" s="141"/>
      <c r="F110" s="142"/>
      <c r="G110" s="143"/>
      <c r="H110" s="142"/>
      <c r="I110" s="144"/>
      <c r="J110" s="143"/>
      <c r="K110" s="142"/>
      <c r="L110" s="145"/>
      <c r="M110" s="143"/>
      <c r="N110" s="146"/>
      <c r="O110" s="145"/>
      <c r="P110" s="143"/>
      <c r="Q110" s="146"/>
      <c r="R110" s="145"/>
      <c r="S110" s="143"/>
      <c r="T110" s="146"/>
      <c r="U110" s="142"/>
      <c r="V110" s="143"/>
      <c r="W110" s="142"/>
      <c r="X110" s="142"/>
      <c r="Y110" s="142"/>
      <c r="Z110" s="142"/>
      <c r="AA110" s="147"/>
      <c r="AB110" s="147"/>
      <c r="AC110" s="147"/>
      <c r="AD110" s="2"/>
      <c r="AE110" s="2"/>
      <c r="AF110" s="2"/>
      <c r="AG110" s="2"/>
      <c r="AH110" s="2"/>
      <c r="AI110" s="2"/>
    </row>
    <row r="111" spans="1:35" ht="30" hidden="1" customHeight="1">
      <c r="A111" s="140"/>
      <c r="B111" s="319"/>
      <c r="C111" s="277"/>
      <c r="D111" s="141"/>
      <c r="E111" s="141"/>
      <c r="F111" s="142"/>
      <c r="G111" s="143"/>
      <c r="H111" s="142"/>
      <c r="I111" s="144"/>
      <c r="J111" s="143"/>
      <c r="K111" s="142"/>
      <c r="L111" s="145"/>
      <c r="M111" s="143"/>
      <c r="N111" s="146"/>
      <c r="O111" s="145"/>
      <c r="P111" s="143"/>
      <c r="Q111" s="146"/>
      <c r="R111" s="145"/>
      <c r="S111" s="143"/>
      <c r="T111" s="146"/>
      <c r="U111" s="142"/>
      <c r="V111" s="143"/>
      <c r="W111" s="142"/>
      <c r="X111" s="142"/>
      <c r="Y111" s="142"/>
      <c r="Z111" s="142"/>
      <c r="AA111" s="147"/>
      <c r="AB111" s="147"/>
      <c r="AC111" s="147"/>
      <c r="AD111" s="2"/>
      <c r="AE111" s="2"/>
      <c r="AF111" s="2"/>
      <c r="AG111" s="2"/>
      <c r="AH111" s="2"/>
      <c r="AI111" s="2"/>
    </row>
    <row r="112" spans="1:35" ht="30" hidden="1" customHeight="1">
      <c r="A112" s="140"/>
      <c r="B112" s="319"/>
      <c r="C112" s="277"/>
      <c r="D112" s="141"/>
      <c r="E112" s="141"/>
      <c r="F112" s="142"/>
      <c r="G112" s="143"/>
      <c r="H112" s="142"/>
      <c r="I112" s="144"/>
      <c r="J112" s="143"/>
      <c r="K112" s="142"/>
      <c r="L112" s="145"/>
      <c r="M112" s="143"/>
      <c r="N112" s="146"/>
      <c r="O112" s="145"/>
      <c r="P112" s="143"/>
      <c r="Q112" s="146"/>
      <c r="R112" s="145"/>
      <c r="S112" s="143"/>
      <c r="T112" s="146"/>
      <c r="U112" s="142"/>
      <c r="V112" s="143"/>
      <c r="W112" s="142"/>
      <c r="X112" s="142"/>
      <c r="Y112" s="142"/>
      <c r="Z112" s="142"/>
      <c r="AA112" s="147"/>
      <c r="AB112" s="147"/>
      <c r="AC112" s="147"/>
      <c r="AD112" s="2"/>
      <c r="AE112" s="2"/>
      <c r="AF112" s="2"/>
      <c r="AG112" s="2"/>
      <c r="AH112" s="2"/>
      <c r="AI112" s="2"/>
    </row>
    <row r="113" spans="1:35" ht="30" hidden="1" customHeight="1">
      <c r="A113" s="140"/>
      <c r="B113" s="319"/>
      <c r="C113" s="277"/>
      <c r="D113" s="141"/>
      <c r="E113" s="141"/>
      <c r="F113" s="142"/>
      <c r="G113" s="143"/>
      <c r="H113" s="142"/>
      <c r="I113" s="144"/>
      <c r="J113" s="143"/>
      <c r="K113" s="142"/>
      <c r="L113" s="145"/>
      <c r="M113" s="143"/>
      <c r="N113" s="146"/>
      <c r="O113" s="145"/>
      <c r="P113" s="143"/>
      <c r="Q113" s="146"/>
      <c r="R113" s="145"/>
      <c r="S113" s="143"/>
      <c r="T113" s="146"/>
      <c r="U113" s="142"/>
      <c r="V113" s="143"/>
      <c r="W113" s="142"/>
      <c r="X113" s="142"/>
      <c r="Y113" s="142"/>
      <c r="Z113" s="142"/>
      <c r="AA113" s="147"/>
      <c r="AB113" s="147"/>
      <c r="AC113" s="147"/>
      <c r="AD113" s="2"/>
      <c r="AE113" s="2"/>
      <c r="AF113" s="2"/>
      <c r="AG113" s="2"/>
      <c r="AH113" s="2"/>
      <c r="AI113" s="2"/>
    </row>
    <row r="114" spans="1:35" ht="30" hidden="1" customHeight="1">
      <c r="A114" s="140"/>
      <c r="B114" s="319"/>
      <c r="C114" s="277"/>
      <c r="D114" s="141"/>
      <c r="E114" s="141"/>
      <c r="F114" s="142"/>
      <c r="G114" s="143"/>
      <c r="H114" s="142"/>
      <c r="I114" s="144"/>
      <c r="J114" s="143"/>
      <c r="K114" s="142"/>
      <c r="L114" s="145"/>
      <c r="M114" s="143"/>
      <c r="N114" s="146"/>
      <c r="O114" s="145"/>
      <c r="P114" s="143"/>
      <c r="Q114" s="146"/>
      <c r="R114" s="145"/>
      <c r="S114" s="143"/>
      <c r="T114" s="146"/>
      <c r="U114" s="142"/>
      <c r="V114" s="143"/>
      <c r="W114" s="142"/>
      <c r="X114" s="142"/>
      <c r="Y114" s="142"/>
      <c r="Z114" s="142"/>
      <c r="AA114" s="147"/>
      <c r="AB114" s="147"/>
      <c r="AC114" s="147"/>
      <c r="AD114" s="2"/>
      <c r="AE114" s="2"/>
      <c r="AF114" s="2"/>
      <c r="AG114" s="2"/>
      <c r="AH114" s="2"/>
      <c r="AI114" s="2"/>
    </row>
    <row r="115" spans="1:35" ht="30" hidden="1" customHeight="1">
      <c r="A115" s="140"/>
      <c r="B115" s="319"/>
      <c r="C115" s="277"/>
      <c r="D115" s="141"/>
      <c r="E115" s="141"/>
      <c r="F115" s="142"/>
      <c r="G115" s="143"/>
      <c r="H115" s="142"/>
      <c r="I115" s="144"/>
      <c r="J115" s="143"/>
      <c r="K115" s="142"/>
      <c r="L115" s="145"/>
      <c r="M115" s="143"/>
      <c r="N115" s="146"/>
      <c r="O115" s="145"/>
      <c r="P115" s="143"/>
      <c r="Q115" s="146"/>
      <c r="R115" s="145"/>
      <c r="S115" s="143"/>
      <c r="T115" s="146"/>
      <c r="U115" s="142"/>
      <c r="V115" s="143"/>
      <c r="W115" s="142"/>
      <c r="X115" s="142"/>
      <c r="Y115" s="142"/>
      <c r="Z115" s="142"/>
      <c r="AA115" s="147"/>
      <c r="AB115" s="147"/>
      <c r="AC115" s="147"/>
      <c r="AD115" s="2"/>
      <c r="AE115" s="2"/>
      <c r="AF115" s="2"/>
      <c r="AG115" s="2"/>
      <c r="AH115" s="2"/>
      <c r="AI115" s="2"/>
    </row>
    <row r="116" spans="1:35" ht="30" hidden="1" customHeight="1">
      <c r="A116" s="140"/>
      <c r="B116" s="319"/>
      <c r="C116" s="277"/>
      <c r="D116" s="141"/>
      <c r="E116" s="141"/>
      <c r="F116" s="142"/>
      <c r="G116" s="143"/>
      <c r="H116" s="142"/>
      <c r="I116" s="144"/>
      <c r="J116" s="143"/>
      <c r="K116" s="142"/>
      <c r="L116" s="145"/>
      <c r="M116" s="143"/>
      <c r="N116" s="146"/>
      <c r="O116" s="145"/>
      <c r="P116" s="143"/>
      <c r="Q116" s="146"/>
      <c r="R116" s="145"/>
      <c r="S116" s="143"/>
      <c r="T116" s="146"/>
      <c r="U116" s="142"/>
      <c r="V116" s="143"/>
      <c r="W116" s="142"/>
      <c r="X116" s="142"/>
      <c r="Y116" s="142"/>
      <c r="Z116" s="142"/>
      <c r="AA116" s="147"/>
      <c r="AB116" s="147"/>
      <c r="AC116" s="147"/>
      <c r="AD116" s="2"/>
      <c r="AE116" s="2"/>
      <c r="AF116" s="2"/>
      <c r="AG116" s="2"/>
      <c r="AH116" s="2"/>
      <c r="AI116" s="2"/>
    </row>
    <row r="117" spans="1:35" ht="30" hidden="1" customHeight="1">
      <c r="A117" s="140"/>
      <c r="B117" s="319"/>
      <c r="C117" s="277"/>
      <c r="D117" s="141"/>
      <c r="E117" s="141"/>
      <c r="F117" s="142"/>
      <c r="G117" s="143"/>
      <c r="H117" s="142"/>
      <c r="I117" s="144"/>
      <c r="J117" s="143"/>
      <c r="K117" s="142"/>
      <c r="L117" s="145"/>
      <c r="M117" s="143"/>
      <c r="N117" s="146"/>
      <c r="O117" s="145"/>
      <c r="P117" s="143"/>
      <c r="Q117" s="146"/>
      <c r="R117" s="145"/>
      <c r="S117" s="143"/>
      <c r="T117" s="146"/>
      <c r="U117" s="142"/>
      <c r="V117" s="143"/>
      <c r="W117" s="142"/>
      <c r="X117" s="142"/>
      <c r="Y117" s="142"/>
      <c r="Z117" s="142"/>
      <c r="AA117" s="147"/>
      <c r="AB117" s="147"/>
      <c r="AC117" s="147"/>
      <c r="AD117" s="2"/>
      <c r="AE117" s="2"/>
      <c r="AF117" s="2"/>
      <c r="AG117" s="2"/>
      <c r="AH117" s="2"/>
      <c r="AI117" s="2"/>
    </row>
    <row r="118" spans="1:35" ht="30" hidden="1" customHeight="1">
      <c r="A118" s="140"/>
      <c r="B118" s="319"/>
      <c r="C118" s="277"/>
      <c r="D118" s="141"/>
      <c r="E118" s="141"/>
      <c r="F118" s="142"/>
      <c r="G118" s="143"/>
      <c r="H118" s="142"/>
      <c r="I118" s="144"/>
      <c r="J118" s="143"/>
      <c r="K118" s="142"/>
      <c r="L118" s="145"/>
      <c r="M118" s="143"/>
      <c r="N118" s="146"/>
      <c r="O118" s="145"/>
      <c r="P118" s="143"/>
      <c r="Q118" s="146"/>
      <c r="R118" s="145"/>
      <c r="S118" s="143"/>
      <c r="T118" s="146"/>
      <c r="U118" s="142"/>
      <c r="V118" s="143"/>
      <c r="W118" s="142"/>
      <c r="X118" s="142"/>
      <c r="Y118" s="142"/>
      <c r="Z118" s="142"/>
      <c r="AA118" s="147"/>
      <c r="AB118" s="147"/>
      <c r="AC118" s="147"/>
      <c r="AD118" s="2"/>
      <c r="AE118" s="2"/>
      <c r="AF118" s="2"/>
      <c r="AG118" s="2"/>
      <c r="AH118" s="2"/>
      <c r="AI118" s="2"/>
    </row>
    <row r="119" spans="1:35" ht="30" hidden="1" customHeight="1">
      <c r="A119" s="140"/>
      <c r="B119" s="319"/>
      <c r="C119" s="277"/>
      <c r="D119" s="141"/>
      <c r="E119" s="141"/>
      <c r="F119" s="142"/>
      <c r="G119" s="143"/>
      <c r="H119" s="142"/>
      <c r="I119" s="144"/>
      <c r="J119" s="143"/>
      <c r="K119" s="142"/>
      <c r="L119" s="145"/>
      <c r="M119" s="143"/>
      <c r="N119" s="146"/>
      <c r="O119" s="145"/>
      <c r="P119" s="143"/>
      <c r="Q119" s="146"/>
      <c r="R119" s="145"/>
      <c r="S119" s="143"/>
      <c r="T119" s="146"/>
      <c r="U119" s="142"/>
      <c r="V119" s="143"/>
      <c r="W119" s="142"/>
      <c r="X119" s="142"/>
      <c r="Y119" s="142"/>
      <c r="Z119" s="142"/>
      <c r="AA119" s="147"/>
      <c r="AB119" s="147"/>
      <c r="AC119" s="147"/>
      <c r="AD119" s="2"/>
      <c r="AE119" s="2"/>
      <c r="AF119" s="2"/>
      <c r="AG119" s="2"/>
      <c r="AH119" s="2"/>
      <c r="AI119" s="2"/>
    </row>
    <row r="120" spans="1:35" ht="30" hidden="1" customHeight="1">
      <c r="A120" s="140"/>
      <c r="B120" s="319"/>
      <c r="C120" s="277"/>
      <c r="D120" s="141"/>
      <c r="E120" s="141"/>
      <c r="F120" s="142"/>
      <c r="G120" s="143"/>
      <c r="H120" s="142"/>
      <c r="I120" s="144"/>
      <c r="J120" s="143"/>
      <c r="K120" s="142"/>
      <c r="L120" s="145"/>
      <c r="M120" s="143"/>
      <c r="N120" s="146"/>
      <c r="O120" s="145"/>
      <c r="P120" s="143"/>
      <c r="Q120" s="146"/>
      <c r="R120" s="145"/>
      <c r="S120" s="143"/>
      <c r="T120" s="146"/>
      <c r="U120" s="142"/>
      <c r="V120" s="143"/>
      <c r="W120" s="142"/>
      <c r="X120" s="142"/>
      <c r="Y120" s="142"/>
      <c r="Z120" s="142"/>
      <c r="AA120" s="147"/>
      <c r="AB120" s="147"/>
      <c r="AC120" s="147"/>
      <c r="AD120" s="2"/>
      <c r="AE120" s="2"/>
      <c r="AF120" s="2"/>
      <c r="AG120" s="2"/>
      <c r="AH120" s="2"/>
      <c r="AI120" s="2"/>
    </row>
    <row r="121" spans="1:35" ht="30" hidden="1" customHeight="1">
      <c r="A121" s="140"/>
      <c r="B121" s="319"/>
      <c r="C121" s="277"/>
      <c r="D121" s="141"/>
      <c r="E121" s="141"/>
      <c r="F121" s="142"/>
      <c r="G121" s="143"/>
      <c r="H121" s="142"/>
      <c r="I121" s="144"/>
      <c r="J121" s="143"/>
      <c r="K121" s="142"/>
      <c r="L121" s="145"/>
      <c r="M121" s="143"/>
      <c r="N121" s="146"/>
      <c r="O121" s="145"/>
      <c r="P121" s="143"/>
      <c r="Q121" s="146"/>
      <c r="R121" s="145"/>
      <c r="S121" s="143"/>
      <c r="T121" s="146"/>
      <c r="U121" s="142"/>
      <c r="V121" s="143"/>
      <c r="W121" s="142"/>
      <c r="X121" s="142"/>
      <c r="Y121" s="142"/>
      <c r="Z121" s="142"/>
      <c r="AA121" s="147"/>
      <c r="AB121" s="147"/>
      <c r="AC121" s="147"/>
      <c r="AD121" s="2"/>
      <c r="AE121" s="2"/>
      <c r="AF121" s="2"/>
      <c r="AG121" s="2"/>
      <c r="AH121" s="2"/>
      <c r="AI121" s="2"/>
    </row>
    <row r="122" spans="1:35" ht="30" hidden="1" customHeight="1">
      <c r="A122" s="140"/>
      <c r="B122" s="319"/>
      <c r="C122" s="277"/>
      <c r="D122" s="141"/>
      <c r="E122" s="141"/>
      <c r="F122" s="142"/>
      <c r="G122" s="143"/>
      <c r="H122" s="142"/>
      <c r="I122" s="144"/>
      <c r="J122" s="143"/>
      <c r="K122" s="142"/>
      <c r="L122" s="145"/>
      <c r="M122" s="143"/>
      <c r="N122" s="146"/>
      <c r="O122" s="145"/>
      <c r="P122" s="143"/>
      <c r="Q122" s="146"/>
      <c r="R122" s="145"/>
      <c r="S122" s="143"/>
      <c r="T122" s="146"/>
      <c r="U122" s="142"/>
      <c r="V122" s="143"/>
      <c r="W122" s="142"/>
      <c r="X122" s="142"/>
      <c r="Y122" s="142"/>
      <c r="Z122" s="142"/>
      <c r="AA122" s="147"/>
      <c r="AB122" s="147"/>
      <c r="AC122" s="147"/>
      <c r="AD122" s="2"/>
      <c r="AE122" s="2"/>
      <c r="AF122" s="2"/>
      <c r="AG122" s="2"/>
      <c r="AH122" s="2"/>
      <c r="AI122" s="2"/>
    </row>
    <row r="123" spans="1:35" ht="30" hidden="1" customHeight="1">
      <c r="A123" s="140"/>
      <c r="B123" s="319"/>
      <c r="C123" s="277"/>
      <c r="D123" s="141"/>
      <c r="E123" s="141"/>
      <c r="F123" s="142"/>
      <c r="G123" s="143"/>
      <c r="H123" s="142"/>
      <c r="I123" s="144"/>
      <c r="J123" s="143"/>
      <c r="K123" s="142"/>
      <c r="L123" s="145"/>
      <c r="M123" s="143"/>
      <c r="N123" s="146"/>
      <c r="O123" s="145"/>
      <c r="P123" s="143"/>
      <c r="Q123" s="146"/>
      <c r="R123" s="145"/>
      <c r="S123" s="143"/>
      <c r="T123" s="146"/>
      <c r="U123" s="142"/>
      <c r="V123" s="143"/>
      <c r="W123" s="142"/>
      <c r="X123" s="142"/>
      <c r="Y123" s="142"/>
      <c r="Z123" s="142"/>
      <c r="AA123" s="147"/>
      <c r="AB123" s="147"/>
      <c r="AC123" s="147"/>
      <c r="AD123" s="2"/>
      <c r="AE123" s="2"/>
      <c r="AF123" s="2"/>
      <c r="AG123" s="2"/>
      <c r="AH123" s="2"/>
      <c r="AI123" s="2"/>
    </row>
    <row r="124" spans="1:35" ht="30" hidden="1" customHeight="1">
      <c r="A124" s="140"/>
      <c r="B124" s="319"/>
      <c r="C124" s="277"/>
      <c r="D124" s="141"/>
      <c r="E124" s="141"/>
      <c r="F124" s="142"/>
      <c r="G124" s="143"/>
      <c r="H124" s="142"/>
      <c r="I124" s="144"/>
      <c r="J124" s="143"/>
      <c r="K124" s="142"/>
      <c r="L124" s="145"/>
      <c r="M124" s="143"/>
      <c r="N124" s="146"/>
      <c r="O124" s="145"/>
      <c r="P124" s="143"/>
      <c r="Q124" s="146"/>
      <c r="R124" s="145"/>
      <c r="S124" s="143"/>
      <c r="T124" s="146"/>
      <c r="U124" s="142"/>
      <c r="V124" s="143"/>
      <c r="W124" s="142"/>
      <c r="X124" s="142"/>
      <c r="Y124" s="142"/>
      <c r="Z124" s="142"/>
      <c r="AA124" s="147"/>
      <c r="AB124" s="147"/>
      <c r="AC124" s="147"/>
      <c r="AD124" s="2"/>
      <c r="AE124" s="2"/>
      <c r="AF124" s="2"/>
      <c r="AG124" s="2"/>
      <c r="AH124" s="2"/>
      <c r="AI124" s="2"/>
    </row>
    <row r="125" spans="1:35" ht="30" hidden="1" customHeight="1">
      <c r="A125" s="140"/>
      <c r="B125" s="319"/>
      <c r="C125" s="277"/>
      <c r="D125" s="141"/>
      <c r="E125" s="141"/>
      <c r="F125" s="142"/>
      <c r="G125" s="143"/>
      <c r="H125" s="142"/>
      <c r="I125" s="144"/>
      <c r="J125" s="143"/>
      <c r="K125" s="142"/>
      <c r="L125" s="145"/>
      <c r="M125" s="143"/>
      <c r="N125" s="146"/>
      <c r="O125" s="145"/>
      <c r="P125" s="143"/>
      <c r="Q125" s="146"/>
      <c r="R125" s="145"/>
      <c r="S125" s="143"/>
      <c r="T125" s="146"/>
      <c r="U125" s="142"/>
      <c r="V125" s="143"/>
      <c r="W125" s="142"/>
      <c r="X125" s="142"/>
      <c r="Y125" s="142"/>
      <c r="Z125" s="142"/>
      <c r="AA125" s="147"/>
      <c r="AB125" s="147"/>
      <c r="AC125" s="147"/>
      <c r="AD125" s="2"/>
      <c r="AE125" s="2"/>
      <c r="AF125" s="2"/>
      <c r="AG125" s="2"/>
      <c r="AH125" s="2"/>
      <c r="AI125" s="2"/>
    </row>
    <row r="126" spans="1:35" ht="30" hidden="1" customHeight="1">
      <c r="A126" s="140"/>
      <c r="B126" s="319"/>
      <c r="C126" s="277"/>
      <c r="D126" s="141"/>
      <c r="E126" s="141"/>
      <c r="F126" s="142"/>
      <c r="G126" s="143"/>
      <c r="H126" s="142"/>
      <c r="I126" s="144"/>
      <c r="J126" s="143"/>
      <c r="K126" s="142"/>
      <c r="L126" s="145"/>
      <c r="M126" s="143"/>
      <c r="N126" s="146"/>
      <c r="O126" s="145"/>
      <c r="P126" s="143"/>
      <c r="Q126" s="146"/>
      <c r="R126" s="145"/>
      <c r="S126" s="143"/>
      <c r="T126" s="146"/>
      <c r="U126" s="142"/>
      <c r="V126" s="143"/>
      <c r="W126" s="142"/>
      <c r="X126" s="142"/>
      <c r="Y126" s="142"/>
      <c r="Z126" s="142"/>
      <c r="AA126" s="147"/>
      <c r="AB126" s="147"/>
      <c r="AC126" s="147"/>
      <c r="AD126" s="2"/>
      <c r="AE126" s="2"/>
      <c r="AF126" s="2"/>
      <c r="AG126" s="2"/>
      <c r="AH126" s="2"/>
      <c r="AI126" s="2"/>
    </row>
    <row r="127" spans="1:35" ht="30" hidden="1" customHeight="1">
      <c r="A127" s="140"/>
      <c r="B127" s="319"/>
      <c r="C127" s="277"/>
      <c r="D127" s="141"/>
      <c r="E127" s="141"/>
      <c r="F127" s="142"/>
      <c r="G127" s="143"/>
      <c r="H127" s="142"/>
      <c r="I127" s="144"/>
      <c r="J127" s="143"/>
      <c r="K127" s="142"/>
      <c r="L127" s="145"/>
      <c r="M127" s="143"/>
      <c r="N127" s="146"/>
      <c r="O127" s="145"/>
      <c r="P127" s="143"/>
      <c r="Q127" s="146"/>
      <c r="R127" s="145"/>
      <c r="S127" s="143"/>
      <c r="T127" s="146"/>
      <c r="U127" s="142"/>
      <c r="V127" s="143"/>
      <c r="W127" s="142"/>
      <c r="X127" s="142"/>
      <c r="Y127" s="142"/>
      <c r="Z127" s="142"/>
      <c r="AA127" s="147"/>
      <c r="AB127" s="147"/>
      <c r="AC127" s="147"/>
      <c r="AD127" s="2"/>
      <c r="AE127" s="2"/>
      <c r="AF127" s="2"/>
      <c r="AG127" s="2"/>
      <c r="AH127" s="2"/>
      <c r="AI127" s="2"/>
    </row>
    <row r="128" spans="1:35" ht="30" hidden="1" customHeight="1">
      <c r="A128" s="140"/>
      <c r="B128" s="319"/>
      <c r="C128" s="277"/>
      <c r="D128" s="141"/>
      <c r="E128" s="141"/>
      <c r="F128" s="142"/>
      <c r="G128" s="143"/>
      <c r="H128" s="142"/>
      <c r="I128" s="144"/>
      <c r="J128" s="143"/>
      <c r="K128" s="142"/>
      <c r="L128" s="145"/>
      <c r="M128" s="143"/>
      <c r="N128" s="146"/>
      <c r="O128" s="145"/>
      <c r="P128" s="143"/>
      <c r="Q128" s="146"/>
      <c r="R128" s="145"/>
      <c r="S128" s="143"/>
      <c r="T128" s="146"/>
      <c r="U128" s="142"/>
      <c r="V128" s="143"/>
      <c r="W128" s="142"/>
      <c r="X128" s="142"/>
      <c r="Y128" s="142"/>
      <c r="Z128" s="142"/>
      <c r="AA128" s="147"/>
      <c r="AB128" s="147"/>
      <c r="AC128" s="147"/>
      <c r="AD128" s="2"/>
      <c r="AE128" s="2"/>
      <c r="AF128" s="2"/>
      <c r="AG128" s="2"/>
      <c r="AH128" s="2"/>
      <c r="AI128" s="2"/>
    </row>
    <row r="129" spans="1:35" ht="30" hidden="1" customHeight="1">
      <c r="A129" s="140"/>
      <c r="B129" s="319"/>
      <c r="C129" s="277"/>
      <c r="D129" s="141"/>
      <c r="E129" s="141"/>
      <c r="F129" s="142"/>
      <c r="G129" s="143"/>
      <c r="H129" s="142"/>
      <c r="I129" s="144"/>
      <c r="J129" s="143"/>
      <c r="K129" s="142"/>
      <c r="L129" s="145"/>
      <c r="M129" s="143"/>
      <c r="N129" s="146"/>
      <c r="O129" s="145"/>
      <c r="P129" s="143"/>
      <c r="Q129" s="146"/>
      <c r="R129" s="145"/>
      <c r="S129" s="143"/>
      <c r="T129" s="146"/>
      <c r="U129" s="142"/>
      <c r="V129" s="143"/>
      <c r="W129" s="142"/>
      <c r="X129" s="142"/>
      <c r="Y129" s="142"/>
      <c r="Z129" s="142"/>
      <c r="AA129" s="147"/>
      <c r="AB129" s="147"/>
      <c r="AC129" s="147"/>
      <c r="AD129" s="2"/>
      <c r="AE129" s="2"/>
      <c r="AF129" s="2"/>
      <c r="AG129" s="2"/>
      <c r="AH129" s="2"/>
      <c r="AI129" s="2"/>
    </row>
    <row r="130" spans="1:35" ht="30" hidden="1" customHeight="1">
      <c r="A130" s="140"/>
      <c r="B130" s="319"/>
      <c r="C130" s="277"/>
      <c r="D130" s="141"/>
      <c r="E130" s="141"/>
      <c r="F130" s="142"/>
      <c r="G130" s="143"/>
      <c r="H130" s="142"/>
      <c r="I130" s="144"/>
      <c r="J130" s="143"/>
      <c r="K130" s="142"/>
      <c r="L130" s="145"/>
      <c r="M130" s="143"/>
      <c r="N130" s="146"/>
      <c r="O130" s="145"/>
      <c r="P130" s="143"/>
      <c r="Q130" s="146"/>
      <c r="R130" s="145"/>
      <c r="S130" s="143"/>
      <c r="T130" s="146"/>
      <c r="U130" s="142"/>
      <c r="V130" s="143"/>
      <c r="W130" s="142"/>
      <c r="X130" s="142"/>
      <c r="Y130" s="142"/>
      <c r="Z130" s="142"/>
      <c r="AA130" s="147"/>
      <c r="AB130" s="147"/>
      <c r="AC130" s="147"/>
      <c r="AD130" s="2"/>
      <c r="AE130" s="2"/>
      <c r="AF130" s="2"/>
      <c r="AG130" s="2"/>
      <c r="AH130" s="2"/>
      <c r="AI130" s="2"/>
    </row>
    <row r="131" spans="1:35" ht="30" hidden="1" customHeight="1">
      <c r="A131" s="140"/>
      <c r="B131" s="319"/>
      <c r="C131" s="277"/>
      <c r="D131" s="141"/>
      <c r="E131" s="141"/>
      <c r="F131" s="142"/>
      <c r="G131" s="143"/>
      <c r="H131" s="142"/>
      <c r="I131" s="144"/>
      <c r="J131" s="143"/>
      <c r="K131" s="142"/>
      <c r="L131" s="145"/>
      <c r="M131" s="143"/>
      <c r="N131" s="146"/>
      <c r="O131" s="145"/>
      <c r="P131" s="143"/>
      <c r="Q131" s="146"/>
      <c r="R131" s="145"/>
      <c r="S131" s="143"/>
      <c r="T131" s="146"/>
      <c r="U131" s="142"/>
      <c r="V131" s="143"/>
      <c r="W131" s="142"/>
      <c r="X131" s="142"/>
      <c r="Y131" s="142"/>
      <c r="Z131" s="142"/>
      <c r="AA131" s="147"/>
      <c r="AB131" s="147"/>
      <c r="AC131" s="147"/>
      <c r="AD131" s="2"/>
      <c r="AE131" s="2"/>
      <c r="AF131" s="2"/>
      <c r="AG131" s="2"/>
      <c r="AH131" s="2"/>
      <c r="AI131" s="2"/>
    </row>
    <row r="132" spans="1:35" ht="30" hidden="1" customHeight="1">
      <c r="A132" s="140"/>
      <c r="B132" s="319"/>
      <c r="C132" s="277"/>
      <c r="D132" s="141"/>
      <c r="E132" s="141"/>
      <c r="F132" s="142"/>
      <c r="G132" s="143"/>
      <c r="H132" s="142"/>
      <c r="I132" s="144"/>
      <c r="J132" s="143"/>
      <c r="K132" s="142"/>
      <c r="L132" s="145"/>
      <c r="M132" s="143"/>
      <c r="N132" s="146"/>
      <c r="O132" s="145"/>
      <c r="P132" s="143"/>
      <c r="Q132" s="146"/>
      <c r="R132" s="145"/>
      <c r="S132" s="143"/>
      <c r="T132" s="146"/>
      <c r="U132" s="142"/>
      <c r="V132" s="143"/>
      <c r="W132" s="142"/>
      <c r="X132" s="142"/>
      <c r="Y132" s="142"/>
      <c r="Z132" s="142"/>
      <c r="AA132" s="147"/>
      <c r="AB132" s="147"/>
      <c r="AC132" s="147"/>
      <c r="AD132" s="2"/>
      <c r="AE132" s="2"/>
      <c r="AF132" s="2"/>
      <c r="AG132" s="2"/>
      <c r="AH132" s="2"/>
      <c r="AI132" s="2"/>
    </row>
    <row r="133" spans="1:35" ht="30" hidden="1" customHeight="1">
      <c r="A133" s="140"/>
      <c r="B133" s="319"/>
      <c r="C133" s="277"/>
      <c r="D133" s="141"/>
      <c r="E133" s="141"/>
      <c r="F133" s="142"/>
      <c r="G133" s="143"/>
      <c r="H133" s="142"/>
      <c r="I133" s="144"/>
      <c r="J133" s="143"/>
      <c r="K133" s="142"/>
      <c r="L133" s="145"/>
      <c r="M133" s="143"/>
      <c r="N133" s="146"/>
      <c r="O133" s="145"/>
      <c r="P133" s="143"/>
      <c r="Q133" s="146"/>
      <c r="R133" s="145"/>
      <c r="S133" s="143"/>
      <c r="T133" s="146"/>
      <c r="U133" s="142"/>
      <c r="V133" s="143"/>
      <c r="W133" s="142"/>
      <c r="X133" s="142"/>
      <c r="Y133" s="142"/>
      <c r="Z133" s="142"/>
      <c r="AA133" s="147"/>
      <c r="AB133" s="147"/>
      <c r="AC133" s="147"/>
      <c r="AD133" s="2"/>
      <c r="AE133" s="2"/>
      <c r="AF133" s="2"/>
      <c r="AG133" s="2"/>
      <c r="AH133" s="2"/>
      <c r="AI133" s="2"/>
    </row>
    <row r="134" spans="1:35" ht="30" hidden="1" customHeight="1">
      <c r="A134" s="140"/>
      <c r="B134" s="319"/>
      <c r="C134" s="277"/>
      <c r="D134" s="141"/>
      <c r="E134" s="141"/>
      <c r="F134" s="142"/>
      <c r="G134" s="143"/>
      <c r="H134" s="142"/>
      <c r="I134" s="144"/>
      <c r="J134" s="143"/>
      <c r="K134" s="142"/>
      <c r="L134" s="145"/>
      <c r="M134" s="143"/>
      <c r="N134" s="146"/>
      <c r="O134" s="145"/>
      <c r="P134" s="143"/>
      <c r="Q134" s="146"/>
      <c r="R134" s="145"/>
      <c r="S134" s="143"/>
      <c r="T134" s="146"/>
      <c r="U134" s="142"/>
      <c r="V134" s="143"/>
      <c r="W134" s="142"/>
      <c r="X134" s="142"/>
      <c r="Y134" s="142"/>
      <c r="Z134" s="142"/>
      <c r="AA134" s="147"/>
      <c r="AB134" s="147"/>
      <c r="AC134" s="147"/>
      <c r="AD134" s="2"/>
      <c r="AE134" s="2"/>
      <c r="AF134" s="2"/>
      <c r="AG134" s="2"/>
      <c r="AH134" s="2"/>
      <c r="AI134" s="2"/>
    </row>
    <row r="135" spans="1:35" ht="30" hidden="1" customHeight="1">
      <c r="A135" s="140"/>
      <c r="B135" s="319"/>
      <c r="C135" s="277"/>
      <c r="D135" s="141"/>
      <c r="E135" s="141"/>
      <c r="F135" s="142"/>
      <c r="G135" s="143"/>
      <c r="H135" s="142"/>
      <c r="I135" s="144"/>
      <c r="J135" s="143"/>
      <c r="K135" s="142"/>
      <c r="L135" s="145"/>
      <c r="M135" s="143"/>
      <c r="N135" s="146"/>
      <c r="O135" s="145"/>
      <c r="P135" s="143"/>
      <c r="Q135" s="146"/>
      <c r="R135" s="145"/>
      <c r="S135" s="143"/>
      <c r="T135" s="146"/>
      <c r="U135" s="142"/>
      <c r="V135" s="143"/>
      <c r="W135" s="142"/>
      <c r="X135" s="142"/>
      <c r="Y135" s="142"/>
      <c r="Z135" s="142"/>
      <c r="AA135" s="147"/>
      <c r="AB135" s="147"/>
      <c r="AC135" s="147"/>
      <c r="AD135" s="2"/>
      <c r="AE135" s="2"/>
      <c r="AF135" s="2"/>
      <c r="AG135" s="2"/>
      <c r="AH135" s="2"/>
      <c r="AI135" s="2"/>
    </row>
    <row r="136" spans="1:35" ht="30" hidden="1" customHeight="1">
      <c r="A136" s="140"/>
      <c r="B136" s="319"/>
      <c r="C136" s="277"/>
      <c r="D136" s="141"/>
      <c r="E136" s="141"/>
      <c r="F136" s="142"/>
      <c r="G136" s="143"/>
      <c r="H136" s="142"/>
      <c r="I136" s="144"/>
      <c r="J136" s="143"/>
      <c r="K136" s="142"/>
      <c r="L136" s="145"/>
      <c r="M136" s="143"/>
      <c r="N136" s="146"/>
      <c r="O136" s="145"/>
      <c r="P136" s="143"/>
      <c r="Q136" s="146"/>
      <c r="R136" s="145"/>
      <c r="S136" s="143"/>
      <c r="T136" s="146"/>
      <c r="U136" s="142"/>
      <c r="V136" s="143"/>
      <c r="W136" s="142"/>
      <c r="X136" s="142"/>
      <c r="Y136" s="142"/>
      <c r="Z136" s="142"/>
      <c r="AA136" s="147"/>
      <c r="AB136" s="147"/>
      <c r="AC136" s="147"/>
      <c r="AD136" s="2"/>
      <c r="AE136" s="2"/>
      <c r="AF136" s="2"/>
      <c r="AG136" s="2"/>
      <c r="AH136" s="2"/>
      <c r="AI136" s="2"/>
    </row>
    <row r="137" spans="1:35" ht="30" hidden="1" customHeight="1">
      <c r="A137" s="140"/>
      <c r="B137" s="319"/>
      <c r="C137" s="277"/>
      <c r="D137" s="141"/>
      <c r="E137" s="141"/>
      <c r="F137" s="142"/>
      <c r="G137" s="143"/>
      <c r="H137" s="142"/>
      <c r="I137" s="144"/>
      <c r="J137" s="143"/>
      <c r="K137" s="142"/>
      <c r="L137" s="145"/>
      <c r="M137" s="143"/>
      <c r="N137" s="146"/>
      <c r="O137" s="145"/>
      <c r="P137" s="143"/>
      <c r="Q137" s="146"/>
      <c r="R137" s="145"/>
      <c r="S137" s="143"/>
      <c r="T137" s="146"/>
      <c r="U137" s="142"/>
      <c r="V137" s="143"/>
      <c r="W137" s="142"/>
      <c r="X137" s="142"/>
      <c r="Y137" s="142"/>
      <c r="Z137" s="142"/>
      <c r="AA137" s="147"/>
      <c r="AB137" s="147"/>
      <c r="AC137" s="147"/>
      <c r="AD137" s="2"/>
      <c r="AE137" s="2"/>
      <c r="AF137" s="2"/>
      <c r="AG137" s="2"/>
      <c r="AH137" s="2"/>
      <c r="AI137" s="2"/>
    </row>
    <row r="138" spans="1:35" ht="30" hidden="1" customHeight="1">
      <c r="A138" s="140"/>
      <c r="B138" s="319"/>
      <c r="C138" s="277"/>
      <c r="D138" s="141"/>
      <c r="E138" s="141"/>
      <c r="F138" s="142"/>
      <c r="G138" s="143"/>
      <c r="H138" s="142"/>
      <c r="I138" s="144"/>
      <c r="J138" s="143"/>
      <c r="K138" s="142"/>
      <c r="L138" s="145"/>
      <c r="M138" s="143"/>
      <c r="N138" s="146"/>
      <c r="O138" s="145"/>
      <c r="P138" s="143"/>
      <c r="Q138" s="146"/>
      <c r="R138" s="145"/>
      <c r="S138" s="143"/>
      <c r="T138" s="146"/>
      <c r="U138" s="142"/>
      <c r="V138" s="143"/>
      <c r="W138" s="142"/>
      <c r="X138" s="142"/>
      <c r="Y138" s="142"/>
      <c r="Z138" s="142"/>
      <c r="AA138" s="147"/>
      <c r="AB138" s="147"/>
      <c r="AC138" s="147"/>
      <c r="AD138" s="2"/>
      <c r="AE138" s="2"/>
      <c r="AF138" s="2"/>
      <c r="AG138" s="2"/>
      <c r="AH138" s="2"/>
      <c r="AI138" s="2"/>
    </row>
    <row r="139" spans="1:35" ht="30" hidden="1" customHeight="1">
      <c r="A139" s="140"/>
      <c r="B139" s="319"/>
      <c r="C139" s="277"/>
      <c r="D139" s="141"/>
      <c r="E139" s="141"/>
      <c r="F139" s="142"/>
      <c r="G139" s="143"/>
      <c r="H139" s="142"/>
      <c r="I139" s="144"/>
      <c r="J139" s="143"/>
      <c r="K139" s="142"/>
      <c r="L139" s="145"/>
      <c r="M139" s="143"/>
      <c r="N139" s="146"/>
      <c r="O139" s="145"/>
      <c r="P139" s="143"/>
      <c r="Q139" s="146"/>
      <c r="R139" s="145"/>
      <c r="S139" s="143"/>
      <c r="T139" s="146"/>
      <c r="U139" s="142"/>
      <c r="V139" s="143"/>
      <c r="W139" s="142"/>
      <c r="X139" s="142"/>
      <c r="Y139" s="142"/>
      <c r="Z139" s="142"/>
      <c r="AA139" s="147"/>
      <c r="AB139" s="147"/>
      <c r="AC139" s="147"/>
      <c r="AD139" s="2"/>
      <c r="AE139" s="2"/>
      <c r="AF139" s="2"/>
      <c r="AG139" s="2"/>
      <c r="AH139" s="2"/>
      <c r="AI139" s="2"/>
    </row>
    <row r="140" spans="1:35" ht="30" hidden="1" customHeight="1">
      <c r="A140" s="140"/>
      <c r="B140" s="319"/>
      <c r="C140" s="277"/>
      <c r="D140" s="141"/>
      <c r="E140" s="141"/>
      <c r="F140" s="142"/>
      <c r="G140" s="143"/>
      <c r="H140" s="142"/>
      <c r="I140" s="144"/>
      <c r="J140" s="143"/>
      <c r="K140" s="142"/>
      <c r="L140" s="145"/>
      <c r="M140" s="143"/>
      <c r="N140" s="146"/>
      <c r="O140" s="145"/>
      <c r="P140" s="143"/>
      <c r="Q140" s="146"/>
      <c r="R140" s="145"/>
      <c r="S140" s="143"/>
      <c r="T140" s="146"/>
      <c r="U140" s="142"/>
      <c r="V140" s="143"/>
      <c r="W140" s="142"/>
      <c r="X140" s="142"/>
      <c r="Y140" s="142"/>
      <c r="Z140" s="142"/>
      <c r="AA140" s="147"/>
      <c r="AB140" s="147"/>
      <c r="AC140" s="147"/>
      <c r="AD140" s="2"/>
      <c r="AE140" s="2"/>
      <c r="AF140" s="2"/>
      <c r="AG140" s="2"/>
      <c r="AH140" s="2"/>
      <c r="AI140" s="2"/>
    </row>
    <row r="141" spans="1:35" ht="30" hidden="1" customHeight="1">
      <c r="A141" s="140"/>
      <c r="B141" s="319"/>
      <c r="C141" s="277"/>
      <c r="D141" s="141"/>
      <c r="E141" s="141"/>
      <c r="F141" s="142"/>
      <c r="G141" s="143"/>
      <c r="H141" s="142"/>
      <c r="I141" s="144"/>
      <c r="J141" s="143"/>
      <c r="K141" s="142"/>
      <c r="L141" s="145"/>
      <c r="M141" s="143"/>
      <c r="N141" s="146"/>
      <c r="O141" s="145"/>
      <c r="P141" s="143"/>
      <c r="Q141" s="146"/>
      <c r="R141" s="145"/>
      <c r="S141" s="143"/>
      <c r="T141" s="146"/>
      <c r="U141" s="142"/>
      <c r="V141" s="143"/>
      <c r="W141" s="142"/>
      <c r="X141" s="142"/>
      <c r="Y141" s="142"/>
      <c r="Z141" s="142"/>
      <c r="AA141" s="147"/>
      <c r="AB141" s="147"/>
      <c r="AC141" s="147"/>
      <c r="AD141" s="2"/>
      <c r="AE141" s="2"/>
      <c r="AF141" s="2"/>
      <c r="AG141" s="2"/>
      <c r="AH141" s="2"/>
      <c r="AI141" s="2"/>
    </row>
    <row r="142" spans="1:35" ht="30" hidden="1" customHeight="1">
      <c r="A142" s="140"/>
      <c r="B142" s="319"/>
      <c r="C142" s="277"/>
      <c r="D142" s="141"/>
      <c r="E142" s="141"/>
      <c r="F142" s="142"/>
      <c r="G142" s="143"/>
      <c r="H142" s="142"/>
      <c r="I142" s="144"/>
      <c r="J142" s="143"/>
      <c r="K142" s="142"/>
      <c r="L142" s="145"/>
      <c r="M142" s="143"/>
      <c r="N142" s="146"/>
      <c r="O142" s="145"/>
      <c r="P142" s="143"/>
      <c r="Q142" s="146"/>
      <c r="R142" s="145"/>
      <c r="S142" s="143"/>
      <c r="T142" s="146"/>
      <c r="U142" s="142"/>
      <c r="V142" s="143"/>
      <c r="W142" s="142"/>
      <c r="X142" s="142"/>
      <c r="Y142" s="142"/>
      <c r="Z142" s="142"/>
      <c r="AA142" s="147"/>
      <c r="AB142" s="147"/>
      <c r="AC142" s="147"/>
      <c r="AD142" s="2"/>
      <c r="AE142" s="2"/>
      <c r="AF142" s="2"/>
      <c r="AG142" s="2"/>
      <c r="AH142" s="2"/>
      <c r="AI142" s="2"/>
    </row>
    <row r="143" spans="1:35" ht="30" hidden="1" customHeight="1">
      <c r="A143" s="140"/>
      <c r="B143" s="319"/>
      <c r="C143" s="277"/>
      <c r="D143" s="141"/>
      <c r="E143" s="141"/>
      <c r="F143" s="142"/>
      <c r="G143" s="143"/>
      <c r="H143" s="142"/>
      <c r="I143" s="144"/>
      <c r="J143" s="143"/>
      <c r="K143" s="142"/>
      <c r="L143" s="145"/>
      <c r="M143" s="143"/>
      <c r="N143" s="146"/>
      <c r="O143" s="145"/>
      <c r="P143" s="143"/>
      <c r="Q143" s="146"/>
      <c r="R143" s="145"/>
      <c r="S143" s="143"/>
      <c r="T143" s="146"/>
      <c r="U143" s="142"/>
      <c r="V143" s="143"/>
      <c r="W143" s="142"/>
      <c r="X143" s="142"/>
      <c r="Y143" s="142"/>
      <c r="Z143" s="142"/>
      <c r="AA143" s="147"/>
      <c r="AB143" s="147"/>
      <c r="AC143" s="147"/>
      <c r="AD143" s="2"/>
      <c r="AE143" s="2"/>
      <c r="AF143" s="2"/>
      <c r="AG143" s="2"/>
      <c r="AH143" s="2"/>
      <c r="AI143" s="2"/>
    </row>
    <row r="144" spans="1:35" ht="30" hidden="1" customHeight="1">
      <c r="A144" s="140"/>
      <c r="B144" s="319"/>
      <c r="C144" s="277"/>
      <c r="D144" s="141"/>
      <c r="E144" s="141"/>
      <c r="F144" s="142"/>
      <c r="G144" s="143"/>
      <c r="H144" s="142"/>
      <c r="I144" s="144"/>
      <c r="J144" s="143"/>
      <c r="K144" s="142"/>
      <c r="L144" s="145"/>
      <c r="M144" s="143"/>
      <c r="N144" s="146"/>
      <c r="O144" s="145"/>
      <c r="P144" s="143"/>
      <c r="Q144" s="146"/>
      <c r="R144" s="145"/>
      <c r="S144" s="143"/>
      <c r="T144" s="146"/>
      <c r="U144" s="142"/>
      <c r="V144" s="143"/>
      <c r="W144" s="142"/>
      <c r="X144" s="142"/>
      <c r="Y144" s="142"/>
      <c r="Z144" s="142"/>
      <c r="AA144" s="147"/>
      <c r="AB144" s="147"/>
      <c r="AC144" s="147"/>
      <c r="AD144" s="2"/>
      <c r="AE144" s="2"/>
      <c r="AF144" s="2"/>
      <c r="AG144" s="2"/>
      <c r="AH144" s="2"/>
      <c r="AI144" s="2"/>
    </row>
    <row r="145" spans="1:35" ht="30" hidden="1" customHeight="1">
      <c r="A145" s="140"/>
      <c r="B145" s="319"/>
      <c r="C145" s="277"/>
      <c r="D145" s="141"/>
      <c r="E145" s="141"/>
      <c r="F145" s="142"/>
      <c r="G145" s="143"/>
      <c r="H145" s="142"/>
      <c r="I145" s="144"/>
      <c r="J145" s="143"/>
      <c r="K145" s="142"/>
      <c r="L145" s="145"/>
      <c r="M145" s="143"/>
      <c r="N145" s="146"/>
      <c r="O145" s="145"/>
      <c r="P145" s="143"/>
      <c r="Q145" s="146"/>
      <c r="R145" s="145"/>
      <c r="S145" s="143"/>
      <c r="T145" s="146"/>
      <c r="U145" s="142"/>
      <c r="V145" s="143"/>
      <c r="W145" s="142"/>
      <c r="X145" s="142"/>
      <c r="Y145" s="142"/>
      <c r="Z145" s="142"/>
      <c r="AA145" s="147"/>
      <c r="AB145" s="147"/>
      <c r="AC145" s="147"/>
      <c r="AD145" s="2"/>
      <c r="AE145" s="2"/>
      <c r="AF145" s="2"/>
      <c r="AG145" s="2"/>
      <c r="AH145" s="2"/>
      <c r="AI145" s="2"/>
    </row>
    <row r="146" spans="1:35" ht="30" hidden="1" customHeight="1">
      <c r="A146" s="140"/>
      <c r="B146" s="319"/>
      <c r="C146" s="277"/>
      <c r="D146" s="141"/>
      <c r="E146" s="141"/>
      <c r="F146" s="142"/>
      <c r="G146" s="143"/>
      <c r="H146" s="142"/>
      <c r="I146" s="144"/>
      <c r="J146" s="143"/>
      <c r="K146" s="142"/>
      <c r="L146" s="145"/>
      <c r="M146" s="143"/>
      <c r="N146" s="146"/>
      <c r="O146" s="145"/>
      <c r="P146" s="143"/>
      <c r="Q146" s="146"/>
      <c r="R146" s="145"/>
      <c r="S146" s="143"/>
      <c r="T146" s="146"/>
      <c r="U146" s="142"/>
      <c r="V146" s="143"/>
      <c r="W146" s="142"/>
      <c r="X146" s="142"/>
      <c r="Y146" s="142"/>
      <c r="Z146" s="142"/>
      <c r="AA146" s="147"/>
      <c r="AB146" s="147"/>
      <c r="AC146" s="147"/>
      <c r="AD146" s="2"/>
      <c r="AE146" s="2"/>
      <c r="AF146" s="2"/>
      <c r="AG146" s="2"/>
      <c r="AH146" s="2"/>
      <c r="AI146" s="2"/>
    </row>
    <row r="147" spans="1:35" ht="30" hidden="1" customHeight="1">
      <c r="A147" s="140"/>
      <c r="B147" s="319"/>
      <c r="C147" s="277"/>
      <c r="D147" s="141"/>
      <c r="E147" s="141"/>
      <c r="F147" s="142"/>
      <c r="G147" s="143"/>
      <c r="H147" s="142"/>
      <c r="I147" s="144"/>
      <c r="J147" s="143"/>
      <c r="K147" s="142"/>
      <c r="L147" s="145"/>
      <c r="M147" s="143"/>
      <c r="N147" s="146"/>
      <c r="O147" s="145"/>
      <c r="P147" s="143"/>
      <c r="Q147" s="146"/>
      <c r="R147" s="145"/>
      <c r="S147" s="143"/>
      <c r="T147" s="146"/>
      <c r="U147" s="142"/>
      <c r="V147" s="143"/>
      <c r="W147" s="142"/>
      <c r="X147" s="142"/>
      <c r="Y147" s="142"/>
      <c r="Z147" s="142"/>
      <c r="AA147" s="147"/>
      <c r="AB147" s="147"/>
      <c r="AC147" s="147"/>
      <c r="AD147" s="2"/>
      <c r="AE147" s="2"/>
      <c r="AF147" s="2"/>
      <c r="AG147" s="2"/>
      <c r="AH147" s="2"/>
      <c r="AI147" s="2"/>
    </row>
    <row r="148" spans="1:35" ht="30" hidden="1" customHeight="1">
      <c r="A148" s="140"/>
      <c r="B148" s="319"/>
      <c r="C148" s="277"/>
      <c r="D148" s="141"/>
      <c r="E148" s="141"/>
      <c r="F148" s="142"/>
      <c r="G148" s="143"/>
      <c r="H148" s="142"/>
      <c r="I148" s="144"/>
      <c r="J148" s="143"/>
      <c r="K148" s="142"/>
      <c r="L148" s="145"/>
      <c r="M148" s="143"/>
      <c r="N148" s="146"/>
      <c r="O148" s="145"/>
      <c r="P148" s="143"/>
      <c r="Q148" s="146"/>
      <c r="R148" s="145"/>
      <c r="S148" s="143"/>
      <c r="T148" s="146"/>
      <c r="U148" s="142"/>
      <c r="V148" s="143"/>
      <c r="W148" s="142"/>
      <c r="X148" s="142"/>
      <c r="Y148" s="142"/>
      <c r="Z148" s="142"/>
      <c r="AA148" s="147"/>
      <c r="AB148" s="147"/>
      <c r="AC148" s="147"/>
      <c r="AD148" s="2"/>
      <c r="AE148" s="2"/>
      <c r="AF148" s="2"/>
      <c r="AG148" s="2"/>
      <c r="AH148" s="2"/>
      <c r="AI148" s="2"/>
    </row>
    <row r="149" spans="1:35" ht="30" hidden="1" customHeight="1">
      <c r="A149" s="140"/>
      <c r="B149" s="319"/>
      <c r="C149" s="277"/>
      <c r="D149" s="141"/>
      <c r="E149" s="141"/>
      <c r="F149" s="142"/>
      <c r="G149" s="143"/>
      <c r="H149" s="142"/>
      <c r="I149" s="144"/>
      <c r="J149" s="143"/>
      <c r="K149" s="142"/>
      <c r="L149" s="145"/>
      <c r="M149" s="143"/>
      <c r="N149" s="146"/>
      <c r="O149" s="145"/>
      <c r="P149" s="143"/>
      <c r="Q149" s="146"/>
      <c r="R149" s="145"/>
      <c r="S149" s="143"/>
      <c r="T149" s="146"/>
      <c r="U149" s="142"/>
      <c r="V149" s="143"/>
      <c r="W149" s="142"/>
      <c r="X149" s="142"/>
      <c r="Y149" s="142"/>
      <c r="Z149" s="142"/>
      <c r="AA149" s="147"/>
      <c r="AB149" s="147"/>
      <c r="AC149" s="147"/>
      <c r="AD149" s="2"/>
      <c r="AE149" s="2"/>
      <c r="AF149" s="2"/>
      <c r="AG149" s="2"/>
      <c r="AH149" s="2"/>
      <c r="AI149" s="2"/>
    </row>
    <row r="150" spans="1:35" ht="30" hidden="1" customHeight="1">
      <c r="A150" s="140"/>
      <c r="B150" s="319"/>
      <c r="C150" s="277"/>
      <c r="D150" s="141"/>
      <c r="E150" s="141"/>
      <c r="F150" s="142"/>
      <c r="G150" s="143"/>
      <c r="H150" s="142"/>
      <c r="I150" s="144"/>
      <c r="J150" s="143"/>
      <c r="K150" s="142"/>
      <c r="L150" s="145"/>
      <c r="M150" s="143"/>
      <c r="N150" s="146"/>
      <c r="O150" s="145"/>
      <c r="P150" s="143"/>
      <c r="Q150" s="146"/>
      <c r="R150" s="145"/>
      <c r="S150" s="143"/>
      <c r="T150" s="146"/>
      <c r="U150" s="142"/>
      <c r="V150" s="143"/>
      <c r="W150" s="142"/>
      <c r="X150" s="142"/>
      <c r="Y150" s="142"/>
      <c r="Z150" s="142"/>
      <c r="AA150" s="147"/>
      <c r="AB150" s="147"/>
      <c r="AC150" s="147"/>
      <c r="AD150" s="2"/>
      <c r="AE150" s="2"/>
      <c r="AF150" s="2"/>
      <c r="AG150" s="2"/>
      <c r="AH150" s="2"/>
      <c r="AI150" s="2"/>
    </row>
    <row r="151" spans="1:35" ht="30" hidden="1" customHeight="1">
      <c r="A151" s="140"/>
      <c r="B151" s="319"/>
      <c r="C151" s="277"/>
      <c r="D151" s="141"/>
      <c r="E151" s="141"/>
      <c r="F151" s="142"/>
      <c r="G151" s="143"/>
      <c r="H151" s="142"/>
      <c r="I151" s="144"/>
      <c r="J151" s="143"/>
      <c r="K151" s="142"/>
      <c r="L151" s="145"/>
      <c r="M151" s="143"/>
      <c r="N151" s="146"/>
      <c r="O151" s="145"/>
      <c r="P151" s="143"/>
      <c r="Q151" s="146"/>
      <c r="R151" s="145"/>
      <c r="S151" s="143"/>
      <c r="T151" s="146"/>
      <c r="U151" s="142"/>
      <c r="V151" s="143"/>
      <c r="W151" s="142"/>
      <c r="X151" s="142"/>
      <c r="Y151" s="142"/>
      <c r="Z151" s="142"/>
      <c r="AA151" s="147"/>
      <c r="AB151" s="147"/>
      <c r="AC151" s="147"/>
      <c r="AD151" s="2"/>
      <c r="AE151" s="2"/>
      <c r="AF151" s="2"/>
      <c r="AG151" s="2"/>
      <c r="AH151" s="2"/>
      <c r="AI151" s="2"/>
    </row>
    <row r="152" spans="1:35" ht="30" hidden="1" customHeight="1">
      <c r="A152" s="140"/>
      <c r="B152" s="319"/>
      <c r="C152" s="277"/>
      <c r="D152" s="141"/>
      <c r="E152" s="141"/>
      <c r="F152" s="142"/>
      <c r="G152" s="143"/>
      <c r="H152" s="142"/>
      <c r="I152" s="144"/>
      <c r="J152" s="143"/>
      <c r="K152" s="142"/>
      <c r="L152" s="145"/>
      <c r="M152" s="143"/>
      <c r="N152" s="146"/>
      <c r="O152" s="145"/>
      <c r="P152" s="143"/>
      <c r="Q152" s="146"/>
      <c r="R152" s="145"/>
      <c r="S152" s="143"/>
      <c r="T152" s="146"/>
      <c r="U152" s="142"/>
      <c r="V152" s="143"/>
      <c r="W152" s="142"/>
      <c r="X152" s="142"/>
      <c r="Y152" s="142"/>
      <c r="Z152" s="142"/>
      <c r="AA152" s="147"/>
      <c r="AB152" s="147"/>
      <c r="AC152" s="147"/>
      <c r="AD152" s="2"/>
      <c r="AE152" s="2"/>
      <c r="AF152" s="2"/>
      <c r="AG152" s="2"/>
      <c r="AH152" s="2"/>
      <c r="AI152" s="2"/>
    </row>
    <row r="153" spans="1:35" ht="30" hidden="1" customHeight="1">
      <c r="A153" s="140"/>
      <c r="B153" s="319"/>
      <c r="C153" s="277"/>
      <c r="D153" s="141"/>
      <c r="E153" s="141"/>
      <c r="F153" s="142"/>
      <c r="G153" s="143"/>
      <c r="H153" s="142"/>
      <c r="I153" s="144"/>
      <c r="J153" s="143"/>
      <c r="K153" s="142"/>
      <c r="L153" s="145"/>
      <c r="M153" s="143"/>
      <c r="N153" s="146"/>
      <c r="O153" s="145"/>
      <c r="P153" s="143"/>
      <c r="Q153" s="146"/>
      <c r="R153" s="145"/>
      <c r="S153" s="143"/>
      <c r="T153" s="146"/>
      <c r="U153" s="142"/>
      <c r="V153" s="143"/>
      <c r="W153" s="142"/>
      <c r="X153" s="142"/>
      <c r="Y153" s="142"/>
      <c r="Z153" s="142"/>
      <c r="AA153" s="147"/>
      <c r="AB153" s="147"/>
      <c r="AC153" s="147"/>
      <c r="AD153" s="2"/>
      <c r="AE153" s="2"/>
      <c r="AF153" s="2"/>
      <c r="AG153" s="2"/>
      <c r="AH153" s="2"/>
      <c r="AI153" s="2"/>
    </row>
    <row r="154" spans="1:35" ht="30" hidden="1" customHeight="1">
      <c r="A154" s="140"/>
      <c r="B154" s="319"/>
      <c r="C154" s="277"/>
      <c r="D154" s="141"/>
      <c r="E154" s="141"/>
      <c r="F154" s="142"/>
      <c r="G154" s="143"/>
      <c r="H154" s="142"/>
      <c r="I154" s="144"/>
      <c r="J154" s="143"/>
      <c r="K154" s="142"/>
      <c r="L154" s="145"/>
      <c r="M154" s="143"/>
      <c r="N154" s="146"/>
      <c r="O154" s="145"/>
      <c r="P154" s="143"/>
      <c r="Q154" s="146"/>
      <c r="R154" s="145"/>
      <c r="S154" s="143"/>
      <c r="T154" s="146"/>
      <c r="U154" s="142"/>
      <c r="V154" s="143"/>
      <c r="W154" s="142"/>
      <c r="X154" s="142"/>
      <c r="Y154" s="142"/>
      <c r="Z154" s="142"/>
      <c r="AA154" s="147"/>
      <c r="AB154" s="147"/>
      <c r="AC154" s="147"/>
      <c r="AD154" s="2"/>
      <c r="AE154" s="2"/>
      <c r="AF154" s="2"/>
      <c r="AG154" s="2"/>
      <c r="AH154" s="2"/>
      <c r="AI154" s="2"/>
    </row>
    <row r="155" spans="1:35" ht="30" hidden="1" customHeight="1">
      <c r="A155" s="140"/>
      <c r="B155" s="319"/>
      <c r="C155" s="277"/>
      <c r="D155" s="141"/>
      <c r="E155" s="141"/>
      <c r="F155" s="142"/>
      <c r="G155" s="143"/>
      <c r="H155" s="142"/>
      <c r="I155" s="144"/>
      <c r="J155" s="143"/>
      <c r="K155" s="142"/>
      <c r="L155" s="145"/>
      <c r="M155" s="143"/>
      <c r="N155" s="146"/>
      <c r="O155" s="145"/>
      <c r="P155" s="143"/>
      <c r="Q155" s="146"/>
      <c r="R155" s="145"/>
      <c r="S155" s="143"/>
      <c r="T155" s="146"/>
      <c r="U155" s="142"/>
      <c r="V155" s="143"/>
      <c r="W155" s="142"/>
      <c r="X155" s="142"/>
      <c r="Y155" s="142"/>
      <c r="Z155" s="142"/>
      <c r="AA155" s="147"/>
      <c r="AB155" s="147"/>
      <c r="AC155" s="147"/>
      <c r="AD155" s="2"/>
      <c r="AE155" s="2"/>
      <c r="AF155" s="2"/>
      <c r="AG155" s="2"/>
      <c r="AH155" s="2"/>
      <c r="AI155" s="2"/>
    </row>
    <row r="156" spans="1:35" ht="30" hidden="1" customHeight="1">
      <c r="A156" s="140"/>
      <c r="B156" s="319"/>
      <c r="C156" s="277"/>
      <c r="D156" s="141"/>
      <c r="E156" s="141"/>
      <c r="F156" s="142"/>
      <c r="G156" s="143"/>
      <c r="H156" s="142"/>
      <c r="I156" s="144"/>
      <c r="J156" s="143"/>
      <c r="K156" s="142"/>
      <c r="L156" s="145"/>
      <c r="M156" s="143"/>
      <c r="N156" s="146"/>
      <c r="O156" s="145"/>
      <c r="P156" s="143"/>
      <c r="Q156" s="146"/>
      <c r="R156" s="145"/>
      <c r="S156" s="143"/>
      <c r="T156" s="146"/>
      <c r="U156" s="142"/>
      <c r="V156" s="143"/>
      <c r="W156" s="142"/>
      <c r="X156" s="142"/>
      <c r="Y156" s="142"/>
      <c r="Z156" s="142"/>
      <c r="AA156" s="147"/>
      <c r="AB156" s="147"/>
      <c r="AC156" s="147"/>
      <c r="AD156" s="2"/>
      <c r="AE156" s="2"/>
      <c r="AF156" s="2"/>
      <c r="AG156" s="2"/>
      <c r="AH156" s="2"/>
      <c r="AI156" s="2"/>
    </row>
    <row r="157" spans="1:35" ht="30" hidden="1" customHeight="1">
      <c r="A157" s="140"/>
      <c r="B157" s="319"/>
      <c r="C157" s="277"/>
      <c r="D157" s="141"/>
      <c r="E157" s="141"/>
      <c r="F157" s="142"/>
      <c r="G157" s="143"/>
      <c r="H157" s="142"/>
      <c r="I157" s="144"/>
      <c r="J157" s="143"/>
      <c r="K157" s="142"/>
      <c r="L157" s="145"/>
      <c r="M157" s="143"/>
      <c r="N157" s="146"/>
      <c r="O157" s="145"/>
      <c r="P157" s="143"/>
      <c r="Q157" s="146"/>
      <c r="R157" s="145"/>
      <c r="S157" s="143"/>
      <c r="T157" s="146"/>
      <c r="U157" s="142"/>
      <c r="V157" s="143"/>
      <c r="W157" s="142"/>
      <c r="X157" s="142"/>
      <c r="Y157" s="142"/>
      <c r="Z157" s="142"/>
      <c r="AA157" s="147"/>
      <c r="AB157" s="147"/>
      <c r="AC157" s="147"/>
      <c r="AD157" s="2"/>
      <c r="AE157" s="2"/>
      <c r="AF157" s="2"/>
      <c r="AG157" s="2"/>
      <c r="AH157" s="2"/>
      <c r="AI157" s="2"/>
    </row>
    <row r="158" spans="1:35" ht="30" hidden="1" customHeight="1">
      <c r="A158" s="140"/>
      <c r="B158" s="319"/>
      <c r="C158" s="277"/>
      <c r="D158" s="141"/>
      <c r="E158" s="141"/>
      <c r="F158" s="142"/>
      <c r="G158" s="143"/>
      <c r="H158" s="142"/>
      <c r="I158" s="144"/>
      <c r="J158" s="143"/>
      <c r="K158" s="142"/>
      <c r="L158" s="145"/>
      <c r="M158" s="143"/>
      <c r="N158" s="146"/>
      <c r="O158" s="145"/>
      <c r="P158" s="143"/>
      <c r="Q158" s="146"/>
      <c r="R158" s="145"/>
      <c r="S158" s="143"/>
      <c r="T158" s="146"/>
      <c r="U158" s="142"/>
      <c r="V158" s="143"/>
      <c r="W158" s="142"/>
      <c r="X158" s="142"/>
      <c r="Y158" s="142"/>
      <c r="Z158" s="142"/>
      <c r="AA158" s="147"/>
      <c r="AB158" s="147"/>
      <c r="AC158" s="147"/>
      <c r="AD158" s="2"/>
      <c r="AE158" s="2"/>
      <c r="AF158" s="2"/>
      <c r="AG158" s="2"/>
      <c r="AH158" s="2"/>
      <c r="AI158" s="2"/>
    </row>
    <row r="159" spans="1:35" ht="30" hidden="1" customHeight="1">
      <c r="A159" s="140"/>
      <c r="B159" s="319"/>
      <c r="C159" s="277"/>
      <c r="D159" s="141"/>
      <c r="E159" s="141"/>
      <c r="F159" s="142"/>
      <c r="G159" s="143"/>
      <c r="H159" s="142"/>
      <c r="I159" s="144"/>
      <c r="J159" s="143"/>
      <c r="K159" s="142"/>
      <c r="L159" s="145"/>
      <c r="M159" s="143"/>
      <c r="N159" s="146"/>
      <c r="O159" s="145"/>
      <c r="P159" s="143"/>
      <c r="Q159" s="146"/>
      <c r="R159" s="145"/>
      <c r="S159" s="143"/>
      <c r="T159" s="146"/>
      <c r="U159" s="142"/>
      <c r="V159" s="143"/>
      <c r="W159" s="142"/>
      <c r="X159" s="142"/>
      <c r="Y159" s="142"/>
      <c r="Z159" s="142"/>
      <c r="AA159" s="147"/>
      <c r="AB159" s="147"/>
      <c r="AC159" s="147"/>
      <c r="AD159" s="2"/>
      <c r="AE159" s="2"/>
      <c r="AF159" s="2"/>
      <c r="AG159" s="2"/>
      <c r="AH159" s="2"/>
      <c r="AI159" s="2"/>
    </row>
    <row r="160" spans="1:35" ht="30" hidden="1" customHeight="1">
      <c r="A160" s="140"/>
      <c r="B160" s="319"/>
      <c r="C160" s="277"/>
      <c r="D160" s="141"/>
      <c r="E160" s="141"/>
      <c r="F160" s="142"/>
      <c r="G160" s="143"/>
      <c r="H160" s="142"/>
      <c r="I160" s="144"/>
      <c r="J160" s="143"/>
      <c r="K160" s="142"/>
      <c r="L160" s="145"/>
      <c r="M160" s="143"/>
      <c r="N160" s="146"/>
      <c r="O160" s="145"/>
      <c r="P160" s="143"/>
      <c r="Q160" s="146"/>
      <c r="R160" s="145"/>
      <c r="S160" s="143"/>
      <c r="T160" s="146"/>
      <c r="U160" s="142"/>
      <c r="V160" s="143"/>
      <c r="W160" s="142"/>
      <c r="X160" s="142"/>
      <c r="Y160" s="142"/>
      <c r="Z160" s="142"/>
      <c r="AA160" s="147"/>
      <c r="AB160" s="147"/>
      <c r="AC160" s="147"/>
      <c r="AD160" s="2"/>
      <c r="AE160" s="2"/>
      <c r="AF160" s="2"/>
      <c r="AG160" s="2"/>
      <c r="AH160" s="2"/>
      <c r="AI160" s="2"/>
    </row>
    <row r="161" spans="1:35" ht="30" hidden="1" customHeight="1">
      <c r="A161" s="140"/>
      <c r="B161" s="319"/>
      <c r="C161" s="277"/>
      <c r="D161" s="141"/>
      <c r="E161" s="141"/>
      <c r="F161" s="142"/>
      <c r="G161" s="143"/>
      <c r="H161" s="142"/>
      <c r="I161" s="144"/>
      <c r="J161" s="143"/>
      <c r="K161" s="142"/>
      <c r="L161" s="145"/>
      <c r="M161" s="143"/>
      <c r="N161" s="146"/>
      <c r="O161" s="145"/>
      <c r="P161" s="143"/>
      <c r="Q161" s="146"/>
      <c r="R161" s="145"/>
      <c r="S161" s="143"/>
      <c r="T161" s="146"/>
      <c r="U161" s="142"/>
      <c r="V161" s="143"/>
      <c r="W161" s="142"/>
      <c r="X161" s="142"/>
      <c r="Y161" s="142"/>
      <c r="Z161" s="142"/>
      <c r="AA161" s="147"/>
      <c r="AB161" s="147"/>
      <c r="AC161" s="147"/>
      <c r="AD161" s="2"/>
      <c r="AE161" s="2"/>
      <c r="AF161" s="2"/>
      <c r="AG161" s="2"/>
      <c r="AH161" s="2"/>
      <c r="AI161" s="2"/>
    </row>
    <row r="162" spans="1:35" ht="30" hidden="1" customHeight="1">
      <c r="A162" s="140"/>
      <c r="B162" s="319"/>
      <c r="C162" s="277"/>
      <c r="D162" s="141"/>
      <c r="E162" s="141"/>
      <c r="F162" s="142"/>
      <c r="G162" s="143"/>
      <c r="H162" s="142"/>
      <c r="I162" s="144"/>
      <c r="J162" s="143"/>
      <c r="K162" s="142"/>
      <c r="L162" s="145"/>
      <c r="M162" s="143"/>
      <c r="N162" s="146"/>
      <c r="O162" s="145"/>
      <c r="P162" s="143"/>
      <c r="Q162" s="146"/>
      <c r="R162" s="145"/>
      <c r="S162" s="143"/>
      <c r="T162" s="146"/>
      <c r="U162" s="142"/>
      <c r="V162" s="143"/>
      <c r="W162" s="142"/>
      <c r="X162" s="142"/>
      <c r="Y162" s="142"/>
      <c r="Z162" s="142"/>
      <c r="AA162" s="147"/>
      <c r="AB162" s="147"/>
      <c r="AC162" s="147"/>
      <c r="AD162" s="2"/>
      <c r="AE162" s="2"/>
      <c r="AF162" s="2"/>
      <c r="AG162" s="2"/>
      <c r="AH162" s="2"/>
      <c r="AI162" s="2"/>
    </row>
    <row r="163" spans="1:35" ht="30" hidden="1" customHeight="1">
      <c r="A163" s="140"/>
      <c r="B163" s="319"/>
      <c r="C163" s="277"/>
      <c r="D163" s="141"/>
      <c r="E163" s="141"/>
      <c r="F163" s="142"/>
      <c r="G163" s="143"/>
      <c r="H163" s="142"/>
      <c r="I163" s="144"/>
      <c r="J163" s="143"/>
      <c r="K163" s="142"/>
      <c r="L163" s="145"/>
      <c r="M163" s="143"/>
      <c r="N163" s="146"/>
      <c r="O163" s="145"/>
      <c r="P163" s="143"/>
      <c r="Q163" s="146"/>
      <c r="R163" s="145"/>
      <c r="S163" s="143"/>
      <c r="T163" s="146"/>
      <c r="U163" s="142"/>
      <c r="V163" s="143"/>
      <c r="W163" s="142"/>
      <c r="X163" s="142"/>
      <c r="Y163" s="142"/>
      <c r="Z163" s="142"/>
      <c r="AA163" s="147"/>
      <c r="AB163" s="147"/>
      <c r="AC163" s="147"/>
      <c r="AD163" s="2"/>
      <c r="AE163" s="2"/>
      <c r="AF163" s="2"/>
      <c r="AG163" s="2"/>
      <c r="AH163" s="2"/>
      <c r="AI163" s="2"/>
    </row>
    <row r="164" spans="1:35" ht="30" hidden="1" customHeight="1">
      <c r="A164" s="140"/>
      <c r="B164" s="319"/>
      <c r="C164" s="277"/>
      <c r="D164" s="141"/>
      <c r="E164" s="141"/>
      <c r="F164" s="142"/>
      <c r="G164" s="143"/>
      <c r="H164" s="142"/>
      <c r="I164" s="144"/>
      <c r="J164" s="143"/>
      <c r="K164" s="142"/>
      <c r="L164" s="145"/>
      <c r="M164" s="143"/>
      <c r="N164" s="146"/>
      <c r="O164" s="145"/>
      <c r="P164" s="143"/>
      <c r="Q164" s="146"/>
      <c r="R164" s="145"/>
      <c r="S164" s="143"/>
      <c r="T164" s="146"/>
      <c r="U164" s="142"/>
      <c r="V164" s="143"/>
      <c r="W164" s="142"/>
      <c r="X164" s="142"/>
      <c r="Y164" s="142"/>
      <c r="Z164" s="142"/>
      <c r="AA164" s="147"/>
      <c r="AB164" s="147"/>
      <c r="AC164" s="147"/>
      <c r="AD164" s="2"/>
      <c r="AE164" s="2"/>
      <c r="AF164" s="2"/>
      <c r="AG164" s="2"/>
      <c r="AH164" s="2"/>
      <c r="AI164" s="2"/>
    </row>
    <row r="165" spans="1:35" ht="30" hidden="1" customHeight="1">
      <c r="A165" s="140"/>
      <c r="B165" s="319"/>
      <c r="C165" s="277"/>
      <c r="D165" s="141"/>
      <c r="E165" s="141"/>
      <c r="F165" s="142"/>
      <c r="G165" s="143"/>
      <c r="H165" s="142"/>
      <c r="I165" s="144"/>
      <c r="J165" s="143"/>
      <c r="K165" s="142"/>
      <c r="L165" s="145"/>
      <c r="M165" s="143"/>
      <c r="N165" s="146"/>
      <c r="O165" s="145"/>
      <c r="P165" s="143"/>
      <c r="Q165" s="146"/>
      <c r="R165" s="145"/>
      <c r="S165" s="143"/>
      <c r="T165" s="146"/>
      <c r="U165" s="142"/>
      <c r="V165" s="143"/>
      <c r="W165" s="142"/>
      <c r="X165" s="142"/>
      <c r="Y165" s="142"/>
      <c r="Z165" s="142"/>
      <c r="AA165" s="147"/>
      <c r="AB165" s="147"/>
      <c r="AC165" s="147"/>
      <c r="AD165" s="2"/>
      <c r="AE165" s="2"/>
      <c r="AF165" s="2"/>
      <c r="AG165" s="2"/>
      <c r="AH165" s="2"/>
      <c r="AI165" s="2"/>
    </row>
    <row r="166" spans="1:35" ht="30" hidden="1" customHeight="1">
      <c r="A166" s="140"/>
      <c r="B166" s="319"/>
      <c r="C166" s="277"/>
      <c r="D166" s="141"/>
      <c r="E166" s="141"/>
      <c r="F166" s="142"/>
      <c r="G166" s="143"/>
      <c r="H166" s="142"/>
      <c r="I166" s="144"/>
      <c r="J166" s="143"/>
      <c r="K166" s="142"/>
      <c r="L166" s="145"/>
      <c r="M166" s="143"/>
      <c r="N166" s="146"/>
      <c r="O166" s="145"/>
      <c r="P166" s="143"/>
      <c r="Q166" s="146"/>
      <c r="R166" s="145"/>
      <c r="S166" s="143"/>
      <c r="T166" s="146"/>
      <c r="U166" s="142"/>
      <c r="V166" s="143"/>
      <c r="W166" s="142"/>
      <c r="X166" s="142"/>
      <c r="Y166" s="142"/>
      <c r="Z166" s="142"/>
      <c r="AA166" s="147"/>
      <c r="AB166" s="147"/>
      <c r="AC166" s="147"/>
      <c r="AD166" s="2"/>
      <c r="AE166" s="2"/>
      <c r="AF166" s="2"/>
      <c r="AG166" s="2"/>
      <c r="AH166" s="2"/>
      <c r="AI166" s="2"/>
    </row>
    <row r="167" spans="1:35" ht="30" hidden="1" customHeight="1">
      <c r="A167" s="140"/>
      <c r="B167" s="319"/>
      <c r="C167" s="277"/>
      <c r="D167" s="141"/>
      <c r="E167" s="141"/>
      <c r="F167" s="142"/>
      <c r="G167" s="143"/>
      <c r="H167" s="142"/>
      <c r="I167" s="144"/>
      <c r="J167" s="143"/>
      <c r="K167" s="142"/>
      <c r="L167" s="145"/>
      <c r="M167" s="143"/>
      <c r="N167" s="146"/>
      <c r="O167" s="145"/>
      <c r="P167" s="143"/>
      <c r="Q167" s="146"/>
      <c r="R167" s="145"/>
      <c r="S167" s="143"/>
      <c r="T167" s="146"/>
      <c r="U167" s="142"/>
      <c r="V167" s="143"/>
      <c r="W167" s="142"/>
      <c r="X167" s="142"/>
      <c r="Y167" s="142"/>
      <c r="Z167" s="142"/>
      <c r="AA167" s="147"/>
      <c r="AB167" s="147"/>
      <c r="AC167" s="147"/>
      <c r="AD167" s="2"/>
      <c r="AE167" s="2"/>
      <c r="AF167" s="2"/>
      <c r="AG167" s="2"/>
      <c r="AH167" s="2"/>
      <c r="AI167" s="2"/>
    </row>
    <row r="168" spans="1:35" ht="30" hidden="1" customHeight="1">
      <c r="A168" s="140"/>
      <c r="B168" s="319"/>
      <c r="C168" s="277"/>
      <c r="D168" s="141"/>
      <c r="E168" s="141"/>
      <c r="F168" s="142"/>
      <c r="G168" s="143"/>
      <c r="H168" s="142"/>
      <c r="I168" s="144"/>
      <c r="J168" s="143"/>
      <c r="K168" s="142"/>
      <c r="L168" s="145"/>
      <c r="M168" s="143"/>
      <c r="N168" s="146"/>
      <c r="O168" s="145"/>
      <c r="P168" s="143"/>
      <c r="Q168" s="146"/>
      <c r="R168" s="145"/>
      <c r="S168" s="143"/>
      <c r="T168" s="146"/>
      <c r="U168" s="142"/>
      <c r="V168" s="143"/>
      <c r="W168" s="142"/>
      <c r="X168" s="142"/>
      <c r="Y168" s="142"/>
      <c r="Z168" s="142"/>
      <c r="AA168" s="147"/>
      <c r="AB168" s="147"/>
      <c r="AC168" s="147"/>
      <c r="AD168" s="2"/>
      <c r="AE168" s="2"/>
      <c r="AF168" s="2"/>
      <c r="AG168" s="2"/>
      <c r="AH168" s="2"/>
      <c r="AI168" s="2"/>
    </row>
    <row r="169" spans="1:35" ht="30" hidden="1" customHeight="1">
      <c r="A169" s="140"/>
      <c r="B169" s="319"/>
      <c r="C169" s="277"/>
      <c r="D169" s="141"/>
      <c r="E169" s="141"/>
      <c r="F169" s="142"/>
      <c r="G169" s="143"/>
      <c r="H169" s="142"/>
      <c r="I169" s="144"/>
      <c r="J169" s="143"/>
      <c r="K169" s="142"/>
      <c r="L169" s="145"/>
      <c r="M169" s="143"/>
      <c r="N169" s="146"/>
      <c r="O169" s="145"/>
      <c r="P169" s="143"/>
      <c r="Q169" s="146"/>
      <c r="R169" s="145"/>
      <c r="S169" s="143"/>
      <c r="T169" s="146"/>
      <c r="U169" s="142"/>
      <c r="V169" s="143"/>
      <c r="W169" s="142"/>
      <c r="X169" s="142"/>
      <c r="Y169" s="142"/>
      <c r="Z169" s="142"/>
      <c r="AA169" s="147"/>
      <c r="AB169" s="147"/>
      <c r="AC169" s="147"/>
      <c r="AD169" s="2"/>
      <c r="AE169" s="2"/>
      <c r="AF169" s="2"/>
      <c r="AG169" s="2"/>
      <c r="AH169" s="2"/>
      <c r="AI169" s="2"/>
    </row>
    <row r="170" spans="1:35" ht="30" hidden="1" customHeight="1">
      <c r="A170" s="140"/>
      <c r="B170" s="319"/>
      <c r="C170" s="277"/>
      <c r="D170" s="141"/>
      <c r="E170" s="141"/>
      <c r="F170" s="142"/>
      <c r="G170" s="143"/>
      <c r="H170" s="142"/>
      <c r="I170" s="144"/>
      <c r="J170" s="143"/>
      <c r="K170" s="142"/>
      <c r="L170" s="145"/>
      <c r="M170" s="143"/>
      <c r="N170" s="146"/>
      <c r="O170" s="145"/>
      <c r="P170" s="143"/>
      <c r="Q170" s="146"/>
      <c r="R170" s="145"/>
      <c r="S170" s="143"/>
      <c r="T170" s="146"/>
      <c r="U170" s="142"/>
      <c r="V170" s="143"/>
      <c r="W170" s="142"/>
      <c r="X170" s="142"/>
      <c r="Y170" s="142"/>
      <c r="Z170" s="142"/>
      <c r="AA170" s="147"/>
      <c r="AB170" s="147"/>
      <c r="AC170" s="147"/>
      <c r="AD170" s="2"/>
      <c r="AE170" s="2"/>
      <c r="AF170" s="2"/>
      <c r="AG170" s="2"/>
      <c r="AH170" s="2"/>
      <c r="AI170" s="2"/>
    </row>
    <row r="171" spans="1:35" ht="30" hidden="1" customHeight="1">
      <c r="A171" s="140"/>
      <c r="B171" s="319"/>
      <c r="C171" s="277"/>
      <c r="D171" s="141"/>
      <c r="E171" s="141"/>
      <c r="F171" s="142"/>
      <c r="G171" s="143"/>
      <c r="H171" s="142"/>
      <c r="I171" s="144"/>
      <c r="J171" s="143"/>
      <c r="K171" s="142"/>
      <c r="L171" s="145"/>
      <c r="M171" s="143"/>
      <c r="N171" s="146"/>
      <c r="O171" s="145"/>
      <c r="P171" s="143"/>
      <c r="Q171" s="146"/>
      <c r="R171" s="145"/>
      <c r="S171" s="143"/>
      <c r="T171" s="146"/>
      <c r="U171" s="142"/>
      <c r="V171" s="143"/>
      <c r="W171" s="142"/>
      <c r="X171" s="142"/>
      <c r="Y171" s="142"/>
      <c r="Z171" s="142"/>
      <c r="AA171" s="147"/>
      <c r="AB171" s="147"/>
      <c r="AC171" s="147"/>
      <c r="AD171" s="2"/>
      <c r="AE171" s="2"/>
      <c r="AF171" s="2"/>
      <c r="AG171" s="2"/>
      <c r="AH171" s="2"/>
      <c r="AI171" s="2"/>
    </row>
    <row r="172" spans="1:35" ht="30" hidden="1" customHeight="1">
      <c r="A172" s="140"/>
      <c r="B172" s="319"/>
      <c r="C172" s="277"/>
      <c r="D172" s="141"/>
      <c r="E172" s="141"/>
      <c r="F172" s="142"/>
      <c r="G172" s="143"/>
      <c r="H172" s="142"/>
      <c r="I172" s="144"/>
      <c r="J172" s="143"/>
      <c r="K172" s="142"/>
      <c r="L172" s="145"/>
      <c r="M172" s="143"/>
      <c r="N172" s="146"/>
      <c r="O172" s="145"/>
      <c r="P172" s="143"/>
      <c r="Q172" s="146"/>
      <c r="R172" s="145"/>
      <c r="S172" s="143"/>
      <c r="T172" s="146"/>
      <c r="U172" s="142"/>
      <c r="V172" s="143"/>
      <c r="W172" s="142"/>
      <c r="X172" s="142"/>
      <c r="Y172" s="142"/>
      <c r="Z172" s="142"/>
      <c r="AA172" s="147"/>
      <c r="AB172" s="147"/>
      <c r="AC172" s="147"/>
      <c r="AD172" s="2"/>
      <c r="AE172" s="2"/>
      <c r="AF172" s="2"/>
      <c r="AG172" s="2"/>
      <c r="AH172" s="2"/>
      <c r="AI172" s="2"/>
    </row>
    <row r="173" spans="1:35" ht="30" hidden="1" customHeight="1">
      <c r="A173" s="140"/>
      <c r="B173" s="319"/>
      <c r="C173" s="277"/>
      <c r="D173" s="141"/>
      <c r="E173" s="141"/>
      <c r="F173" s="142"/>
      <c r="G173" s="143"/>
      <c r="H173" s="142"/>
      <c r="I173" s="144"/>
      <c r="J173" s="143"/>
      <c r="K173" s="142"/>
      <c r="L173" s="145"/>
      <c r="M173" s="143"/>
      <c r="N173" s="146"/>
      <c r="O173" s="145"/>
      <c r="P173" s="143"/>
      <c r="Q173" s="146"/>
      <c r="R173" s="145"/>
      <c r="S173" s="143"/>
      <c r="T173" s="146"/>
      <c r="U173" s="142"/>
      <c r="V173" s="143"/>
      <c r="W173" s="142"/>
      <c r="X173" s="142"/>
      <c r="Y173" s="142"/>
      <c r="Z173" s="142"/>
      <c r="AA173" s="147"/>
      <c r="AB173" s="147"/>
      <c r="AC173" s="147"/>
      <c r="AD173" s="2"/>
      <c r="AE173" s="2"/>
      <c r="AF173" s="2"/>
      <c r="AG173" s="2"/>
      <c r="AH173" s="2"/>
      <c r="AI173" s="2"/>
    </row>
    <row r="174" spans="1:35" ht="30" hidden="1" customHeight="1">
      <c r="A174" s="140"/>
      <c r="B174" s="319"/>
      <c r="C174" s="277"/>
      <c r="D174" s="141"/>
      <c r="E174" s="141"/>
      <c r="F174" s="142"/>
      <c r="G174" s="143"/>
      <c r="H174" s="142"/>
      <c r="I174" s="144"/>
      <c r="J174" s="143"/>
      <c r="K174" s="142"/>
      <c r="L174" s="145"/>
      <c r="M174" s="143"/>
      <c r="N174" s="146"/>
      <c r="O174" s="145"/>
      <c r="P174" s="143"/>
      <c r="Q174" s="146"/>
      <c r="R174" s="145"/>
      <c r="S174" s="143"/>
      <c r="T174" s="146"/>
      <c r="U174" s="142"/>
      <c r="V174" s="143"/>
      <c r="W174" s="142"/>
      <c r="X174" s="142"/>
      <c r="Y174" s="142"/>
      <c r="Z174" s="142"/>
      <c r="AA174" s="147"/>
      <c r="AB174" s="147"/>
      <c r="AC174" s="147"/>
      <c r="AD174" s="2"/>
      <c r="AE174" s="2"/>
      <c r="AF174" s="2"/>
      <c r="AG174" s="2"/>
      <c r="AH174" s="2"/>
      <c r="AI174" s="2"/>
    </row>
    <row r="175" spans="1:35" ht="30" hidden="1" customHeight="1">
      <c r="A175" s="140"/>
      <c r="B175" s="319"/>
      <c r="C175" s="277"/>
      <c r="D175" s="141"/>
      <c r="E175" s="141"/>
      <c r="F175" s="142"/>
      <c r="G175" s="143"/>
      <c r="H175" s="142"/>
      <c r="I175" s="144"/>
      <c r="J175" s="143"/>
      <c r="K175" s="142"/>
      <c r="L175" s="145"/>
      <c r="M175" s="143"/>
      <c r="N175" s="146"/>
      <c r="O175" s="145"/>
      <c r="P175" s="143"/>
      <c r="Q175" s="146"/>
      <c r="R175" s="145"/>
      <c r="S175" s="143"/>
      <c r="T175" s="146"/>
      <c r="U175" s="142"/>
      <c r="V175" s="143"/>
      <c r="W175" s="142"/>
      <c r="X175" s="142"/>
      <c r="Y175" s="142"/>
      <c r="Z175" s="142"/>
      <c r="AA175" s="147"/>
      <c r="AB175" s="147"/>
      <c r="AC175" s="147"/>
      <c r="AD175" s="2"/>
      <c r="AE175" s="2"/>
      <c r="AF175" s="2"/>
      <c r="AG175" s="2"/>
      <c r="AH175" s="2"/>
      <c r="AI175" s="2"/>
    </row>
    <row r="176" spans="1:35" ht="30" hidden="1" customHeight="1">
      <c r="A176" s="140"/>
      <c r="B176" s="319"/>
      <c r="C176" s="277"/>
      <c r="D176" s="141"/>
      <c r="E176" s="141"/>
      <c r="F176" s="142"/>
      <c r="G176" s="143"/>
      <c r="H176" s="142"/>
      <c r="I176" s="144"/>
      <c r="J176" s="143"/>
      <c r="K176" s="142"/>
      <c r="L176" s="145"/>
      <c r="M176" s="143"/>
      <c r="N176" s="146"/>
      <c r="O176" s="145"/>
      <c r="P176" s="143"/>
      <c r="Q176" s="146"/>
      <c r="R176" s="145"/>
      <c r="S176" s="143"/>
      <c r="T176" s="146"/>
      <c r="U176" s="142"/>
      <c r="V176" s="143"/>
      <c r="W176" s="142"/>
      <c r="X176" s="142"/>
      <c r="Y176" s="142"/>
      <c r="Z176" s="142"/>
      <c r="AA176" s="147"/>
      <c r="AB176" s="147"/>
      <c r="AC176" s="147"/>
      <c r="AD176" s="2"/>
      <c r="AE176" s="2"/>
      <c r="AF176" s="2"/>
      <c r="AG176" s="2"/>
      <c r="AH176" s="2"/>
      <c r="AI176" s="2"/>
    </row>
    <row r="177" spans="1:35" ht="30" hidden="1" customHeight="1">
      <c r="A177" s="140"/>
      <c r="B177" s="319"/>
      <c r="C177" s="277"/>
      <c r="D177" s="141"/>
      <c r="E177" s="141"/>
      <c r="F177" s="142"/>
      <c r="G177" s="143"/>
      <c r="H177" s="142"/>
      <c r="I177" s="144"/>
      <c r="J177" s="143"/>
      <c r="K177" s="142"/>
      <c r="L177" s="145"/>
      <c r="M177" s="143"/>
      <c r="N177" s="146"/>
      <c r="O177" s="145"/>
      <c r="P177" s="143"/>
      <c r="Q177" s="146"/>
      <c r="R177" s="145"/>
      <c r="S177" s="143"/>
      <c r="T177" s="146"/>
      <c r="U177" s="142"/>
      <c r="V177" s="143"/>
      <c r="W177" s="142"/>
      <c r="X177" s="142"/>
      <c r="Y177" s="142"/>
      <c r="Z177" s="142"/>
      <c r="AA177" s="147"/>
      <c r="AB177" s="147"/>
      <c r="AC177" s="147"/>
      <c r="AD177" s="2"/>
      <c r="AE177" s="2"/>
      <c r="AF177" s="2"/>
      <c r="AG177" s="2"/>
      <c r="AH177" s="2"/>
      <c r="AI177" s="2"/>
    </row>
    <row r="178" spans="1:35" ht="30" hidden="1" customHeight="1">
      <c r="A178" s="140"/>
      <c r="B178" s="319"/>
      <c r="C178" s="277"/>
      <c r="D178" s="141"/>
      <c r="E178" s="141"/>
      <c r="F178" s="142"/>
      <c r="G178" s="143"/>
      <c r="H178" s="142"/>
      <c r="I178" s="144"/>
      <c r="J178" s="143"/>
      <c r="K178" s="142"/>
      <c r="L178" s="145"/>
      <c r="M178" s="143"/>
      <c r="N178" s="146"/>
      <c r="O178" s="145"/>
      <c r="P178" s="143"/>
      <c r="Q178" s="146"/>
      <c r="R178" s="145"/>
      <c r="S178" s="143"/>
      <c r="T178" s="146"/>
      <c r="U178" s="142"/>
      <c r="V178" s="143"/>
      <c r="W178" s="142"/>
      <c r="X178" s="142"/>
      <c r="Y178" s="142"/>
      <c r="Z178" s="142"/>
      <c r="AA178" s="147"/>
      <c r="AB178" s="147"/>
      <c r="AC178" s="147"/>
      <c r="AD178" s="2"/>
      <c r="AE178" s="2"/>
      <c r="AF178" s="2"/>
      <c r="AG178" s="2"/>
      <c r="AH178" s="2"/>
      <c r="AI178" s="2"/>
    </row>
    <row r="179" spans="1:35" ht="30" hidden="1" customHeight="1">
      <c r="A179" s="140"/>
      <c r="B179" s="319"/>
      <c r="C179" s="277"/>
      <c r="D179" s="141"/>
      <c r="E179" s="141"/>
      <c r="F179" s="142"/>
      <c r="G179" s="143"/>
      <c r="H179" s="142"/>
      <c r="I179" s="144"/>
      <c r="J179" s="143"/>
      <c r="K179" s="142"/>
      <c r="L179" s="145"/>
      <c r="M179" s="143"/>
      <c r="N179" s="146"/>
      <c r="O179" s="145"/>
      <c r="P179" s="143"/>
      <c r="Q179" s="146"/>
      <c r="R179" s="145"/>
      <c r="S179" s="143"/>
      <c r="T179" s="146"/>
      <c r="U179" s="142"/>
      <c r="V179" s="143"/>
      <c r="W179" s="142"/>
      <c r="X179" s="142"/>
      <c r="Y179" s="142"/>
      <c r="Z179" s="142"/>
      <c r="AA179" s="147"/>
      <c r="AB179" s="147"/>
      <c r="AC179" s="147"/>
      <c r="AD179" s="2"/>
      <c r="AE179" s="2"/>
      <c r="AF179" s="2"/>
      <c r="AG179" s="2"/>
      <c r="AH179" s="2"/>
      <c r="AI179" s="2"/>
    </row>
    <row r="180" spans="1:35" ht="30" hidden="1" customHeight="1">
      <c r="A180" s="140"/>
      <c r="B180" s="319"/>
      <c r="C180" s="277"/>
      <c r="D180" s="141"/>
      <c r="E180" s="141"/>
      <c r="F180" s="142"/>
      <c r="G180" s="143"/>
      <c r="H180" s="142"/>
      <c r="I180" s="144"/>
      <c r="J180" s="143"/>
      <c r="K180" s="142"/>
      <c r="L180" s="145"/>
      <c r="M180" s="143"/>
      <c r="N180" s="146"/>
      <c r="O180" s="145"/>
      <c r="P180" s="143"/>
      <c r="Q180" s="146"/>
      <c r="R180" s="145"/>
      <c r="S180" s="143"/>
      <c r="T180" s="146"/>
      <c r="U180" s="142"/>
      <c r="V180" s="143"/>
      <c r="W180" s="142"/>
      <c r="X180" s="142"/>
      <c r="Y180" s="142"/>
      <c r="Z180" s="142"/>
      <c r="AA180" s="147"/>
      <c r="AB180" s="147"/>
      <c r="AC180" s="147"/>
      <c r="AD180" s="2"/>
      <c r="AE180" s="2"/>
      <c r="AF180" s="2"/>
      <c r="AG180" s="2"/>
      <c r="AH180" s="2"/>
      <c r="AI180" s="2"/>
    </row>
    <row r="181" spans="1:35" ht="30" hidden="1" customHeight="1">
      <c r="A181" s="140"/>
      <c r="B181" s="319"/>
      <c r="C181" s="277"/>
      <c r="D181" s="141"/>
      <c r="E181" s="141"/>
      <c r="F181" s="142"/>
      <c r="G181" s="143"/>
      <c r="H181" s="142"/>
      <c r="I181" s="144"/>
      <c r="J181" s="143"/>
      <c r="K181" s="142"/>
      <c r="L181" s="145"/>
      <c r="M181" s="143"/>
      <c r="N181" s="146"/>
      <c r="O181" s="145"/>
      <c r="P181" s="143"/>
      <c r="Q181" s="146"/>
      <c r="R181" s="145"/>
      <c r="S181" s="143"/>
      <c r="T181" s="146"/>
      <c r="U181" s="142"/>
      <c r="V181" s="143"/>
      <c r="W181" s="142"/>
      <c r="X181" s="142"/>
      <c r="Y181" s="142"/>
      <c r="Z181" s="142"/>
      <c r="AA181" s="147"/>
      <c r="AB181" s="147"/>
      <c r="AC181" s="147"/>
      <c r="AD181" s="2"/>
      <c r="AE181" s="2"/>
      <c r="AF181" s="2"/>
      <c r="AG181" s="2"/>
      <c r="AH181" s="2"/>
      <c r="AI181" s="2"/>
    </row>
    <row r="182" spans="1:35" ht="30" hidden="1" customHeight="1">
      <c r="A182" s="140"/>
      <c r="B182" s="319"/>
      <c r="C182" s="277"/>
      <c r="D182" s="141"/>
      <c r="E182" s="141"/>
      <c r="F182" s="142"/>
      <c r="G182" s="143"/>
      <c r="H182" s="142"/>
      <c r="I182" s="144"/>
      <c r="J182" s="143"/>
      <c r="K182" s="142"/>
      <c r="L182" s="145"/>
      <c r="M182" s="143"/>
      <c r="N182" s="146"/>
      <c r="O182" s="145"/>
      <c r="P182" s="143"/>
      <c r="Q182" s="146"/>
      <c r="R182" s="145"/>
      <c r="S182" s="143"/>
      <c r="T182" s="146"/>
      <c r="U182" s="142"/>
      <c r="V182" s="143"/>
      <c r="W182" s="142"/>
      <c r="X182" s="142"/>
      <c r="Y182" s="142"/>
      <c r="Z182" s="142"/>
      <c r="AA182" s="147"/>
      <c r="AB182" s="147"/>
      <c r="AC182" s="147"/>
      <c r="AD182" s="2"/>
      <c r="AE182" s="2"/>
      <c r="AF182" s="2"/>
      <c r="AG182" s="2"/>
      <c r="AH182" s="2"/>
      <c r="AI182" s="2"/>
    </row>
    <row r="183" spans="1:35" ht="30" hidden="1" customHeight="1">
      <c r="A183" s="140"/>
      <c r="B183" s="319"/>
      <c r="C183" s="277"/>
      <c r="D183" s="141"/>
      <c r="E183" s="141"/>
      <c r="F183" s="142"/>
      <c r="G183" s="143"/>
      <c r="H183" s="142"/>
      <c r="I183" s="144"/>
      <c r="J183" s="143"/>
      <c r="K183" s="142"/>
      <c r="L183" s="145"/>
      <c r="M183" s="143"/>
      <c r="N183" s="146"/>
      <c r="O183" s="145"/>
      <c r="P183" s="143"/>
      <c r="Q183" s="146"/>
      <c r="R183" s="145"/>
      <c r="S183" s="143"/>
      <c r="T183" s="146"/>
      <c r="U183" s="142"/>
      <c r="V183" s="143"/>
      <c r="W183" s="142"/>
      <c r="X183" s="142"/>
      <c r="Y183" s="142"/>
      <c r="Z183" s="142"/>
      <c r="AA183" s="147"/>
      <c r="AB183" s="147"/>
      <c r="AC183" s="147"/>
      <c r="AD183" s="2"/>
      <c r="AE183" s="2"/>
      <c r="AF183" s="2"/>
      <c r="AG183" s="2"/>
      <c r="AH183" s="2"/>
      <c r="AI183" s="2"/>
    </row>
    <row r="184" spans="1:35" ht="30" hidden="1" customHeight="1">
      <c r="A184" s="140"/>
      <c r="B184" s="319"/>
      <c r="C184" s="277"/>
      <c r="D184" s="141"/>
      <c r="E184" s="141"/>
      <c r="F184" s="142"/>
      <c r="G184" s="143"/>
      <c r="H184" s="142"/>
      <c r="I184" s="144"/>
      <c r="J184" s="143"/>
      <c r="K184" s="142"/>
      <c r="L184" s="145"/>
      <c r="M184" s="143"/>
      <c r="N184" s="146"/>
      <c r="O184" s="145"/>
      <c r="P184" s="143"/>
      <c r="Q184" s="146"/>
      <c r="R184" s="145"/>
      <c r="S184" s="143"/>
      <c r="T184" s="146"/>
      <c r="U184" s="142"/>
      <c r="V184" s="143"/>
      <c r="W184" s="142"/>
      <c r="X184" s="142"/>
      <c r="Y184" s="142"/>
      <c r="Z184" s="142"/>
      <c r="AA184" s="147"/>
      <c r="AB184" s="147"/>
      <c r="AC184" s="147"/>
      <c r="AD184" s="2"/>
      <c r="AE184" s="2"/>
      <c r="AF184" s="2"/>
      <c r="AG184" s="2"/>
      <c r="AH184" s="2"/>
      <c r="AI184" s="2"/>
    </row>
    <row r="185" spans="1:35" ht="30" hidden="1" customHeight="1">
      <c r="A185" s="140"/>
      <c r="B185" s="319"/>
      <c r="C185" s="277"/>
      <c r="D185" s="141"/>
      <c r="E185" s="141"/>
      <c r="F185" s="142"/>
      <c r="G185" s="143"/>
      <c r="H185" s="142"/>
      <c r="I185" s="144"/>
      <c r="J185" s="143"/>
      <c r="K185" s="142"/>
      <c r="L185" s="145"/>
      <c r="M185" s="143"/>
      <c r="N185" s="146"/>
      <c r="O185" s="145"/>
      <c r="P185" s="143"/>
      <c r="Q185" s="146"/>
      <c r="R185" s="145"/>
      <c r="S185" s="143"/>
      <c r="T185" s="146"/>
      <c r="U185" s="142"/>
      <c r="V185" s="143"/>
      <c r="W185" s="142"/>
      <c r="X185" s="142"/>
      <c r="Y185" s="142"/>
      <c r="Z185" s="142"/>
      <c r="AA185" s="147"/>
      <c r="AB185" s="147"/>
      <c r="AC185" s="147"/>
      <c r="AD185" s="2"/>
      <c r="AE185" s="2"/>
      <c r="AF185" s="2"/>
      <c r="AG185" s="2"/>
      <c r="AH185" s="2"/>
      <c r="AI185" s="2"/>
    </row>
    <row r="186" spans="1:35" ht="30" hidden="1" customHeight="1">
      <c r="A186" s="140"/>
      <c r="B186" s="319"/>
      <c r="C186" s="277"/>
      <c r="D186" s="141"/>
      <c r="E186" s="141"/>
      <c r="F186" s="142"/>
      <c r="G186" s="143"/>
      <c r="H186" s="142"/>
      <c r="I186" s="144"/>
      <c r="J186" s="143"/>
      <c r="K186" s="142"/>
      <c r="L186" s="145"/>
      <c r="M186" s="143"/>
      <c r="N186" s="146"/>
      <c r="O186" s="145"/>
      <c r="P186" s="143"/>
      <c r="Q186" s="146"/>
      <c r="R186" s="145"/>
      <c r="S186" s="143"/>
      <c r="T186" s="146"/>
      <c r="U186" s="142"/>
      <c r="V186" s="143"/>
      <c r="W186" s="142"/>
      <c r="X186" s="142"/>
      <c r="Y186" s="142"/>
      <c r="Z186" s="142"/>
      <c r="AA186" s="147"/>
      <c r="AB186" s="147"/>
      <c r="AC186" s="147"/>
      <c r="AD186" s="2"/>
      <c r="AE186" s="2"/>
      <c r="AF186" s="2"/>
      <c r="AG186" s="2"/>
      <c r="AH186" s="2"/>
      <c r="AI186" s="2"/>
    </row>
    <row r="187" spans="1:35" ht="30" hidden="1" customHeight="1">
      <c r="A187" s="140"/>
      <c r="B187" s="319"/>
      <c r="C187" s="277"/>
      <c r="D187" s="141"/>
      <c r="E187" s="141"/>
      <c r="F187" s="142"/>
      <c r="G187" s="143"/>
      <c r="H187" s="142"/>
      <c r="I187" s="144"/>
      <c r="J187" s="143"/>
      <c r="K187" s="142"/>
      <c r="L187" s="145"/>
      <c r="M187" s="143"/>
      <c r="N187" s="146"/>
      <c r="O187" s="145"/>
      <c r="P187" s="143"/>
      <c r="Q187" s="146"/>
      <c r="R187" s="145"/>
      <c r="S187" s="143"/>
      <c r="T187" s="146"/>
      <c r="U187" s="142"/>
      <c r="V187" s="143"/>
      <c r="W187" s="142"/>
      <c r="X187" s="142"/>
      <c r="Y187" s="142"/>
      <c r="Z187" s="142"/>
      <c r="AA187" s="147"/>
      <c r="AB187" s="147"/>
      <c r="AC187" s="147"/>
      <c r="AD187" s="2"/>
      <c r="AE187" s="2"/>
      <c r="AF187" s="2"/>
      <c r="AG187" s="2"/>
      <c r="AH187" s="2"/>
      <c r="AI187" s="2"/>
    </row>
    <row r="188" spans="1:35" ht="30" hidden="1" customHeight="1">
      <c r="A188" s="140"/>
      <c r="B188" s="319"/>
      <c r="C188" s="277"/>
      <c r="D188" s="141"/>
      <c r="E188" s="141"/>
      <c r="F188" s="142"/>
      <c r="G188" s="143"/>
      <c r="H188" s="142"/>
      <c r="I188" s="144"/>
      <c r="J188" s="143"/>
      <c r="K188" s="142"/>
      <c r="L188" s="145"/>
      <c r="M188" s="143"/>
      <c r="N188" s="146"/>
      <c r="O188" s="145"/>
      <c r="P188" s="143"/>
      <c r="Q188" s="146"/>
      <c r="R188" s="145"/>
      <c r="S188" s="143"/>
      <c r="T188" s="146"/>
      <c r="U188" s="142"/>
      <c r="V188" s="143"/>
      <c r="W188" s="142"/>
      <c r="X188" s="142"/>
      <c r="Y188" s="142"/>
      <c r="Z188" s="142"/>
      <c r="AA188" s="147"/>
      <c r="AB188" s="147"/>
      <c r="AC188" s="147"/>
      <c r="AD188" s="2"/>
      <c r="AE188" s="2"/>
      <c r="AF188" s="2"/>
      <c r="AG188" s="2"/>
      <c r="AH188" s="2"/>
      <c r="AI188" s="2"/>
    </row>
    <row r="189" spans="1:35" ht="30" hidden="1" customHeight="1">
      <c r="A189" s="140"/>
      <c r="B189" s="319"/>
      <c r="C189" s="277"/>
      <c r="D189" s="141"/>
      <c r="E189" s="141"/>
      <c r="F189" s="142"/>
      <c r="G189" s="143"/>
      <c r="H189" s="142"/>
      <c r="I189" s="144"/>
      <c r="J189" s="143"/>
      <c r="K189" s="142"/>
      <c r="L189" s="145"/>
      <c r="M189" s="143"/>
      <c r="N189" s="146"/>
      <c r="O189" s="145"/>
      <c r="P189" s="143"/>
      <c r="Q189" s="146"/>
      <c r="R189" s="145"/>
      <c r="S189" s="143"/>
      <c r="T189" s="146"/>
      <c r="U189" s="142"/>
      <c r="V189" s="143"/>
      <c r="W189" s="142"/>
      <c r="X189" s="142"/>
      <c r="Y189" s="142"/>
      <c r="Z189" s="142"/>
      <c r="AA189" s="147"/>
      <c r="AB189" s="147"/>
      <c r="AC189" s="147"/>
      <c r="AD189" s="2"/>
      <c r="AE189" s="2"/>
      <c r="AF189" s="2"/>
      <c r="AG189" s="2"/>
      <c r="AH189" s="2"/>
      <c r="AI189" s="2"/>
    </row>
    <row r="190" spans="1:35" ht="30" hidden="1" customHeight="1">
      <c r="A190" s="140"/>
      <c r="B190" s="319"/>
      <c r="C190" s="277"/>
      <c r="D190" s="141"/>
      <c r="E190" s="141"/>
      <c r="F190" s="142"/>
      <c r="G190" s="143"/>
      <c r="H190" s="142"/>
      <c r="I190" s="144"/>
      <c r="J190" s="143"/>
      <c r="K190" s="142"/>
      <c r="L190" s="145"/>
      <c r="M190" s="143"/>
      <c r="N190" s="146"/>
      <c r="O190" s="145"/>
      <c r="P190" s="143"/>
      <c r="Q190" s="146"/>
      <c r="R190" s="145"/>
      <c r="S190" s="143"/>
      <c r="T190" s="146"/>
      <c r="U190" s="142"/>
      <c r="V190" s="143"/>
      <c r="W190" s="142"/>
      <c r="X190" s="142"/>
      <c r="Y190" s="142"/>
      <c r="Z190" s="142"/>
      <c r="AA190" s="147"/>
      <c r="AB190" s="147"/>
      <c r="AC190" s="147"/>
      <c r="AD190" s="2"/>
      <c r="AE190" s="2"/>
      <c r="AF190" s="2"/>
      <c r="AG190" s="2"/>
      <c r="AH190" s="2"/>
      <c r="AI190" s="2"/>
    </row>
    <row r="191" spans="1:35" ht="30" hidden="1" customHeight="1">
      <c r="A191" s="140"/>
      <c r="B191" s="319"/>
      <c r="C191" s="277"/>
      <c r="D191" s="141"/>
      <c r="E191" s="141"/>
      <c r="F191" s="142"/>
      <c r="G191" s="143"/>
      <c r="H191" s="142"/>
      <c r="I191" s="144"/>
      <c r="J191" s="143"/>
      <c r="K191" s="142"/>
      <c r="L191" s="145"/>
      <c r="M191" s="143"/>
      <c r="N191" s="146"/>
      <c r="O191" s="145"/>
      <c r="P191" s="143"/>
      <c r="Q191" s="146"/>
      <c r="R191" s="145"/>
      <c r="S191" s="143"/>
      <c r="T191" s="146"/>
      <c r="U191" s="142"/>
      <c r="V191" s="143"/>
      <c r="W191" s="142"/>
      <c r="X191" s="142"/>
      <c r="Y191" s="142"/>
      <c r="Z191" s="142"/>
      <c r="AA191" s="147"/>
      <c r="AB191" s="147"/>
      <c r="AC191" s="147"/>
      <c r="AD191" s="2"/>
      <c r="AE191" s="2"/>
      <c r="AF191" s="2"/>
      <c r="AG191" s="2"/>
      <c r="AH191" s="2"/>
      <c r="AI191" s="2"/>
    </row>
    <row r="192" spans="1:35" ht="30" hidden="1" customHeight="1">
      <c r="A192" s="140"/>
      <c r="B192" s="319"/>
      <c r="C192" s="277"/>
      <c r="D192" s="141"/>
      <c r="E192" s="141"/>
      <c r="F192" s="142"/>
      <c r="G192" s="143"/>
      <c r="H192" s="142"/>
      <c r="I192" s="144"/>
      <c r="J192" s="143"/>
      <c r="K192" s="142"/>
      <c r="L192" s="145"/>
      <c r="M192" s="143"/>
      <c r="N192" s="146"/>
      <c r="O192" s="145"/>
      <c r="P192" s="143"/>
      <c r="Q192" s="146"/>
      <c r="R192" s="145"/>
      <c r="S192" s="143"/>
      <c r="T192" s="146"/>
      <c r="U192" s="142"/>
      <c r="V192" s="143"/>
      <c r="W192" s="142"/>
      <c r="X192" s="142"/>
      <c r="Y192" s="142"/>
      <c r="Z192" s="142"/>
      <c r="AA192" s="147"/>
      <c r="AB192" s="147"/>
      <c r="AC192" s="147"/>
      <c r="AD192" s="2"/>
      <c r="AE192" s="2"/>
      <c r="AF192" s="2"/>
      <c r="AG192" s="2"/>
      <c r="AH192" s="2"/>
      <c r="AI192" s="2"/>
    </row>
    <row r="193" spans="1:35" ht="30" hidden="1" customHeight="1">
      <c r="A193" s="140"/>
      <c r="B193" s="319"/>
      <c r="C193" s="277"/>
      <c r="D193" s="141"/>
      <c r="E193" s="141"/>
      <c r="F193" s="142"/>
      <c r="G193" s="143"/>
      <c r="H193" s="142"/>
      <c r="I193" s="144"/>
      <c r="J193" s="143"/>
      <c r="K193" s="142"/>
      <c r="L193" s="145"/>
      <c r="M193" s="143"/>
      <c r="N193" s="146"/>
      <c r="O193" s="145"/>
      <c r="P193" s="143"/>
      <c r="Q193" s="146"/>
      <c r="R193" s="145"/>
      <c r="S193" s="143"/>
      <c r="T193" s="146"/>
      <c r="U193" s="142"/>
      <c r="V193" s="143"/>
      <c r="W193" s="142"/>
      <c r="X193" s="142"/>
      <c r="Y193" s="142"/>
      <c r="Z193" s="142"/>
      <c r="AA193" s="147"/>
      <c r="AB193" s="147"/>
      <c r="AC193" s="147"/>
      <c r="AD193" s="2"/>
      <c r="AE193" s="2"/>
      <c r="AF193" s="2"/>
      <c r="AG193" s="2"/>
      <c r="AH193" s="2"/>
      <c r="AI193" s="2"/>
    </row>
    <row r="194" spans="1:35" ht="30" hidden="1" customHeight="1">
      <c r="A194" s="140"/>
      <c r="B194" s="319"/>
      <c r="C194" s="277"/>
      <c r="D194" s="141"/>
      <c r="E194" s="141"/>
      <c r="F194" s="142"/>
      <c r="G194" s="143"/>
      <c r="H194" s="142"/>
      <c r="I194" s="144"/>
      <c r="J194" s="143"/>
      <c r="K194" s="142"/>
      <c r="L194" s="145"/>
      <c r="M194" s="143"/>
      <c r="N194" s="146"/>
      <c r="O194" s="145"/>
      <c r="P194" s="143"/>
      <c r="Q194" s="146"/>
      <c r="R194" s="145"/>
      <c r="S194" s="143"/>
      <c r="T194" s="146"/>
      <c r="U194" s="142"/>
      <c r="V194" s="143"/>
      <c r="W194" s="142"/>
      <c r="X194" s="142"/>
      <c r="Y194" s="142"/>
      <c r="Z194" s="142"/>
      <c r="AA194" s="147"/>
      <c r="AB194" s="147"/>
      <c r="AC194" s="147"/>
      <c r="AD194" s="2"/>
      <c r="AE194" s="2"/>
      <c r="AF194" s="2"/>
      <c r="AG194" s="2"/>
      <c r="AH194" s="2"/>
      <c r="AI194" s="2"/>
    </row>
    <row r="195" spans="1:35" ht="30" hidden="1" customHeight="1">
      <c r="A195" s="140"/>
      <c r="B195" s="319"/>
      <c r="C195" s="277"/>
      <c r="D195" s="141"/>
      <c r="E195" s="141"/>
      <c r="F195" s="142"/>
      <c r="G195" s="143"/>
      <c r="H195" s="142"/>
      <c r="I195" s="144"/>
      <c r="J195" s="143"/>
      <c r="K195" s="142"/>
      <c r="L195" s="145"/>
      <c r="M195" s="143"/>
      <c r="N195" s="146"/>
      <c r="O195" s="145"/>
      <c r="P195" s="143"/>
      <c r="Q195" s="146"/>
      <c r="R195" s="145"/>
      <c r="S195" s="143"/>
      <c r="T195" s="146"/>
      <c r="U195" s="142"/>
      <c r="V195" s="143"/>
      <c r="W195" s="142"/>
      <c r="X195" s="142"/>
      <c r="Y195" s="142"/>
      <c r="Z195" s="142"/>
      <c r="AA195" s="147"/>
      <c r="AB195" s="147"/>
      <c r="AC195" s="147"/>
      <c r="AD195" s="2"/>
      <c r="AE195" s="2"/>
      <c r="AF195" s="2"/>
      <c r="AG195" s="2"/>
      <c r="AH195" s="2"/>
      <c r="AI195" s="2"/>
    </row>
    <row r="196" spans="1:35" ht="30" hidden="1" customHeight="1">
      <c r="A196" s="140"/>
      <c r="B196" s="319"/>
      <c r="C196" s="277"/>
      <c r="D196" s="141"/>
      <c r="E196" s="141"/>
      <c r="F196" s="142"/>
      <c r="G196" s="143"/>
      <c r="H196" s="142"/>
      <c r="I196" s="144"/>
      <c r="J196" s="143"/>
      <c r="K196" s="142"/>
      <c r="L196" s="145"/>
      <c r="M196" s="143"/>
      <c r="N196" s="146"/>
      <c r="O196" s="145"/>
      <c r="P196" s="143"/>
      <c r="Q196" s="146"/>
      <c r="R196" s="145"/>
      <c r="S196" s="143"/>
      <c r="T196" s="146"/>
      <c r="U196" s="142"/>
      <c r="V196" s="143"/>
      <c r="W196" s="142"/>
      <c r="X196" s="142"/>
      <c r="Y196" s="142"/>
      <c r="Z196" s="142"/>
      <c r="AA196" s="147"/>
      <c r="AB196" s="147"/>
      <c r="AC196" s="147"/>
      <c r="AD196" s="2"/>
      <c r="AE196" s="2"/>
      <c r="AF196" s="2"/>
      <c r="AG196" s="2"/>
      <c r="AH196" s="2"/>
      <c r="AI196" s="2"/>
    </row>
    <row r="197" spans="1:35" ht="30" hidden="1" customHeight="1">
      <c r="A197" s="140"/>
      <c r="B197" s="319"/>
      <c r="C197" s="277"/>
      <c r="D197" s="141"/>
      <c r="E197" s="141"/>
      <c r="F197" s="142"/>
      <c r="G197" s="143"/>
      <c r="H197" s="142"/>
      <c r="I197" s="144"/>
      <c r="J197" s="143"/>
      <c r="K197" s="142"/>
      <c r="L197" s="145"/>
      <c r="M197" s="143"/>
      <c r="N197" s="146"/>
      <c r="O197" s="145"/>
      <c r="P197" s="143"/>
      <c r="Q197" s="146"/>
      <c r="R197" s="145"/>
      <c r="S197" s="143"/>
      <c r="T197" s="146"/>
      <c r="U197" s="142"/>
      <c r="V197" s="143"/>
      <c r="W197" s="142"/>
      <c r="X197" s="142"/>
      <c r="Y197" s="142"/>
      <c r="Z197" s="142"/>
      <c r="AA197" s="147"/>
      <c r="AB197" s="147"/>
      <c r="AC197" s="147"/>
      <c r="AD197" s="2"/>
      <c r="AE197" s="2"/>
      <c r="AF197" s="2"/>
      <c r="AG197" s="2"/>
      <c r="AH197" s="2"/>
      <c r="AI197" s="2"/>
    </row>
    <row r="198" spans="1:35" ht="30" hidden="1" customHeight="1">
      <c r="A198" s="140"/>
      <c r="B198" s="319"/>
      <c r="C198" s="277"/>
      <c r="D198" s="141"/>
      <c r="E198" s="141"/>
      <c r="F198" s="142"/>
      <c r="G198" s="143"/>
      <c r="H198" s="142"/>
      <c r="I198" s="144"/>
      <c r="J198" s="143"/>
      <c r="K198" s="142"/>
      <c r="L198" s="145"/>
      <c r="M198" s="143"/>
      <c r="N198" s="146"/>
      <c r="O198" s="145"/>
      <c r="P198" s="143"/>
      <c r="Q198" s="146"/>
      <c r="R198" s="145"/>
      <c r="S198" s="143"/>
      <c r="T198" s="146"/>
      <c r="U198" s="142"/>
      <c r="V198" s="143"/>
      <c r="W198" s="142"/>
      <c r="X198" s="142"/>
      <c r="Y198" s="142"/>
      <c r="Z198" s="142"/>
      <c r="AA198" s="147"/>
      <c r="AB198" s="147"/>
      <c r="AC198" s="147"/>
      <c r="AD198" s="2"/>
      <c r="AE198" s="2"/>
      <c r="AF198" s="2"/>
      <c r="AG198" s="2"/>
      <c r="AH198" s="2"/>
      <c r="AI198" s="2"/>
    </row>
    <row r="199" spans="1:35" ht="30" hidden="1" customHeight="1">
      <c r="A199" s="140"/>
      <c r="B199" s="319"/>
      <c r="C199" s="277"/>
      <c r="D199" s="141"/>
      <c r="E199" s="141"/>
      <c r="F199" s="142"/>
      <c r="G199" s="143"/>
      <c r="H199" s="142"/>
      <c r="I199" s="144"/>
      <c r="J199" s="143"/>
      <c r="K199" s="142"/>
      <c r="L199" s="145"/>
      <c r="M199" s="143"/>
      <c r="N199" s="146"/>
      <c r="O199" s="145"/>
      <c r="P199" s="143"/>
      <c r="Q199" s="146"/>
      <c r="R199" s="145"/>
      <c r="S199" s="143"/>
      <c r="T199" s="146"/>
      <c r="U199" s="142"/>
      <c r="V199" s="143"/>
      <c r="W199" s="142"/>
      <c r="X199" s="142"/>
      <c r="Y199" s="142"/>
      <c r="Z199" s="142"/>
      <c r="AA199" s="147"/>
      <c r="AB199" s="147"/>
      <c r="AC199" s="147"/>
      <c r="AD199" s="2"/>
      <c r="AE199" s="2"/>
      <c r="AF199" s="2"/>
      <c r="AG199" s="2"/>
      <c r="AH199" s="2"/>
      <c r="AI199" s="2"/>
    </row>
    <row r="200" spans="1:35" ht="30" hidden="1" customHeight="1">
      <c r="A200" s="140"/>
      <c r="B200" s="319"/>
      <c r="C200" s="277"/>
      <c r="D200" s="141"/>
      <c r="E200" s="141"/>
      <c r="F200" s="142"/>
      <c r="G200" s="143"/>
      <c r="H200" s="142"/>
      <c r="I200" s="144"/>
      <c r="J200" s="143"/>
      <c r="K200" s="142"/>
      <c r="L200" s="145"/>
      <c r="M200" s="143"/>
      <c r="N200" s="146"/>
      <c r="O200" s="145"/>
      <c r="P200" s="143"/>
      <c r="Q200" s="146"/>
      <c r="R200" s="145"/>
      <c r="S200" s="143"/>
      <c r="T200" s="146"/>
      <c r="U200" s="142"/>
      <c r="V200" s="143"/>
      <c r="W200" s="142"/>
      <c r="X200" s="142"/>
      <c r="Y200" s="142"/>
      <c r="Z200" s="142"/>
      <c r="AA200" s="147"/>
      <c r="AB200" s="147"/>
      <c r="AC200" s="147"/>
      <c r="AD200" s="2"/>
      <c r="AE200" s="2"/>
      <c r="AF200" s="2"/>
      <c r="AG200" s="2"/>
      <c r="AH200" s="2"/>
      <c r="AI200" s="2"/>
    </row>
    <row r="201" spans="1:35" ht="30" hidden="1" customHeight="1">
      <c r="A201" s="140"/>
      <c r="B201" s="319"/>
      <c r="C201" s="277"/>
      <c r="D201" s="141"/>
      <c r="E201" s="141"/>
      <c r="F201" s="142"/>
      <c r="G201" s="143"/>
      <c r="H201" s="142"/>
      <c r="I201" s="144"/>
      <c r="J201" s="143"/>
      <c r="K201" s="142"/>
      <c r="L201" s="145"/>
      <c r="M201" s="143"/>
      <c r="N201" s="146"/>
      <c r="O201" s="145"/>
      <c r="P201" s="143"/>
      <c r="Q201" s="146"/>
      <c r="R201" s="145"/>
      <c r="S201" s="143"/>
      <c r="T201" s="146"/>
      <c r="U201" s="142"/>
      <c r="V201" s="143"/>
      <c r="W201" s="142"/>
      <c r="X201" s="142"/>
      <c r="Y201" s="142"/>
      <c r="Z201" s="142"/>
      <c r="AA201" s="147"/>
      <c r="AB201" s="147"/>
      <c r="AC201" s="147"/>
      <c r="AD201" s="2"/>
      <c r="AE201" s="2"/>
      <c r="AF201" s="2"/>
      <c r="AG201" s="2"/>
      <c r="AH201" s="2"/>
      <c r="AI201" s="2"/>
    </row>
    <row r="202" spans="1:35" ht="30" hidden="1" customHeight="1">
      <c r="A202" s="140"/>
      <c r="B202" s="319"/>
      <c r="C202" s="277"/>
      <c r="D202" s="141"/>
      <c r="E202" s="141"/>
      <c r="F202" s="142"/>
      <c r="G202" s="143"/>
      <c r="H202" s="142"/>
      <c r="I202" s="144"/>
      <c r="J202" s="143"/>
      <c r="K202" s="142"/>
      <c r="L202" s="145"/>
      <c r="M202" s="143"/>
      <c r="N202" s="146"/>
      <c r="O202" s="145"/>
      <c r="P202" s="143"/>
      <c r="Q202" s="146"/>
      <c r="R202" s="145"/>
      <c r="S202" s="143"/>
      <c r="T202" s="146"/>
      <c r="U202" s="142"/>
      <c r="V202" s="143"/>
      <c r="W202" s="142"/>
      <c r="X202" s="142"/>
      <c r="Y202" s="142"/>
      <c r="Z202" s="142"/>
      <c r="AA202" s="147"/>
      <c r="AB202" s="147"/>
      <c r="AC202" s="147"/>
      <c r="AD202" s="2"/>
      <c r="AE202" s="2"/>
      <c r="AF202" s="2"/>
      <c r="AG202" s="2"/>
      <c r="AH202" s="2"/>
      <c r="AI202" s="2"/>
    </row>
    <row r="203" spans="1:35" ht="30" hidden="1" customHeight="1">
      <c r="A203" s="140"/>
      <c r="B203" s="319"/>
      <c r="C203" s="277"/>
      <c r="D203" s="141"/>
      <c r="E203" s="141"/>
      <c r="F203" s="142"/>
      <c r="G203" s="143"/>
      <c r="H203" s="142"/>
      <c r="I203" s="144"/>
      <c r="J203" s="143"/>
      <c r="K203" s="142"/>
      <c r="L203" s="145"/>
      <c r="M203" s="143"/>
      <c r="N203" s="146"/>
      <c r="O203" s="145"/>
      <c r="P203" s="143"/>
      <c r="Q203" s="146"/>
      <c r="R203" s="145"/>
      <c r="S203" s="143"/>
      <c r="T203" s="146"/>
      <c r="U203" s="142"/>
      <c r="V203" s="143"/>
      <c r="W203" s="142"/>
      <c r="X203" s="142"/>
      <c r="Y203" s="142"/>
      <c r="Z203" s="142"/>
      <c r="AA203" s="147"/>
      <c r="AB203" s="147"/>
      <c r="AC203" s="147"/>
      <c r="AD203" s="2"/>
      <c r="AE203" s="2"/>
      <c r="AF203" s="2"/>
      <c r="AG203" s="2"/>
      <c r="AH203" s="2"/>
      <c r="AI203" s="2"/>
    </row>
    <row r="204" spans="1:35" ht="30" hidden="1" customHeight="1">
      <c r="A204" s="140"/>
      <c r="B204" s="319"/>
      <c r="C204" s="277"/>
      <c r="D204" s="141"/>
      <c r="E204" s="141"/>
      <c r="F204" s="142"/>
      <c r="G204" s="143"/>
      <c r="H204" s="142"/>
      <c r="I204" s="144"/>
      <c r="J204" s="143"/>
      <c r="K204" s="142"/>
      <c r="L204" s="145"/>
      <c r="M204" s="143"/>
      <c r="N204" s="146"/>
      <c r="O204" s="145"/>
      <c r="P204" s="143"/>
      <c r="Q204" s="146"/>
      <c r="R204" s="145"/>
      <c r="S204" s="143"/>
      <c r="T204" s="146"/>
      <c r="U204" s="142"/>
      <c r="V204" s="143"/>
      <c r="W204" s="142"/>
      <c r="X204" s="142"/>
      <c r="Y204" s="142"/>
      <c r="Z204" s="142"/>
      <c r="AA204" s="147"/>
      <c r="AB204" s="147"/>
      <c r="AC204" s="147"/>
      <c r="AD204" s="2"/>
      <c r="AE204" s="2"/>
      <c r="AF204" s="2"/>
      <c r="AG204" s="2"/>
      <c r="AH204" s="2"/>
      <c r="AI204" s="2"/>
    </row>
    <row r="205" spans="1:35" ht="30" hidden="1" customHeight="1">
      <c r="A205" s="140"/>
      <c r="B205" s="319"/>
      <c r="C205" s="277"/>
      <c r="D205" s="141"/>
      <c r="E205" s="141"/>
      <c r="F205" s="142"/>
      <c r="G205" s="143"/>
      <c r="H205" s="142"/>
      <c r="I205" s="144"/>
      <c r="J205" s="143"/>
      <c r="K205" s="142"/>
      <c r="L205" s="145"/>
      <c r="M205" s="143"/>
      <c r="N205" s="146"/>
      <c r="O205" s="145"/>
      <c r="P205" s="143"/>
      <c r="Q205" s="146"/>
      <c r="R205" s="145"/>
      <c r="S205" s="143"/>
      <c r="T205" s="146"/>
      <c r="U205" s="142"/>
      <c r="V205" s="143"/>
      <c r="W205" s="142"/>
      <c r="X205" s="142"/>
      <c r="Y205" s="142"/>
      <c r="Z205" s="142"/>
      <c r="AA205" s="147"/>
      <c r="AB205" s="147"/>
      <c r="AC205" s="147"/>
      <c r="AD205" s="2"/>
      <c r="AE205" s="2"/>
      <c r="AF205" s="2"/>
      <c r="AG205" s="2"/>
      <c r="AH205" s="2"/>
      <c r="AI205" s="2"/>
    </row>
    <row r="206" spans="1:35" ht="30" hidden="1" customHeight="1">
      <c r="A206" s="140"/>
      <c r="B206" s="319"/>
      <c r="C206" s="277"/>
      <c r="D206" s="141"/>
      <c r="E206" s="141"/>
      <c r="F206" s="142"/>
      <c r="G206" s="143"/>
      <c r="H206" s="142"/>
      <c r="I206" s="144"/>
      <c r="J206" s="143"/>
      <c r="K206" s="142"/>
      <c r="L206" s="145"/>
      <c r="M206" s="143"/>
      <c r="N206" s="146"/>
      <c r="O206" s="145"/>
      <c r="P206" s="143"/>
      <c r="Q206" s="146"/>
      <c r="R206" s="145"/>
      <c r="S206" s="143"/>
      <c r="T206" s="146"/>
      <c r="U206" s="142"/>
      <c r="V206" s="143"/>
      <c r="W206" s="142"/>
      <c r="X206" s="142"/>
      <c r="Y206" s="142"/>
      <c r="Z206" s="142"/>
      <c r="AA206" s="147"/>
      <c r="AB206" s="147"/>
      <c r="AC206" s="147"/>
      <c r="AD206" s="2"/>
      <c r="AE206" s="2"/>
      <c r="AF206" s="2"/>
      <c r="AG206" s="2"/>
      <c r="AH206" s="2"/>
      <c r="AI206" s="2"/>
    </row>
    <row r="207" spans="1:35" ht="30" hidden="1" customHeight="1">
      <c r="A207" s="140"/>
      <c r="B207" s="319"/>
      <c r="C207" s="277"/>
      <c r="D207" s="141"/>
      <c r="E207" s="141"/>
      <c r="F207" s="142"/>
      <c r="G207" s="143"/>
      <c r="H207" s="142"/>
      <c r="I207" s="144"/>
      <c r="J207" s="143"/>
      <c r="K207" s="142"/>
      <c r="L207" s="145"/>
      <c r="M207" s="143"/>
      <c r="N207" s="146"/>
      <c r="O207" s="145"/>
      <c r="P207" s="143"/>
      <c r="Q207" s="146"/>
      <c r="R207" s="145"/>
      <c r="S207" s="143"/>
      <c r="T207" s="146"/>
      <c r="U207" s="142"/>
      <c r="V207" s="143"/>
      <c r="W207" s="142"/>
      <c r="X207" s="142"/>
      <c r="Y207" s="142"/>
      <c r="Z207" s="142"/>
      <c r="AA207" s="147"/>
      <c r="AB207" s="147"/>
      <c r="AC207" s="147"/>
      <c r="AD207" s="2"/>
      <c r="AE207" s="2"/>
      <c r="AF207" s="2"/>
      <c r="AG207" s="2"/>
      <c r="AH207" s="2"/>
      <c r="AI207" s="2"/>
    </row>
    <row r="208" spans="1:35" ht="30" hidden="1" customHeight="1">
      <c r="A208" s="140"/>
      <c r="B208" s="319"/>
      <c r="C208" s="277"/>
      <c r="D208" s="141"/>
      <c r="E208" s="141"/>
      <c r="F208" s="142"/>
      <c r="G208" s="143"/>
      <c r="H208" s="142"/>
      <c r="I208" s="144"/>
      <c r="J208" s="143"/>
      <c r="K208" s="142"/>
      <c r="L208" s="145"/>
      <c r="M208" s="143"/>
      <c r="N208" s="146"/>
      <c r="O208" s="145"/>
      <c r="P208" s="143"/>
      <c r="Q208" s="146"/>
      <c r="R208" s="145"/>
      <c r="S208" s="143"/>
      <c r="T208" s="146"/>
      <c r="U208" s="142"/>
      <c r="V208" s="143"/>
      <c r="W208" s="142"/>
      <c r="X208" s="142"/>
      <c r="Y208" s="142"/>
      <c r="Z208" s="142"/>
      <c r="AA208" s="147"/>
      <c r="AB208" s="147"/>
      <c r="AC208" s="147"/>
      <c r="AD208" s="2"/>
      <c r="AE208" s="2"/>
      <c r="AF208" s="2"/>
      <c r="AG208" s="2"/>
      <c r="AH208" s="2"/>
      <c r="AI208" s="2"/>
    </row>
    <row r="209" spans="1:35" ht="30" hidden="1" customHeight="1">
      <c r="A209" s="140"/>
      <c r="B209" s="319"/>
      <c r="C209" s="277"/>
      <c r="D209" s="141"/>
      <c r="E209" s="141"/>
      <c r="F209" s="142"/>
      <c r="G209" s="143"/>
      <c r="H209" s="142"/>
      <c r="I209" s="144"/>
      <c r="J209" s="143"/>
      <c r="K209" s="142"/>
      <c r="L209" s="145"/>
      <c r="M209" s="143"/>
      <c r="N209" s="146"/>
      <c r="O209" s="145"/>
      <c r="P209" s="143"/>
      <c r="Q209" s="146"/>
      <c r="R209" s="145"/>
      <c r="S209" s="143"/>
      <c r="T209" s="146"/>
      <c r="U209" s="142"/>
      <c r="V209" s="143"/>
      <c r="W209" s="142"/>
      <c r="X209" s="142"/>
      <c r="Y209" s="142"/>
      <c r="Z209" s="142"/>
      <c r="AA209" s="147"/>
      <c r="AB209" s="147"/>
      <c r="AC209" s="147"/>
      <c r="AD209" s="2"/>
      <c r="AE209" s="2"/>
      <c r="AF209" s="2"/>
      <c r="AG209" s="2"/>
      <c r="AH209" s="2"/>
      <c r="AI209" s="2"/>
    </row>
    <row r="210" spans="1:35" ht="30" hidden="1" customHeight="1">
      <c r="A210" s="140"/>
      <c r="B210" s="319"/>
      <c r="C210" s="277"/>
      <c r="D210" s="141"/>
      <c r="E210" s="141"/>
      <c r="F210" s="142"/>
      <c r="G210" s="143"/>
      <c r="H210" s="142"/>
      <c r="I210" s="144"/>
      <c r="J210" s="143"/>
      <c r="K210" s="142"/>
      <c r="L210" s="145"/>
      <c r="M210" s="143"/>
      <c r="N210" s="146"/>
      <c r="O210" s="145"/>
      <c r="P210" s="143"/>
      <c r="Q210" s="146"/>
      <c r="R210" s="145"/>
      <c r="S210" s="143"/>
      <c r="T210" s="146"/>
      <c r="U210" s="142"/>
      <c r="V210" s="143"/>
      <c r="W210" s="142"/>
      <c r="X210" s="142"/>
      <c r="Y210" s="142"/>
      <c r="Z210" s="142"/>
      <c r="AA210" s="147"/>
      <c r="AB210" s="147"/>
      <c r="AC210" s="147"/>
      <c r="AD210" s="2"/>
      <c r="AE210" s="2"/>
      <c r="AF210" s="2"/>
      <c r="AG210" s="2"/>
      <c r="AH210" s="2"/>
      <c r="AI210" s="2"/>
    </row>
    <row r="211" spans="1:35" ht="30" hidden="1" customHeight="1">
      <c r="A211" s="140"/>
      <c r="B211" s="319"/>
      <c r="C211" s="277"/>
      <c r="D211" s="141"/>
      <c r="E211" s="141"/>
      <c r="F211" s="142"/>
      <c r="G211" s="143"/>
      <c r="H211" s="142"/>
      <c r="I211" s="144"/>
      <c r="J211" s="143"/>
      <c r="K211" s="142"/>
      <c r="L211" s="145"/>
      <c r="M211" s="143"/>
      <c r="N211" s="146"/>
      <c r="O211" s="145"/>
      <c r="P211" s="143"/>
      <c r="Q211" s="146"/>
      <c r="R211" s="145"/>
      <c r="S211" s="143"/>
      <c r="T211" s="146"/>
      <c r="U211" s="142"/>
      <c r="V211" s="143"/>
      <c r="W211" s="142"/>
      <c r="X211" s="142"/>
      <c r="Y211" s="142"/>
      <c r="Z211" s="142"/>
      <c r="AA211" s="147"/>
      <c r="AB211" s="147"/>
      <c r="AC211" s="147"/>
      <c r="AD211" s="2"/>
      <c r="AE211" s="2"/>
      <c r="AF211" s="2"/>
      <c r="AG211" s="2"/>
      <c r="AH211" s="2"/>
      <c r="AI211" s="2"/>
    </row>
    <row r="212" spans="1:35" ht="30" hidden="1" customHeight="1">
      <c r="A212" s="140"/>
      <c r="B212" s="319"/>
      <c r="C212" s="277"/>
      <c r="D212" s="141"/>
      <c r="E212" s="141"/>
      <c r="F212" s="142"/>
      <c r="G212" s="143"/>
      <c r="H212" s="142"/>
      <c r="I212" s="144"/>
      <c r="J212" s="143"/>
      <c r="K212" s="142"/>
      <c r="L212" s="145"/>
      <c r="M212" s="143"/>
      <c r="N212" s="146"/>
      <c r="O212" s="145"/>
      <c r="P212" s="143"/>
      <c r="Q212" s="146"/>
      <c r="R212" s="145"/>
      <c r="S212" s="143"/>
      <c r="T212" s="146"/>
      <c r="U212" s="142"/>
      <c r="V212" s="143"/>
      <c r="W212" s="142"/>
      <c r="X212" s="142"/>
      <c r="Y212" s="142"/>
      <c r="Z212" s="142"/>
      <c r="AA212" s="147"/>
      <c r="AB212" s="147"/>
      <c r="AC212" s="147"/>
      <c r="AD212" s="2"/>
      <c r="AE212" s="2"/>
      <c r="AF212" s="2"/>
      <c r="AG212" s="2"/>
      <c r="AH212" s="2"/>
      <c r="AI212" s="2"/>
    </row>
    <row r="213" spans="1:35" ht="30" hidden="1" customHeight="1">
      <c r="A213" s="140"/>
      <c r="B213" s="319"/>
      <c r="C213" s="277"/>
      <c r="D213" s="141"/>
      <c r="E213" s="141"/>
      <c r="F213" s="142"/>
      <c r="G213" s="143"/>
      <c r="H213" s="142"/>
      <c r="I213" s="144"/>
      <c r="J213" s="143"/>
      <c r="K213" s="142"/>
      <c r="L213" s="145"/>
      <c r="M213" s="143"/>
      <c r="N213" s="146"/>
      <c r="O213" s="145"/>
      <c r="P213" s="143"/>
      <c r="Q213" s="146"/>
      <c r="R213" s="145"/>
      <c r="S213" s="143"/>
      <c r="T213" s="146"/>
      <c r="U213" s="142"/>
      <c r="V213" s="143"/>
      <c r="W213" s="142"/>
      <c r="X213" s="142"/>
      <c r="Y213" s="142"/>
      <c r="Z213" s="142"/>
      <c r="AA213" s="147"/>
      <c r="AB213" s="147"/>
      <c r="AC213" s="147"/>
      <c r="AD213" s="2"/>
      <c r="AE213" s="2"/>
      <c r="AF213" s="2"/>
      <c r="AG213" s="2"/>
      <c r="AH213" s="2"/>
      <c r="AI213" s="2"/>
    </row>
    <row r="214" spans="1:35" ht="30" hidden="1" customHeight="1">
      <c r="A214" s="140"/>
      <c r="B214" s="319"/>
      <c r="C214" s="277"/>
      <c r="D214" s="141"/>
      <c r="E214" s="141"/>
      <c r="F214" s="142"/>
      <c r="G214" s="143"/>
      <c r="H214" s="142"/>
      <c r="I214" s="144"/>
      <c r="J214" s="143"/>
      <c r="K214" s="142"/>
      <c r="L214" s="145"/>
      <c r="M214" s="143"/>
      <c r="N214" s="146"/>
      <c r="O214" s="145"/>
      <c r="P214" s="143"/>
      <c r="Q214" s="146"/>
      <c r="R214" s="145"/>
      <c r="S214" s="143"/>
      <c r="T214" s="146"/>
      <c r="U214" s="142"/>
      <c r="V214" s="143"/>
      <c r="W214" s="142"/>
      <c r="X214" s="142"/>
      <c r="Y214" s="142"/>
      <c r="Z214" s="142"/>
      <c r="AA214" s="147"/>
      <c r="AB214" s="147"/>
      <c r="AC214" s="147"/>
      <c r="AD214" s="2"/>
      <c r="AE214" s="2"/>
      <c r="AF214" s="2"/>
      <c r="AG214" s="2"/>
      <c r="AH214" s="2"/>
      <c r="AI214" s="2"/>
    </row>
    <row r="215" spans="1:35" ht="30" hidden="1" customHeight="1">
      <c r="A215" s="140"/>
      <c r="B215" s="319"/>
      <c r="C215" s="277"/>
      <c r="D215" s="141"/>
      <c r="E215" s="141"/>
      <c r="F215" s="142"/>
      <c r="G215" s="143"/>
      <c r="H215" s="142"/>
      <c r="I215" s="144"/>
      <c r="J215" s="143"/>
      <c r="K215" s="142"/>
      <c r="L215" s="145"/>
      <c r="M215" s="143"/>
      <c r="N215" s="146"/>
      <c r="O215" s="145"/>
      <c r="P215" s="143"/>
      <c r="Q215" s="146"/>
      <c r="R215" s="145"/>
      <c r="S215" s="143"/>
      <c r="T215" s="146"/>
      <c r="U215" s="142"/>
      <c r="V215" s="143"/>
      <c r="W215" s="142"/>
      <c r="X215" s="142"/>
      <c r="Y215" s="142"/>
      <c r="Z215" s="142"/>
      <c r="AA215" s="147"/>
      <c r="AB215" s="147"/>
      <c r="AC215" s="147"/>
      <c r="AD215" s="2"/>
      <c r="AE215" s="2"/>
      <c r="AF215" s="2"/>
      <c r="AG215" s="2"/>
      <c r="AH215" s="2"/>
      <c r="AI215" s="2"/>
    </row>
    <row r="216" spans="1:35" ht="30" hidden="1" customHeight="1">
      <c r="A216" s="140"/>
      <c r="B216" s="319"/>
      <c r="C216" s="277"/>
      <c r="D216" s="141"/>
      <c r="E216" s="141"/>
      <c r="F216" s="142"/>
      <c r="G216" s="143"/>
      <c r="H216" s="142"/>
      <c r="I216" s="144"/>
      <c r="J216" s="143"/>
      <c r="K216" s="142"/>
      <c r="L216" s="145"/>
      <c r="M216" s="143"/>
      <c r="N216" s="146"/>
      <c r="O216" s="145"/>
      <c r="P216" s="143"/>
      <c r="Q216" s="146"/>
      <c r="R216" s="145"/>
      <c r="S216" s="143"/>
      <c r="T216" s="146"/>
      <c r="U216" s="142"/>
      <c r="V216" s="143"/>
      <c r="W216" s="142"/>
      <c r="X216" s="142"/>
      <c r="Y216" s="142"/>
      <c r="Z216" s="142"/>
      <c r="AA216" s="147"/>
      <c r="AB216" s="147"/>
      <c r="AC216" s="147"/>
      <c r="AD216" s="2"/>
      <c r="AE216" s="2"/>
      <c r="AF216" s="2"/>
      <c r="AG216" s="2"/>
      <c r="AH216" s="2"/>
      <c r="AI216" s="2"/>
    </row>
    <row r="217" spans="1:35" ht="30" hidden="1" customHeight="1">
      <c r="A217" s="140"/>
      <c r="B217" s="319"/>
      <c r="C217" s="277"/>
      <c r="D217" s="141"/>
      <c r="E217" s="141"/>
      <c r="F217" s="142"/>
      <c r="G217" s="143"/>
      <c r="H217" s="142"/>
      <c r="I217" s="144"/>
      <c r="J217" s="143"/>
      <c r="K217" s="142"/>
      <c r="L217" s="145"/>
      <c r="M217" s="143"/>
      <c r="N217" s="146"/>
      <c r="O217" s="145"/>
      <c r="P217" s="143"/>
      <c r="Q217" s="146"/>
      <c r="R217" s="145"/>
      <c r="S217" s="143"/>
      <c r="T217" s="146"/>
      <c r="U217" s="142"/>
      <c r="V217" s="143"/>
      <c r="W217" s="142"/>
      <c r="X217" s="142"/>
      <c r="Y217" s="142"/>
      <c r="Z217" s="142"/>
      <c r="AA217" s="147"/>
      <c r="AB217" s="147"/>
      <c r="AC217" s="147"/>
      <c r="AD217" s="2"/>
      <c r="AE217" s="2"/>
      <c r="AF217" s="2"/>
      <c r="AG217" s="2"/>
      <c r="AH217" s="2"/>
      <c r="AI217" s="2"/>
    </row>
    <row r="218" spans="1:35" ht="30" hidden="1" customHeight="1">
      <c r="A218" s="140"/>
      <c r="B218" s="319"/>
      <c r="C218" s="277"/>
      <c r="D218" s="141"/>
      <c r="E218" s="141"/>
      <c r="F218" s="142"/>
      <c r="G218" s="143"/>
      <c r="H218" s="142"/>
      <c r="I218" s="144"/>
      <c r="J218" s="143"/>
      <c r="K218" s="142"/>
      <c r="L218" s="145"/>
      <c r="M218" s="143"/>
      <c r="N218" s="146"/>
      <c r="O218" s="145"/>
      <c r="P218" s="143"/>
      <c r="Q218" s="146"/>
      <c r="R218" s="145"/>
      <c r="S218" s="143"/>
      <c r="T218" s="146"/>
      <c r="U218" s="142"/>
      <c r="V218" s="143"/>
      <c r="W218" s="142"/>
      <c r="X218" s="142"/>
      <c r="Y218" s="142"/>
      <c r="Z218" s="142"/>
      <c r="AA218" s="147"/>
      <c r="AB218" s="147"/>
      <c r="AC218" s="147"/>
      <c r="AD218" s="2"/>
      <c r="AE218" s="2"/>
      <c r="AF218" s="2"/>
      <c r="AG218" s="2"/>
      <c r="AH218" s="2"/>
      <c r="AI218" s="2"/>
    </row>
    <row r="219" spans="1:35" ht="30" hidden="1" customHeight="1">
      <c r="A219" s="140"/>
      <c r="B219" s="319"/>
      <c r="C219" s="277"/>
      <c r="D219" s="141"/>
      <c r="E219" s="141"/>
      <c r="F219" s="142"/>
      <c r="G219" s="143"/>
      <c r="H219" s="142"/>
      <c r="I219" s="144"/>
      <c r="J219" s="143"/>
      <c r="K219" s="142"/>
      <c r="L219" s="145"/>
      <c r="M219" s="143"/>
      <c r="N219" s="146"/>
      <c r="O219" s="145"/>
      <c r="P219" s="143"/>
      <c r="Q219" s="146"/>
      <c r="R219" s="145"/>
      <c r="S219" s="143"/>
      <c r="T219" s="146"/>
      <c r="U219" s="142"/>
      <c r="V219" s="143"/>
      <c r="W219" s="142"/>
      <c r="X219" s="142"/>
      <c r="Y219" s="142"/>
      <c r="Z219" s="142"/>
      <c r="AA219" s="147"/>
      <c r="AB219" s="147"/>
      <c r="AC219" s="147"/>
      <c r="AD219" s="2"/>
      <c r="AE219" s="2"/>
      <c r="AF219" s="2"/>
      <c r="AG219" s="2"/>
      <c r="AH219" s="2"/>
      <c r="AI219" s="2"/>
    </row>
    <row r="220" spans="1:35" ht="30" hidden="1" customHeight="1">
      <c r="A220" s="140"/>
      <c r="B220" s="319"/>
      <c r="C220" s="277"/>
      <c r="D220" s="141"/>
      <c r="E220" s="141"/>
      <c r="F220" s="142"/>
      <c r="G220" s="143"/>
      <c r="H220" s="142"/>
      <c r="I220" s="144"/>
      <c r="J220" s="143"/>
      <c r="K220" s="142"/>
      <c r="L220" s="145"/>
      <c r="M220" s="143"/>
      <c r="N220" s="146"/>
      <c r="O220" s="145"/>
      <c r="P220" s="143"/>
      <c r="Q220" s="146"/>
      <c r="R220" s="145"/>
      <c r="S220" s="143"/>
      <c r="T220" s="146"/>
      <c r="U220" s="142"/>
      <c r="V220" s="143"/>
      <c r="W220" s="142"/>
      <c r="X220" s="142"/>
      <c r="Y220" s="142"/>
      <c r="Z220" s="142"/>
      <c r="AA220" s="147"/>
      <c r="AB220" s="147"/>
      <c r="AC220" s="147"/>
      <c r="AD220" s="2"/>
      <c r="AE220" s="2"/>
      <c r="AF220" s="2"/>
      <c r="AG220" s="2"/>
      <c r="AH220" s="2"/>
      <c r="AI220" s="2"/>
    </row>
    <row r="221" spans="1:35" ht="30" hidden="1" customHeight="1">
      <c r="A221" s="140"/>
      <c r="B221" s="319"/>
      <c r="C221" s="277"/>
      <c r="D221" s="141"/>
      <c r="E221" s="141"/>
      <c r="F221" s="142"/>
      <c r="G221" s="143"/>
      <c r="H221" s="142"/>
      <c r="I221" s="144"/>
      <c r="J221" s="143"/>
      <c r="K221" s="142"/>
      <c r="L221" s="145"/>
      <c r="M221" s="143"/>
      <c r="N221" s="146"/>
      <c r="O221" s="145"/>
      <c r="P221" s="143"/>
      <c r="Q221" s="146"/>
      <c r="R221" s="145"/>
      <c r="S221" s="143"/>
      <c r="T221" s="146"/>
      <c r="U221" s="142"/>
      <c r="V221" s="143"/>
      <c r="W221" s="142"/>
      <c r="X221" s="142"/>
      <c r="Y221" s="142"/>
      <c r="Z221" s="142"/>
      <c r="AA221" s="147"/>
      <c r="AB221" s="147"/>
      <c r="AC221" s="147"/>
      <c r="AD221" s="2"/>
      <c r="AE221" s="2"/>
      <c r="AF221" s="2"/>
      <c r="AG221" s="2"/>
      <c r="AH221" s="2"/>
      <c r="AI221" s="2"/>
    </row>
    <row r="222" spans="1:35" ht="30" hidden="1" customHeight="1">
      <c r="A222" s="140"/>
      <c r="B222" s="319"/>
      <c r="C222" s="277"/>
      <c r="D222" s="141"/>
      <c r="E222" s="141"/>
      <c r="F222" s="142"/>
      <c r="G222" s="143"/>
      <c r="H222" s="142"/>
      <c r="I222" s="144"/>
      <c r="J222" s="143"/>
      <c r="K222" s="142"/>
      <c r="L222" s="145"/>
      <c r="M222" s="143"/>
      <c r="N222" s="146"/>
      <c r="O222" s="145"/>
      <c r="P222" s="143"/>
      <c r="Q222" s="146"/>
      <c r="R222" s="145"/>
      <c r="S222" s="143"/>
      <c r="T222" s="146"/>
      <c r="U222" s="142"/>
      <c r="V222" s="143"/>
      <c r="W222" s="142"/>
      <c r="X222" s="142"/>
      <c r="Y222" s="142"/>
      <c r="Z222" s="142"/>
      <c r="AA222" s="147"/>
      <c r="AB222" s="147"/>
      <c r="AC222" s="147"/>
      <c r="AD222" s="2"/>
      <c r="AE222" s="2"/>
      <c r="AF222" s="2"/>
      <c r="AG222" s="2"/>
      <c r="AH222" s="2"/>
      <c r="AI222" s="2"/>
    </row>
    <row r="223" spans="1:35" ht="30" hidden="1" customHeight="1">
      <c r="A223" s="140"/>
      <c r="B223" s="319"/>
      <c r="C223" s="277"/>
      <c r="D223" s="141"/>
      <c r="E223" s="141"/>
      <c r="F223" s="142"/>
      <c r="G223" s="143"/>
      <c r="H223" s="142"/>
      <c r="I223" s="144"/>
      <c r="J223" s="143"/>
      <c r="K223" s="142"/>
      <c r="L223" s="145"/>
      <c r="M223" s="143"/>
      <c r="N223" s="146"/>
      <c r="O223" s="145"/>
      <c r="P223" s="143"/>
      <c r="Q223" s="146"/>
      <c r="R223" s="145"/>
      <c r="S223" s="143"/>
      <c r="T223" s="146"/>
      <c r="U223" s="142"/>
      <c r="V223" s="143"/>
      <c r="W223" s="142"/>
      <c r="X223" s="142"/>
      <c r="Y223" s="142"/>
      <c r="Z223" s="142"/>
      <c r="AA223" s="147"/>
      <c r="AB223" s="147"/>
      <c r="AC223" s="147"/>
      <c r="AD223" s="2"/>
      <c r="AE223" s="2"/>
      <c r="AF223" s="2"/>
      <c r="AG223" s="2"/>
      <c r="AH223" s="2"/>
      <c r="AI223" s="2"/>
    </row>
    <row r="224" spans="1:35" ht="30" hidden="1" customHeight="1">
      <c r="A224" s="140"/>
      <c r="B224" s="319"/>
      <c r="C224" s="277"/>
      <c r="D224" s="141"/>
      <c r="E224" s="141"/>
      <c r="F224" s="142"/>
      <c r="G224" s="143"/>
      <c r="H224" s="142"/>
      <c r="I224" s="144"/>
      <c r="J224" s="143"/>
      <c r="K224" s="142"/>
      <c r="L224" s="145"/>
      <c r="M224" s="143"/>
      <c r="N224" s="146"/>
      <c r="O224" s="145"/>
      <c r="P224" s="143"/>
      <c r="Q224" s="146"/>
      <c r="R224" s="145"/>
      <c r="S224" s="143"/>
      <c r="T224" s="146"/>
      <c r="U224" s="142"/>
      <c r="V224" s="143"/>
      <c r="W224" s="142"/>
      <c r="X224" s="142"/>
      <c r="Y224" s="142"/>
      <c r="Z224" s="142"/>
      <c r="AA224" s="147"/>
      <c r="AB224" s="147"/>
      <c r="AC224" s="147"/>
      <c r="AD224" s="2"/>
      <c r="AE224" s="2"/>
      <c r="AF224" s="2"/>
      <c r="AG224" s="2"/>
      <c r="AH224" s="2"/>
      <c r="AI224" s="2"/>
    </row>
    <row r="225" spans="1:35" ht="30" hidden="1" customHeight="1">
      <c r="A225" s="140"/>
      <c r="B225" s="319"/>
      <c r="C225" s="277"/>
      <c r="D225" s="141"/>
      <c r="E225" s="141"/>
      <c r="F225" s="142"/>
      <c r="G225" s="143"/>
      <c r="H225" s="142"/>
      <c r="I225" s="144"/>
      <c r="J225" s="143"/>
      <c r="K225" s="142"/>
      <c r="L225" s="145"/>
      <c r="M225" s="143"/>
      <c r="N225" s="146"/>
      <c r="O225" s="145"/>
      <c r="P225" s="143"/>
      <c r="Q225" s="146"/>
      <c r="R225" s="145"/>
      <c r="S225" s="143"/>
      <c r="T225" s="146"/>
      <c r="U225" s="142"/>
      <c r="V225" s="143"/>
      <c r="W225" s="142"/>
      <c r="X225" s="142"/>
      <c r="Y225" s="142"/>
      <c r="Z225" s="142"/>
      <c r="AA225" s="147"/>
      <c r="AB225" s="147"/>
      <c r="AC225" s="147"/>
      <c r="AD225" s="2"/>
      <c r="AE225" s="2"/>
      <c r="AF225" s="2"/>
      <c r="AG225" s="2"/>
      <c r="AH225" s="2"/>
      <c r="AI225" s="2"/>
    </row>
    <row r="226" spans="1:35" ht="30" hidden="1" customHeight="1">
      <c r="A226" s="140"/>
      <c r="B226" s="319"/>
      <c r="C226" s="277"/>
      <c r="D226" s="141"/>
      <c r="E226" s="141"/>
      <c r="F226" s="142"/>
      <c r="G226" s="143"/>
      <c r="H226" s="142"/>
      <c r="I226" s="144"/>
      <c r="J226" s="143"/>
      <c r="K226" s="142"/>
      <c r="L226" s="145"/>
      <c r="M226" s="143"/>
      <c r="N226" s="146"/>
      <c r="O226" s="145"/>
      <c r="P226" s="143"/>
      <c r="Q226" s="146"/>
      <c r="R226" s="145"/>
      <c r="S226" s="143"/>
      <c r="T226" s="146"/>
      <c r="U226" s="142"/>
      <c r="V226" s="143"/>
      <c r="W226" s="142"/>
      <c r="X226" s="142"/>
      <c r="Y226" s="142"/>
      <c r="Z226" s="142"/>
      <c r="AA226" s="147"/>
      <c r="AB226" s="147"/>
      <c r="AC226" s="147"/>
      <c r="AD226" s="2"/>
      <c r="AE226" s="2"/>
      <c r="AF226" s="2"/>
      <c r="AG226" s="2"/>
      <c r="AH226" s="2"/>
      <c r="AI226" s="2"/>
    </row>
    <row r="227" spans="1:35" ht="30" hidden="1" customHeight="1">
      <c r="A227" s="140"/>
      <c r="B227" s="319"/>
      <c r="C227" s="277"/>
      <c r="D227" s="141"/>
      <c r="E227" s="141"/>
      <c r="F227" s="142"/>
      <c r="G227" s="143"/>
      <c r="H227" s="142"/>
      <c r="I227" s="144"/>
      <c r="J227" s="143"/>
      <c r="K227" s="142"/>
      <c r="L227" s="145"/>
      <c r="M227" s="143"/>
      <c r="N227" s="146"/>
      <c r="O227" s="145"/>
      <c r="P227" s="143"/>
      <c r="Q227" s="146"/>
      <c r="R227" s="145"/>
      <c r="S227" s="143"/>
      <c r="T227" s="146"/>
      <c r="U227" s="142"/>
      <c r="V227" s="143"/>
      <c r="W227" s="142"/>
      <c r="X227" s="142"/>
      <c r="Y227" s="142"/>
      <c r="Z227" s="142"/>
      <c r="AA227" s="147"/>
      <c r="AB227" s="147"/>
      <c r="AC227" s="147"/>
      <c r="AD227" s="2"/>
      <c r="AE227" s="2"/>
      <c r="AF227" s="2"/>
      <c r="AG227" s="2"/>
      <c r="AH227" s="2"/>
      <c r="AI227" s="2"/>
    </row>
    <row r="228" spans="1:35" ht="30" hidden="1" customHeight="1">
      <c r="A228" s="140"/>
      <c r="B228" s="319"/>
      <c r="C228" s="277"/>
      <c r="D228" s="141"/>
      <c r="E228" s="141"/>
      <c r="F228" s="142"/>
      <c r="G228" s="143"/>
      <c r="H228" s="142"/>
      <c r="I228" s="144"/>
      <c r="J228" s="143"/>
      <c r="K228" s="142"/>
      <c r="L228" s="145"/>
      <c r="M228" s="143"/>
      <c r="N228" s="146"/>
      <c r="O228" s="145"/>
      <c r="P228" s="143"/>
      <c r="Q228" s="146"/>
      <c r="R228" s="145"/>
      <c r="S228" s="143"/>
      <c r="T228" s="146"/>
      <c r="U228" s="142"/>
      <c r="V228" s="143"/>
      <c r="W228" s="142"/>
      <c r="X228" s="142"/>
      <c r="Y228" s="142"/>
      <c r="Z228" s="142"/>
      <c r="AA228" s="147"/>
      <c r="AB228" s="147"/>
      <c r="AC228" s="147"/>
      <c r="AD228" s="2"/>
      <c r="AE228" s="2"/>
      <c r="AF228" s="2"/>
      <c r="AG228" s="2"/>
      <c r="AH228" s="2"/>
      <c r="AI228" s="2"/>
    </row>
    <row r="229" spans="1:35" ht="30" hidden="1" customHeight="1">
      <c r="A229" s="140"/>
      <c r="B229" s="319"/>
      <c r="C229" s="277"/>
      <c r="D229" s="141"/>
      <c r="E229" s="141"/>
      <c r="F229" s="142"/>
      <c r="G229" s="143"/>
      <c r="H229" s="142"/>
      <c r="I229" s="144"/>
      <c r="J229" s="143"/>
      <c r="K229" s="142"/>
      <c r="L229" s="145"/>
      <c r="M229" s="143"/>
      <c r="N229" s="146"/>
      <c r="O229" s="145"/>
      <c r="P229" s="143"/>
      <c r="Q229" s="146"/>
      <c r="R229" s="145"/>
      <c r="S229" s="143"/>
      <c r="T229" s="146"/>
      <c r="U229" s="142"/>
      <c r="V229" s="143"/>
      <c r="W229" s="142"/>
      <c r="X229" s="142"/>
      <c r="Y229" s="142"/>
      <c r="Z229" s="142"/>
      <c r="AA229" s="147"/>
      <c r="AB229" s="147"/>
      <c r="AC229" s="147"/>
      <c r="AD229" s="2"/>
      <c r="AE229" s="2"/>
      <c r="AF229" s="2"/>
      <c r="AG229" s="2"/>
      <c r="AH229" s="2"/>
      <c r="AI229" s="2"/>
    </row>
    <row r="230" spans="1:35" ht="30" hidden="1" customHeight="1">
      <c r="A230" s="140"/>
      <c r="B230" s="319"/>
      <c r="C230" s="277"/>
      <c r="D230" s="141"/>
      <c r="E230" s="141"/>
      <c r="F230" s="142"/>
      <c r="G230" s="143"/>
      <c r="H230" s="142"/>
      <c r="I230" s="144"/>
      <c r="J230" s="143"/>
      <c r="K230" s="142"/>
      <c r="L230" s="145"/>
      <c r="M230" s="143"/>
      <c r="N230" s="146"/>
      <c r="O230" s="145"/>
      <c r="P230" s="143"/>
      <c r="Q230" s="146"/>
      <c r="R230" s="145"/>
      <c r="S230" s="143"/>
      <c r="T230" s="146"/>
      <c r="U230" s="142"/>
      <c r="V230" s="143"/>
      <c r="W230" s="142"/>
      <c r="X230" s="142"/>
      <c r="Y230" s="142"/>
      <c r="Z230" s="142"/>
      <c r="AA230" s="147"/>
      <c r="AB230" s="147"/>
      <c r="AC230" s="147"/>
      <c r="AD230" s="2"/>
      <c r="AE230" s="2"/>
      <c r="AF230" s="2"/>
      <c r="AG230" s="2"/>
      <c r="AH230" s="2"/>
      <c r="AI230" s="2"/>
    </row>
    <row r="231" spans="1:35" ht="30" hidden="1" customHeight="1">
      <c r="A231" s="140"/>
      <c r="B231" s="319"/>
      <c r="C231" s="277"/>
      <c r="D231" s="141"/>
      <c r="E231" s="141"/>
      <c r="F231" s="142"/>
      <c r="G231" s="143"/>
      <c r="H231" s="142"/>
      <c r="I231" s="144"/>
      <c r="J231" s="143"/>
      <c r="K231" s="142"/>
      <c r="L231" s="145"/>
      <c r="M231" s="143"/>
      <c r="N231" s="146"/>
      <c r="O231" s="145"/>
      <c r="P231" s="143"/>
      <c r="Q231" s="146"/>
      <c r="R231" s="145"/>
      <c r="S231" s="143"/>
      <c r="T231" s="146"/>
      <c r="U231" s="142"/>
      <c r="V231" s="143"/>
      <c r="W231" s="142"/>
      <c r="X231" s="142"/>
      <c r="Y231" s="142"/>
      <c r="Z231" s="142"/>
      <c r="AA231" s="147"/>
      <c r="AB231" s="147"/>
      <c r="AC231" s="147"/>
      <c r="AD231" s="2"/>
      <c r="AE231" s="2"/>
      <c r="AF231" s="2"/>
      <c r="AG231" s="2"/>
      <c r="AH231" s="2"/>
      <c r="AI231" s="2"/>
    </row>
    <row r="232" spans="1:35" ht="30" hidden="1" customHeight="1">
      <c r="A232" s="140"/>
      <c r="B232" s="319"/>
      <c r="C232" s="277"/>
      <c r="D232" s="141"/>
      <c r="E232" s="141"/>
      <c r="F232" s="142"/>
      <c r="G232" s="143"/>
      <c r="H232" s="142"/>
      <c r="I232" s="144"/>
      <c r="J232" s="143"/>
      <c r="K232" s="142"/>
      <c r="L232" s="145"/>
      <c r="M232" s="143"/>
      <c r="N232" s="146"/>
      <c r="O232" s="145"/>
      <c r="P232" s="143"/>
      <c r="Q232" s="146"/>
      <c r="R232" s="145"/>
      <c r="S232" s="143"/>
      <c r="T232" s="146"/>
      <c r="U232" s="142"/>
      <c r="V232" s="143"/>
      <c r="W232" s="142"/>
      <c r="X232" s="142"/>
      <c r="Y232" s="142"/>
      <c r="Z232" s="142"/>
      <c r="AA232" s="147"/>
      <c r="AB232" s="147"/>
      <c r="AC232" s="147"/>
      <c r="AD232" s="2"/>
      <c r="AE232" s="2"/>
      <c r="AF232" s="2"/>
      <c r="AG232" s="2"/>
      <c r="AH232" s="2"/>
      <c r="AI232" s="2"/>
    </row>
    <row r="233" spans="1:35" ht="30" hidden="1" customHeight="1">
      <c r="A233" s="140"/>
      <c r="B233" s="319"/>
      <c r="C233" s="277"/>
      <c r="D233" s="141"/>
      <c r="E233" s="141"/>
      <c r="F233" s="142"/>
      <c r="G233" s="143"/>
      <c r="H233" s="142"/>
      <c r="I233" s="144"/>
      <c r="J233" s="143"/>
      <c r="K233" s="142"/>
      <c r="L233" s="145"/>
      <c r="M233" s="143"/>
      <c r="N233" s="146"/>
      <c r="O233" s="145"/>
      <c r="P233" s="143"/>
      <c r="Q233" s="146"/>
      <c r="R233" s="145"/>
      <c r="S233" s="143"/>
      <c r="T233" s="146"/>
      <c r="U233" s="142"/>
      <c r="V233" s="143"/>
      <c r="W233" s="142"/>
      <c r="X233" s="142"/>
      <c r="Y233" s="142"/>
      <c r="Z233" s="142"/>
      <c r="AA233" s="147"/>
      <c r="AB233" s="147"/>
      <c r="AC233" s="147"/>
      <c r="AD233" s="2"/>
      <c r="AE233" s="2"/>
      <c r="AF233" s="2"/>
      <c r="AG233" s="2"/>
      <c r="AH233" s="2"/>
      <c r="AI233" s="2"/>
    </row>
    <row r="234" spans="1:35" ht="30" hidden="1" customHeight="1">
      <c r="A234" s="140"/>
      <c r="B234" s="319"/>
      <c r="C234" s="277"/>
      <c r="D234" s="141"/>
      <c r="E234" s="141"/>
      <c r="F234" s="142"/>
      <c r="G234" s="143"/>
      <c r="H234" s="142"/>
      <c r="I234" s="144"/>
      <c r="J234" s="143"/>
      <c r="K234" s="142"/>
      <c r="L234" s="145"/>
      <c r="M234" s="143"/>
      <c r="N234" s="146"/>
      <c r="O234" s="145"/>
      <c r="P234" s="143"/>
      <c r="Q234" s="146"/>
      <c r="R234" s="145"/>
      <c r="S234" s="143"/>
      <c r="T234" s="146"/>
      <c r="U234" s="142"/>
      <c r="V234" s="143"/>
      <c r="W234" s="142"/>
      <c r="X234" s="142"/>
      <c r="Y234" s="142"/>
      <c r="Z234" s="142"/>
      <c r="AA234" s="147"/>
      <c r="AB234" s="147"/>
      <c r="AC234" s="147"/>
      <c r="AD234" s="2"/>
      <c r="AE234" s="2"/>
      <c r="AF234" s="2"/>
      <c r="AG234" s="2"/>
      <c r="AH234" s="2"/>
      <c r="AI234" s="2"/>
    </row>
    <row r="235" spans="1:35" ht="30" hidden="1" customHeight="1">
      <c r="A235" s="140"/>
      <c r="B235" s="319"/>
      <c r="C235" s="277"/>
      <c r="D235" s="141"/>
      <c r="E235" s="141"/>
      <c r="F235" s="142"/>
      <c r="G235" s="143"/>
      <c r="H235" s="142"/>
      <c r="I235" s="144"/>
      <c r="J235" s="143"/>
      <c r="K235" s="142"/>
      <c r="L235" s="145"/>
      <c r="M235" s="143"/>
      <c r="N235" s="146"/>
      <c r="O235" s="145"/>
      <c r="P235" s="143"/>
      <c r="Q235" s="146"/>
      <c r="R235" s="145"/>
      <c r="S235" s="143"/>
      <c r="T235" s="146"/>
      <c r="U235" s="142"/>
      <c r="V235" s="143"/>
      <c r="W235" s="142"/>
      <c r="X235" s="142"/>
      <c r="Y235" s="142"/>
      <c r="Z235" s="142"/>
      <c r="AA235" s="147"/>
      <c r="AB235" s="147"/>
      <c r="AC235" s="147"/>
      <c r="AD235" s="2"/>
      <c r="AE235" s="2"/>
      <c r="AF235" s="2"/>
      <c r="AG235" s="2"/>
      <c r="AH235" s="2"/>
      <c r="AI235" s="2"/>
    </row>
    <row r="236" spans="1:35" ht="30" hidden="1" customHeight="1">
      <c r="A236" s="140"/>
      <c r="B236" s="319"/>
      <c r="C236" s="277"/>
      <c r="D236" s="141"/>
      <c r="E236" s="141"/>
      <c r="F236" s="142"/>
      <c r="G236" s="143"/>
      <c r="H236" s="142"/>
      <c r="I236" s="144"/>
      <c r="J236" s="143"/>
      <c r="K236" s="142"/>
      <c r="L236" s="145"/>
      <c r="M236" s="143"/>
      <c r="N236" s="146"/>
      <c r="O236" s="145"/>
      <c r="P236" s="143"/>
      <c r="Q236" s="146"/>
      <c r="R236" s="145"/>
      <c r="S236" s="143"/>
      <c r="T236" s="146"/>
      <c r="U236" s="142"/>
      <c r="V236" s="143"/>
      <c r="W236" s="142"/>
      <c r="X236" s="142"/>
      <c r="Y236" s="142"/>
      <c r="Z236" s="142"/>
      <c r="AA236" s="147"/>
      <c r="AB236" s="147"/>
      <c r="AC236" s="147"/>
      <c r="AD236" s="2"/>
      <c r="AE236" s="2"/>
      <c r="AF236" s="2"/>
      <c r="AG236" s="2"/>
      <c r="AH236" s="2"/>
      <c r="AI236" s="2"/>
    </row>
    <row r="237" spans="1:35" ht="30" hidden="1" customHeight="1">
      <c r="A237" s="140"/>
      <c r="B237" s="319"/>
      <c r="C237" s="277"/>
      <c r="D237" s="141"/>
      <c r="E237" s="141"/>
      <c r="F237" s="142"/>
      <c r="G237" s="143"/>
      <c r="H237" s="142"/>
      <c r="I237" s="144"/>
      <c r="J237" s="143"/>
      <c r="K237" s="142"/>
      <c r="L237" s="145"/>
      <c r="M237" s="143"/>
      <c r="N237" s="146"/>
      <c r="O237" s="145"/>
      <c r="P237" s="143"/>
      <c r="Q237" s="146"/>
      <c r="R237" s="145"/>
      <c r="S237" s="143"/>
      <c r="T237" s="146"/>
      <c r="U237" s="142"/>
      <c r="V237" s="143"/>
      <c r="W237" s="142"/>
      <c r="X237" s="142"/>
      <c r="Y237" s="142"/>
      <c r="Z237" s="142"/>
      <c r="AA237" s="147"/>
      <c r="AB237" s="147"/>
      <c r="AC237" s="147"/>
      <c r="AD237" s="2"/>
      <c r="AE237" s="2"/>
      <c r="AF237" s="2"/>
      <c r="AG237" s="2"/>
      <c r="AH237" s="2"/>
      <c r="AI237" s="2"/>
    </row>
    <row r="238" spans="1:35" ht="30" hidden="1" customHeight="1">
      <c r="A238" s="140"/>
      <c r="B238" s="319"/>
      <c r="C238" s="277"/>
      <c r="D238" s="141"/>
      <c r="E238" s="141"/>
      <c r="F238" s="142"/>
      <c r="G238" s="143"/>
      <c r="H238" s="142"/>
      <c r="I238" s="144"/>
      <c r="J238" s="143"/>
      <c r="K238" s="142"/>
      <c r="L238" s="145"/>
      <c r="M238" s="143"/>
      <c r="N238" s="146"/>
      <c r="O238" s="145"/>
      <c r="P238" s="143"/>
      <c r="Q238" s="146"/>
      <c r="R238" s="145"/>
      <c r="S238" s="143"/>
      <c r="T238" s="146"/>
      <c r="U238" s="142"/>
      <c r="V238" s="143"/>
      <c r="W238" s="142"/>
      <c r="X238" s="142"/>
      <c r="Y238" s="142"/>
      <c r="Z238" s="142"/>
      <c r="AA238" s="147"/>
      <c r="AB238" s="147"/>
      <c r="AC238" s="147"/>
      <c r="AD238" s="2"/>
      <c r="AE238" s="2"/>
      <c r="AF238" s="2"/>
      <c r="AG238" s="2"/>
      <c r="AH238" s="2"/>
      <c r="AI238" s="2"/>
    </row>
    <row r="239" spans="1:35" ht="30" hidden="1" customHeight="1">
      <c r="A239" s="140"/>
      <c r="B239" s="319"/>
      <c r="C239" s="277"/>
      <c r="D239" s="141"/>
      <c r="E239" s="141"/>
      <c r="F239" s="142"/>
      <c r="G239" s="143"/>
      <c r="H239" s="142"/>
      <c r="I239" s="144"/>
      <c r="J239" s="143"/>
      <c r="K239" s="142"/>
      <c r="L239" s="145"/>
      <c r="M239" s="143"/>
      <c r="N239" s="146"/>
      <c r="O239" s="145"/>
      <c r="P239" s="143"/>
      <c r="Q239" s="146"/>
      <c r="R239" s="145"/>
      <c r="S239" s="143"/>
      <c r="T239" s="146"/>
      <c r="U239" s="142"/>
      <c r="V239" s="143"/>
      <c r="W239" s="142"/>
      <c r="X239" s="142"/>
      <c r="Y239" s="142"/>
      <c r="Z239" s="142"/>
      <c r="AA239" s="147"/>
      <c r="AB239" s="147"/>
      <c r="AC239" s="147"/>
      <c r="AD239" s="2"/>
      <c r="AE239" s="2"/>
      <c r="AF239" s="2"/>
      <c r="AG239" s="2"/>
      <c r="AH239" s="2"/>
      <c r="AI239" s="2"/>
    </row>
    <row r="240" spans="1:35" ht="30" hidden="1" customHeight="1">
      <c r="A240" s="140"/>
      <c r="B240" s="319"/>
      <c r="C240" s="277"/>
      <c r="D240" s="141"/>
      <c r="E240" s="141"/>
      <c r="F240" s="142"/>
      <c r="G240" s="143"/>
      <c r="H240" s="142"/>
      <c r="I240" s="144"/>
      <c r="J240" s="143"/>
      <c r="K240" s="142"/>
      <c r="L240" s="145"/>
      <c r="M240" s="143"/>
      <c r="N240" s="146"/>
      <c r="O240" s="145"/>
      <c r="P240" s="143"/>
      <c r="Q240" s="146"/>
      <c r="R240" s="145"/>
      <c r="S240" s="143"/>
      <c r="T240" s="146"/>
      <c r="U240" s="142"/>
      <c r="V240" s="143"/>
      <c r="W240" s="142"/>
      <c r="X240" s="142"/>
      <c r="Y240" s="142"/>
      <c r="Z240" s="142"/>
      <c r="AA240" s="147"/>
      <c r="AB240" s="147"/>
      <c r="AC240" s="147"/>
      <c r="AD240" s="2"/>
      <c r="AE240" s="2"/>
      <c r="AF240" s="2"/>
      <c r="AG240" s="2"/>
      <c r="AH240" s="2"/>
      <c r="AI240" s="2"/>
    </row>
    <row r="241" spans="1:35" ht="30" hidden="1" customHeight="1">
      <c r="A241" s="140"/>
      <c r="B241" s="319"/>
      <c r="C241" s="277"/>
      <c r="D241" s="141"/>
      <c r="E241" s="141"/>
      <c r="F241" s="142"/>
      <c r="G241" s="143"/>
      <c r="H241" s="142"/>
      <c r="I241" s="144"/>
      <c r="J241" s="143"/>
      <c r="K241" s="142"/>
      <c r="L241" s="145"/>
      <c r="M241" s="143"/>
      <c r="N241" s="146"/>
      <c r="O241" s="145"/>
      <c r="P241" s="143"/>
      <c r="Q241" s="146"/>
      <c r="R241" s="145"/>
      <c r="S241" s="143"/>
      <c r="T241" s="146"/>
      <c r="U241" s="142"/>
      <c r="V241" s="143"/>
      <c r="W241" s="142"/>
      <c r="X241" s="142"/>
      <c r="Y241" s="142"/>
      <c r="Z241" s="142"/>
      <c r="AA241" s="147"/>
      <c r="AB241" s="147"/>
      <c r="AC241" s="147"/>
      <c r="AD241" s="2"/>
      <c r="AE241" s="2"/>
      <c r="AF241" s="2"/>
      <c r="AG241" s="2"/>
      <c r="AH241" s="2"/>
      <c r="AI241" s="2"/>
    </row>
    <row r="242" spans="1:35" ht="30" hidden="1" customHeight="1">
      <c r="A242" s="140"/>
      <c r="B242" s="319"/>
      <c r="C242" s="277"/>
      <c r="D242" s="141"/>
      <c r="E242" s="141"/>
      <c r="F242" s="142"/>
      <c r="G242" s="143"/>
      <c r="H242" s="142"/>
      <c r="I242" s="144"/>
      <c r="J242" s="143"/>
      <c r="K242" s="142"/>
      <c r="L242" s="145"/>
      <c r="M242" s="143"/>
      <c r="N242" s="146"/>
      <c r="O242" s="145"/>
      <c r="P242" s="143"/>
      <c r="Q242" s="146"/>
      <c r="R242" s="145"/>
      <c r="S242" s="143"/>
      <c r="T242" s="146"/>
      <c r="U242" s="142"/>
      <c r="V242" s="143"/>
      <c r="W242" s="142"/>
      <c r="X242" s="142"/>
      <c r="Y242" s="142"/>
      <c r="Z242" s="142"/>
      <c r="AA242" s="147"/>
      <c r="AB242" s="147"/>
      <c r="AC242" s="147"/>
      <c r="AD242" s="2"/>
      <c r="AE242" s="2"/>
      <c r="AF242" s="2"/>
      <c r="AG242" s="2"/>
      <c r="AH242" s="2"/>
      <c r="AI242" s="2"/>
    </row>
    <row r="243" spans="1:35" ht="30" hidden="1" customHeight="1">
      <c r="A243" s="140"/>
      <c r="B243" s="319"/>
      <c r="C243" s="277"/>
      <c r="D243" s="141"/>
      <c r="E243" s="141"/>
      <c r="F243" s="142"/>
      <c r="G243" s="143"/>
      <c r="H243" s="142"/>
      <c r="I243" s="144"/>
      <c r="J243" s="143"/>
      <c r="K243" s="142"/>
      <c r="L243" s="145"/>
      <c r="M243" s="143"/>
      <c r="N243" s="146"/>
      <c r="O243" s="145"/>
      <c r="P243" s="143"/>
      <c r="Q243" s="146"/>
      <c r="R243" s="145"/>
      <c r="S243" s="143"/>
      <c r="T243" s="146"/>
      <c r="U243" s="142"/>
      <c r="V243" s="143"/>
      <c r="W243" s="142"/>
      <c r="X243" s="142"/>
      <c r="Y243" s="142"/>
      <c r="Z243" s="142"/>
      <c r="AA243" s="147"/>
      <c r="AB243" s="147"/>
      <c r="AC243" s="147"/>
      <c r="AD243" s="2"/>
      <c r="AE243" s="2"/>
      <c r="AF243" s="2"/>
      <c r="AG243" s="2"/>
      <c r="AH243" s="2"/>
      <c r="AI243" s="2"/>
    </row>
    <row r="244" spans="1:35" ht="30" hidden="1" customHeight="1">
      <c r="A244" s="140"/>
      <c r="B244" s="319"/>
      <c r="C244" s="277"/>
      <c r="D244" s="141"/>
      <c r="E244" s="141"/>
      <c r="F244" s="142"/>
      <c r="G244" s="143"/>
      <c r="H244" s="142"/>
      <c r="I244" s="144"/>
      <c r="J244" s="143"/>
      <c r="K244" s="142"/>
      <c r="L244" s="145"/>
      <c r="M244" s="143"/>
      <c r="N244" s="146"/>
      <c r="O244" s="145"/>
      <c r="P244" s="143"/>
      <c r="Q244" s="146"/>
      <c r="R244" s="145"/>
      <c r="S244" s="143"/>
      <c r="T244" s="146"/>
      <c r="U244" s="142"/>
      <c r="V244" s="143"/>
      <c r="W244" s="142"/>
      <c r="X244" s="142"/>
      <c r="Y244" s="142"/>
      <c r="Z244" s="142"/>
      <c r="AA244" s="147"/>
      <c r="AB244" s="147"/>
      <c r="AC244" s="147"/>
      <c r="AD244" s="2"/>
      <c r="AE244" s="2"/>
      <c r="AF244" s="2"/>
      <c r="AG244" s="2"/>
      <c r="AH244" s="2"/>
      <c r="AI244" s="2"/>
    </row>
    <row r="245" spans="1:35" ht="30" hidden="1" customHeight="1">
      <c r="A245" s="140"/>
      <c r="B245" s="319"/>
      <c r="C245" s="277"/>
      <c r="D245" s="141"/>
      <c r="E245" s="141"/>
      <c r="F245" s="142"/>
      <c r="G245" s="143"/>
      <c r="H245" s="142"/>
      <c r="I245" s="144"/>
      <c r="J245" s="143"/>
      <c r="K245" s="142"/>
      <c r="L245" s="145"/>
      <c r="M245" s="143"/>
      <c r="N245" s="146"/>
      <c r="O245" s="145"/>
      <c r="P245" s="143"/>
      <c r="Q245" s="146"/>
      <c r="R245" s="145"/>
      <c r="S245" s="143"/>
      <c r="T245" s="146"/>
      <c r="U245" s="142"/>
      <c r="V245" s="143"/>
      <c r="W245" s="142"/>
      <c r="X245" s="142"/>
      <c r="Y245" s="142"/>
      <c r="Z245" s="142"/>
      <c r="AA245" s="147"/>
      <c r="AB245" s="147"/>
      <c r="AC245" s="147"/>
      <c r="AD245" s="2"/>
      <c r="AE245" s="2"/>
      <c r="AF245" s="2"/>
      <c r="AG245" s="2"/>
      <c r="AH245" s="2"/>
      <c r="AI245" s="2"/>
    </row>
    <row r="246" spans="1:35" ht="30" hidden="1" customHeight="1">
      <c r="A246" s="140"/>
      <c r="B246" s="319"/>
      <c r="C246" s="277"/>
      <c r="D246" s="141"/>
      <c r="E246" s="141"/>
      <c r="F246" s="142"/>
      <c r="G246" s="143"/>
      <c r="H246" s="142"/>
      <c r="I246" s="144"/>
      <c r="J246" s="143"/>
      <c r="K246" s="142"/>
      <c r="L246" s="145"/>
      <c r="M246" s="143"/>
      <c r="N246" s="146"/>
      <c r="O246" s="145"/>
      <c r="P246" s="143"/>
      <c r="Q246" s="146"/>
      <c r="R246" s="145"/>
      <c r="S246" s="143"/>
      <c r="T246" s="146"/>
      <c r="U246" s="142"/>
      <c r="V246" s="143"/>
      <c r="W246" s="142"/>
      <c r="X246" s="142"/>
      <c r="Y246" s="142"/>
      <c r="Z246" s="142"/>
      <c r="AA246" s="147"/>
      <c r="AB246" s="147"/>
      <c r="AC246" s="147"/>
      <c r="AD246" s="2"/>
      <c r="AE246" s="2"/>
      <c r="AF246" s="2"/>
      <c r="AG246" s="2"/>
      <c r="AH246" s="2"/>
      <c r="AI246" s="2"/>
    </row>
    <row r="247" spans="1:35" ht="30" hidden="1" customHeight="1">
      <c r="A247" s="140"/>
      <c r="B247" s="319"/>
      <c r="C247" s="277"/>
      <c r="D247" s="141"/>
      <c r="E247" s="141"/>
      <c r="F247" s="142"/>
      <c r="G247" s="143"/>
      <c r="H247" s="142"/>
      <c r="I247" s="144"/>
      <c r="J247" s="143"/>
      <c r="K247" s="142"/>
      <c r="L247" s="145"/>
      <c r="M247" s="143"/>
      <c r="N247" s="146"/>
      <c r="O247" s="145"/>
      <c r="P247" s="143"/>
      <c r="Q247" s="146"/>
      <c r="R247" s="145"/>
      <c r="S247" s="143"/>
      <c r="T247" s="146"/>
      <c r="U247" s="142"/>
      <c r="V247" s="143"/>
      <c r="W247" s="142"/>
      <c r="X247" s="142"/>
      <c r="Y247" s="142"/>
      <c r="Z247" s="142"/>
      <c r="AA247" s="147"/>
      <c r="AB247" s="147"/>
      <c r="AC247" s="147"/>
      <c r="AD247" s="2"/>
      <c r="AE247" s="2"/>
      <c r="AF247" s="2"/>
      <c r="AG247" s="2"/>
      <c r="AH247" s="2"/>
      <c r="AI247" s="2"/>
    </row>
    <row r="248" spans="1:35" ht="30" hidden="1" customHeight="1">
      <c r="A248" s="148"/>
      <c r="B248" s="2"/>
      <c r="C248" s="2"/>
      <c r="D248" s="149"/>
      <c r="E248" s="149"/>
      <c r="F248" s="2"/>
      <c r="G248" s="2"/>
      <c r="H248" s="2"/>
      <c r="I248" s="150"/>
      <c r="J248" s="45"/>
      <c r="K248" s="151"/>
      <c r="L248" s="77"/>
      <c r="M248" s="75"/>
      <c r="N248" s="77"/>
      <c r="O248" s="77"/>
      <c r="P248" s="77"/>
      <c r="Q248" s="77"/>
      <c r="R248" s="77"/>
      <c r="S248" s="75"/>
      <c r="T248" s="77"/>
      <c r="U248" s="2"/>
      <c r="V248" s="2"/>
      <c r="W248" s="2"/>
      <c r="X248" s="2"/>
      <c r="Y248" s="2"/>
      <c r="Z248" s="2"/>
      <c r="AA248" s="2"/>
      <c r="AB248" s="2"/>
      <c r="AC248" s="152"/>
      <c r="AD248" s="2"/>
      <c r="AE248" s="2"/>
      <c r="AF248" s="2"/>
      <c r="AG248" s="2"/>
      <c r="AH248" s="2"/>
      <c r="AI248" s="2"/>
    </row>
    <row r="249" spans="1:35" ht="30" hidden="1" customHeight="1">
      <c r="A249" s="148"/>
      <c r="B249" s="2"/>
      <c r="C249" s="2"/>
      <c r="D249" s="149"/>
      <c r="E249" s="149"/>
      <c r="F249" s="2"/>
      <c r="G249" s="2"/>
      <c r="H249" s="2"/>
      <c r="I249" s="150"/>
      <c r="J249" s="45"/>
      <c r="K249" s="151"/>
      <c r="L249" s="77"/>
      <c r="M249" s="75"/>
      <c r="N249" s="77"/>
      <c r="O249" s="77"/>
      <c r="P249" s="77"/>
      <c r="Q249" s="77"/>
      <c r="R249" s="77"/>
      <c r="S249" s="75"/>
      <c r="T249" s="77"/>
      <c r="U249" s="2"/>
      <c r="V249" s="2"/>
      <c r="W249" s="2"/>
      <c r="X249" s="2"/>
      <c r="Y249" s="2"/>
      <c r="Z249" s="2"/>
      <c r="AA249" s="2"/>
      <c r="AB249" s="2"/>
      <c r="AC249" s="152"/>
      <c r="AD249" s="2"/>
      <c r="AE249" s="2"/>
      <c r="AF249" s="2"/>
      <c r="AG249" s="2"/>
      <c r="AH249" s="2"/>
      <c r="AI249" s="2"/>
    </row>
    <row r="250" spans="1:35" ht="30" hidden="1" customHeight="1">
      <c r="A250" s="148"/>
      <c r="B250" s="2"/>
      <c r="C250" s="2"/>
      <c r="D250" s="149"/>
      <c r="E250" s="149"/>
      <c r="F250" s="2"/>
      <c r="G250" s="2"/>
      <c r="H250" s="2"/>
      <c r="I250" s="150"/>
      <c r="J250" s="45"/>
      <c r="K250" s="151"/>
      <c r="L250" s="77"/>
      <c r="M250" s="75"/>
      <c r="N250" s="77"/>
      <c r="O250" s="77"/>
      <c r="P250" s="77"/>
      <c r="Q250" s="77"/>
      <c r="R250" s="77"/>
      <c r="S250" s="75"/>
      <c r="T250" s="77"/>
      <c r="U250" s="2"/>
      <c r="V250" s="2"/>
      <c r="W250" s="2"/>
      <c r="X250" s="2"/>
      <c r="Y250" s="2"/>
      <c r="Z250" s="2"/>
      <c r="AA250" s="2"/>
      <c r="AB250" s="2"/>
      <c r="AC250" s="152"/>
      <c r="AD250" s="2"/>
      <c r="AE250" s="2"/>
      <c r="AF250" s="2"/>
      <c r="AG250" s="2"/>
      <c r="AH250" s="2"/>
      <c r="AI250" s="2"/>
    </row>
    <row r="251" spans="1:35" ht="30" hidden="1" customHeight="1">
      <c r="A251" s="148"/>
      <c r="B251" s="2"/>
      <c r="C251" s="2"/>
      <c r="D251" s="149"/>
      <c r="E251" s="149"/>
      <c r="F251" s="2"/>
      <c r="G251" s="2"/>
      <c r="H251" s="2"/>
      <c r="I251" s="150"/>
      <c r="J251" s="45"/>
      <c r="K251" s="151"/>
      <c r="L251" s="77"/>
      <c r="M251" s="75"/>
      <c r="N251" s="77"/>
      <c r="O251" s="77"/>
      <c r="P251" s="77"/>
      <c r="Q251" s="77"/>
      <c r="R251" s="77"/>
      <c r="S251" s="75"/>
      <c r="T251" s="77"/>
      <c r="U251" s="2"/>
      <c r="V251" s="2"/>
      <c r="W251" s="2"/>
      <c r="X251" s="2"/>
      <c r="Y251" s="2"/>
      <c r="Z251" s="2"/>
      <c r="AA251" s="2"/>
      <c r="AB251" s="2"/>
      <c r="AC251" s="152"/>
      <c r="AD251" s="2"/>
      <c r="AE251" s="2"/>
      <c r="AF251" s="2"/>
      <c r="AG251" s="2"/>
      <c r="AH251" s="2"/>
      <c r="AI251" s="2"/>
    </row>
    <row r="252" spans="1:35" ht="30" hidden="1" customHeight="1">
      <c r="A252" s="148"/>
      <c r="B252" s="2"/>
      <c r="C252" s="2"/>
      <c r="D252" s="149"/>
      <c r="E252" s="149"/>
      <c r="F252" s="2"/>
      <c r="G252" s="2"/>
      <c r="H252" s="2"/>
      <c r="I252" s="150"/>
      <c r="J252" s="45"/>
      <c r="K252" s="151"/>
      <c r="L252" s="77"/>
      <c r="M252" s="75"/>
      <c r="N252" s="77"/>
      <c r="O252" s="77"/>
      <c r="P252" s="77"/>
      <c r="Q252" s="77"/>
      <c r="R252" s="77"/>
      <c r="S252" s="75"/>
      <c r="T252" s="77"/>
      <c r="U252" s="2"/>
      <c r="V252" s="2"/>
      <c r="W252" s="2"/>
      <c r="X252" s="2"/>
      <c r="Y252" s="2"/>
      <c r="Z252" s="2"/>
      <c r="AA252" s="2"/>
      <c r="AB252" s="2"/>
      <c r="AC252" s="152"/>
      <c r="AD252" s="2"/>
      <c r="AE252" s="2"/>
      <c r="AF252" s="2"/>
      <c r="AG252" s="2"/>
      <c r="AH252" s="2"/>
      <c r="AI252" s="2"/>
    </row>
    <row r="253" spans="1:35" ht="30" hidden="1" customHeight="1">
      <c r="A253" s="148"/>
      <c r="B253" s="2"/>
      <c r="C253" s="2"/>
      <c r="D253" s="149"/>
      <c r="E253" s="149"/>
      <c r="F253" s="2"/>
      <c r="G253" s="2"/>
      <c r="H253" s="2"/>
      <c r="I253" s="150"/>
      <c r="J253" s="45"/>
      <c r="K253" s="151"/>
      <c r="L253" s="77"/>
      <c r="M253" s="75"/>
      <c r="N253" s="77"/>
      <c r="O253" s="77"/>
      <c r="P253" s="77"/>
      <c r="Q253" s="77"/>
      <c r="R253" s="77"/>
      <c r="S253" s="75"/>
      <c r="T253" s="77"/>
      <c r="U253" s="2"/>
      <c r="V253" s="2"/>
      <c r="W253" s="2"/>
      <c r="X253" s="2"/>
      <c r="Y253" s="2"/>
      <c r="Z253" s="2"/>
      <c r="AA253" s="2"/>
      <c r="AB253" s="2"/>
      <c r="AC253" s="152"/>
      <c r="AD253" s="2"/>
      <c r="AE253" s="2"/>
      <c r="AF253" s="2"/>
      <c r="AG253" s="2"/>
      <c r="AH253" s="2"/>
      <c r="AI253" s="2"/>
    </row>
    <row r="254" spans="1:35" ht="30" hidden="1" customHeight="1">
      <c r="A254" s="148"/>
      <c r="B254" s="2"/>
      <c r="C254" s="2"/>
      <c r="D254" s="149"/>
      <c r="E254" s="149"/>
      <c r="F254" s="2"/>
      <c r="G254" s="2"/>
      <c r="H254" s="2"/>
      <c r="I254" s="150"/>
      <c r="J254" s="45"/>
      <c r="K254" s="151"/>
      <c r="L254" s="77"/>
      <c r="M254" s="75"/>
      <c r="N254" s="77"/>
      <c r="O254" s="77"/>
      <c r="P254" s="77"/>
      <c r="Q254" s="77"/>
      <c r="R254" s="77"/>
      <c r="S254" s="75"/>
      <c r="T254" s="77"/>
      <c r="U254" s="2"/>
      <c r="V254" s="2"/>
      <c r="W254" s="2"/>
      <c r="X254" s="2"/>
      <c r="Y254" s="2"/>
      <c r="Z254" s="2"/>
      <c r="AA254" s="2"/>
      <c r="AB254" s="2"/>
      <c r="AC254" s="152"/>
      <c r="AD254" s="2"/>
      <c r="AE254" s="2"/>
      <c r="AF254" s="2"/>
      <c r="AG254" s="2"/>
      <c r="AH254" s="2"/>
      <c r="AI254" s="2"/>
    </row>
    <row r="255" spans="1:35" ht="30" hidden="1" customHeight="1">
      <c r="A255" s="148"/>
      <c r="B255" s="2"/>
      <c r="C255" s="2"/>
      <c r="D255" s="149"/>
      <c r="E255" s="149"/>
      <c r="F255" s="2"/>
      <c r="G255" s="2"/>
      <c r="H255" s="2"/>
      <c r="I255" s="150"/>
      <c r="J255" s="45"/>
      <c r="K255" s="151"/>
      <c r="L255" s="77"/>
      <c r="M255" s="75"/>
      <c r="N255" s="77"/>
      <c r="O255" s="77"/>
      <c r="P255" s="77"/>
      <c r="Q255" s="77"/>
      <c r="R255" s="77"/>
      <c r="S255" s="75"/>
      <c r="T255" s="77"/>
      <c r="U255" s="2"/>
      <c r="V255" s="2"/>
      <c r="W255" s="2"/>
      <c r="X255" s="2"/>
      <c r="Y255" s="2"/>
      <c r="Z255" s="2"/>
      <c r="AA255" s="2"/>
      <c r="AB255" s="2"/>
      <c r="AC255" s="152"/>
      <c r="AD255" s="2"/>
      <c r="AE255" s="2"/>
      <c r="AF255" s="2"/>
      <c r="AG255" s="2"/>
      <c r="AH255" s="2"/>
      <c r="AI255" s="2"/>
    </row>
    <row r="256" spans="1:35" ht="30" hidden="1" customHeight="1">
      <c r="A256" s="148"/>
      <c r="B256" s="2"/>
      <c r="C256" s="2"/>
      <c r="D256" s="149"/>
      <c r="E256" s="149"/>
      <c r="F256" s="2"/>
      <c r="G256" s="2"/>
      <c r="H256" s="2"/>
      <c r="I256" s="150"/>
      <c r="J256" s="45"/>
      <c r="K256" s="151"/>
      <c r="L256" s="77"/>
      <c r="M256" s="75"/>
      <c r="N256" s="77"/>
      <c r="O256" s="77"/>
      <c r="P256" s="77"/>
      <c r="Q256" s="77"/>
      <c r="R256" s="77"/>
      <c r="S256" s="75"/>
      <c r="T256" s="77"/>
      <c r="U256" s="2"/>
      <c r="V256" s="2"/>
      <c r="W256" s="2"/>
      <c r="X256" s="2"/>
      <c r="Y256" s="2"/>
      <c r="Z256" s="2"/>
      <c r="AA256" s="2"/>
      <c r="AB256" s="2"/>
      <c r="AC256" s="152"/>
      <c r="AD256" s="2"/>
      <c r="AE256" s="2"/>
      <c r="AF256" s="2"/>
      <c r="AG256" s="2"/>
      <c r="AH256" s="2"/>
      <c r="AI256" s="2"/>
    </row>
    <row r="257" spans="1:35"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310">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 ref="AA51:AB51"/>
    <mergeCell ref="AA52:AB52"/>
    <mergeCell ref="AA48:AB48"/>
    <mergeCell ref="B49:C49"/>
    <mergeCell ref="AA49:AB49"/>
    <mergeCell ref="B50:C50"/>
    <mergeCell ref="AA50:AB50"/>
    <mergeCell ref="B51:C51"/>
    <mergeCell ref="B52:C52"/>
    <mergeCell ref="I1:K1"/>
    <mergeCell ref="L1:N1"/>
    <mergeCell ref="O1:Q1"/>
    <mergeCell ref="R1:T1"/>
    <mergeCell ref="U1:W1"/>
    <mergeCell ref="R5:T5"/>
    <mergeCell ref="U5:W5"/>
    <mergeCell ref="AA5:AB5"/>
    <mergeCell ref="AA6:AB6"/>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A57:A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42:C42"/>
    <mergeCell ref="B43:C43"/>
    <mergeCell ref="B39:C39"/>
    <mergeCell ref="AA39:AB39"/>
    <mergeCell ref="B40:C40"/>
    <mergeCell ref="AA40:AB40"/>
    <mergeCell ref="B41:C41"/>
    <mergeCell ref="AA41:AB41"/>
    <mergeCell ref="AA42:AB42"/>
    <mergeCell ref="AA43:AB43"/>
    <mergeCell ref="B47:C47"/>
    <mergeCell ref="B48:C48"/>
    <mergeCell ref="B44:C44"/>
    <mergeCell ref="AA44:AB44"/>
    <mergeCell ref="B45:C45"/>
    <mergeCell ref="AA45:AB45"/>
    <mergeCell ref="B46:C46"/>
    <mergeCell ref="AA46:AB46"/>
    <mergeCell ref="AA47:AB47"/>
  </mergeCells>
  <conditionalFormatting sqref="B6:C55">
    <cfRule type="cellIs" dxfId="136" priority="1" operator="equal">
      <formula>"perdido"</formula>
    </cfRule>
  </conditionalFormatting>
  <conditionalFormatting sqref="B6:C55">
    <cfRule type="cellIs" dxfId="135" priority="2" operator="equal">
      <formula>"empatado"</formula>
    </cfRule>
  </conditionalFormatting>
  <conditionalFormatting sqref="B6:C55">
    <cfRule type="cellIs" dxfId="134" priority="3" operator="equal">
      <formula>"ganado"</formula>
    </cfRule>
  </conditionalFormatting>
  <conditionalFormatting sqref="B6:C55">
    <cfRule type="cellIs" dxfId="133" priority="4" stopIfTrue="1" operator="equal">
      <formula>"won"</formula>
    </cfRule>
  </conditionalFormatting>
  <conditionalFormatting sqref="B6:C55">
    <cfRule type="cellIs" dxfId="132" priority="5" stopIfTrue="1" operator="equal">
      <formula>"lost"</formula>
    </cfRule>
  </conditionalFormatting>
  <conditionalFormatting sqref="B6:C55">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Roster!$AI$71:$AI$74</xm:f>
          </x14:formula1>
          <xm:sqref>X6:X55</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x14:formula1>
            <xm:f>Roster!$AR$61:$AR$171</xm:f>
          </x14:formula1>
          <xm:sqref>AB3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L11" sqref="L11:V11"/>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75"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9"/>
      <c r="AL1" s="12"/>
    </row>
    <row r="2" spans="1:38" ht="22.5" customHeight="1">
      <c r="A2" s="8" t="s">
        <v>51</v>
      </c>
      <c r="B2" s="8" t="str">
        <f>IF(Roster!$J$25="Italiano","NOME GIOCATORE",(IF(Roster!$J$25="Español","NOMBRE JUGADOR",(IF(Roster!$J$25="Deutsch","NAME",(IF(Roster!$J$25="Français","NOM DU JOUEUR","PLAYER NAME")))))))</f>
        <v>NOME GIOCATORE</v>
      </c>
      <c r="C2" s="275" t="str">
        <f>IF(Roster!$J$25="Italiano","TIPO",(IF(Roster!$J$25="Español","TIPO",(IF(Roster!$J$25="Deutsch","POSITION",(IF(Roster!$J$25="Français","POSTE","TYPE")))))))</f>
        <v>TIPO</v>
      </c>
      <c r="D2" s="248"/>
      <c r="E2" s="248"/>
      <c r="F2" s="249"/>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275" t="str">
        <f>IF(Roster!$J$25="Italiano","ABILITÀ",(IF(Roster!$J$25="Español","HABILIDADES",(IF(Roster!$J$25="Deutsch","FERTIGKEITEN",(IF(Roster!$J$25="Français","COMPÉTENCES","SKILLS")))))))</f>
        <v>ABILITÀ</v>
      </c>
      <c r="M2" s="248"/>
      <c r="N2" s="248"/>
      <c r="O2" s="248"/>
      <c r="P2" s="248"/>
      <c r="Q2" s="248"/>
      <c r="R2" s="248"/>
      <c r="S2" s="248"/>
      <c r="T2" s="248"/>
      <c r="U2" s="248"/>
      <c r="V2" s="249"/>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274" t="str">
        <f>IF(Roster!$J$25="Italiano","SPP Totali",(IF(Roster!$J$25="Español","SPP Totales",(IF(Roster!$J$25="Deutsch","Gesamte SPP",(IF(Roster!$J$25="Français","Total PSP","Total SPP")))))))</f>
        <v>SPP Totali</v>
      </c>
      <c r="AG2" s="249"/>
      <c r="AH2" s="274" t="str">
        <f>IF(Roster!$J$25="Italiano","SPP Non Spesi",(IF(Roster!$J$25="Español","SPP Sin gastar",(IF(Roster!$J$25="Deutsch","Verfügb. SPP",(IF(Roster!$J$25="Français","PSP restant","Unspent SPP")))))))</f>
        <v>SPP Non Spesi</v>
      </c>
      <c r="AI2" s="249"/>
      <c r="AJ2" s="275" t="str">
        <f>IF(Roster!$J$25="Italiano","COSTO",(IF(Roster!$J$25="Español","PRECIO",(IF(Roster!$J$25="Deutsch","WERT",(IF(Roster!$J$25="Français","VALEUR","COST")))))))</f>
        <v>COSTO</v>
      </c>
      <c r="AK2" s="249"/>
      <c r="AL2" s="345"/>
    </row>
    <row r="3" spans="1:38" ht="22.5" customHeight="1">
      <c r="A3" s="8">
        <v>1</v>
      </c>
      <c r="B3" s="14" t="s">
        <v>1338</v>
      </c>
      <c r="C3" s="256" t="s">
        <v>930</v>
      </c>
      <c r="D3" s="248"/>
      <c r="E3" s="248"/>
      <c r="F3" s="249"/>
      <c r="G3" s="153"/>
      <c r="H3" s="153"/>
      <c r="I3" s="153"/>
      <c r="J3" s="153"/>
      <c r="K3" s="153"/>
      <c r="L3" s="344" t="s">
        <v>1361</v>
      </c>
      <c r="M3" s="248"/>
      <c r="N3" s="248"/>
      <c r="O3" s="248"/>
      <c r="P3" s="248"/>
      <c r="Q3" s="248"/>
      <c r="R3" s="248"/>
      <c r="S3" s="248"/>
      <c r="T3" s="248"/>
      <c r="U3" s="248"/>
      <c r="V3" s="249"/>
      <c r="W3" s="154"/>
      <c r="X3" s="155"/>
      <c r="Y3" s="155"/>
      <c r="Z3" s="155"/>
      <c r="AA3" s="156"/>
      <c r="AB3" s="156"/>
      <c r="AC3" s="156"/>
      <c r="AD3" s="156"/>
      <c r="AE3" s="156"/>
      <c r="AF3" s="343"/>
      <c r="AG3" s="249"/>
      <c r="AH3" s="343"/>
      <c r="AI3" s="249"/>
      <c r="AJ3" s="346">
        <v>30000</v>
      </c>
      <c r="AK3" s="249"/>
      <c r="AL3" s="240"/>
    </row>
    <row r="4" spans="1:38" ht="22.5" customHeight="1">
      <c r="A4" s="8">
        <v>2</v>
      </c>
      <c r="B4" s="14" t="s">
        <v>1341</v>
      </c>
      <c r="C4" s="256" t="s">
        <v>940</v>
      </c>
      <c r="D4" s="248"/>
      <c r="E4" s="248"/>
      <c r="F4" s="249"/>
      <c r="G4" s="153"/>
      <c r="H4" s="153"/>
      <c r="I4" s="153"/>
      <c r="J4" s="153"/>
      <c r="K4" s="153"/>
      <c r="L4" s="344" t="s">
        <v>1361</v>
      </c>
      <c r="M4" s="248"/>
      <c r="N4" s="248"/>
      <c r="O4" s="248"/>
      <c r="P4" s="248"/>
      <c r="Q4" s="248"/>
      <c r="R4" s="248"/>
      <c r="S4" s="248"/>
      <c r="T4" s="248"/>
      <c r="U4" s="248"/>
      <c r="V4" s="249"/>
      <c r="W4" s="154"/>
      <c r="X4" s="155"/>
      <c r="Y4" s="155"/>
      <c r="Z4" s="155"/>
      <c r="AA4" s="156"/>
      <c r="AB4" s="156"/>
      <c r="AC4" s="156"/>
      <c r="AD4" s="156"/>
      <c r="AE4" s="156">
        <v>1</v>
      </c>
      <c r="AF4" s="343">
        <v>4</v>
      </c>
      <c r="AG4" s="249"/>
      <c r="AH4" s="343">
        <v>1</v>
      </c>
      <c r="AI4" s="249"/>
      <c r="AJ4" s="343">
        <v>20000</v>
      </c>
      <c r="AK4" s="249"/>
      <c r="AL4" s="240"/>
    </row>
    <row r="5" spans="1:38" ht="22.5" customHeight="1">
      <c r="A5" s="8">
        <v>3</v>
      </c>
      <c r="B5" s="14" t="s">
        <v>1351</v>
      </c>
      <c r="C5" s="256" t="s">
        <v>204</v>
      </c>
      <c r="D5" s="248"/>
      <c r="E5" s="248"/>
      <c r="F5" s="249"/>
      <c r="G5" s="153"/>
      <c r="H5" s="153"/>
      <c r="I5" s="153"/>
      <c r="J5" s="153"/>
      <c r="K5" s="153"/>
      <c r="L5" s="344" t="s">
        <v>1366</v>
      </c>
      <c r="M5" s="248"/>
      <c r="N5" s="248"/>
      <c r="O5" s="248"/>
      <c r="P5" s="248"/>
      <c r="Q5" s="248"/>
      <c r="R5" s="248"/>
      <c r="S5" s="248"/>
      <c r="T5" s="248"/>
      <c r="U5" s="248"/>
      <c r="V5" s="249"/>
      <c r="W5" s="154"/>
      <c r="X5" s="155"/>
      <c r="Y5" s="155"/>
      <c r="Z5" s="155"/>
      <c r="AA5" s="156"/>
      <c r="AB5" s="156"/>
      <c r="AC5" s="156"/>
      <c r="AD5" s="156"/>
      <c r="AE5" s="156"/>
      <c r="AF5" s="343"/>
      <c r="AG5" s="249"/>
      <c r="AH5" s="343"/>
      <c r="AI5" s="249"/>
      <c r="AJ5" s="343">
        <v>15000</v>
      </c>
      <c r="AK5" s="249"/>
      <c r="AL5" s="240"/>
    </row>
    <row r="6" spans="1:38" ht="22.5" customHeight="1">
      <c r="A6" s="8">
        <v>4</v>
      </c>
      <c r="B6" s="14"/>
      <c r="C6" s="256"/>
      <c r="D6" s="248"/>
      <c r="E6" s="248"/>
      <c r="F6" s="249"/>
      <c r="G6" s="153"/>
      <c r="H6" s="153"/>
      <c r="I6" s="153"/>
      <c r="J6" s="153"/>
      <c r="K6" s="153"/>
      <c r="L6" s="344"/>
      <c r="M6" s="248"/>
      <c r="N6" s="248"/>
      <c r="O6" s="248"/>
      <c r="P6" s="248"/>
      <c r="Q6" s="248"/>
      <c r="R6" s="248"/>
      <c r="S6" s="248"/>
      <c r="T6" s="248"/>
      <c r="U6" s="248"/>
      <c r="V6" s="249"/>
      <c r="W6" s="154"/>
      <c r="X6" s="155"/>
      <c r="Y6" s="155"/>
      <c r="Z6" s="155"/>
      <c r="AA6" s="156"/>
      <c r="AB6" s="156"/>
      <c r="AC6" s="156"/>
      <c r="AD6" s="156"/>
      <c r="AE6" s="156"/>
      <c r="AF6" s="343"/>
      <c r="AG6" s="249"/>
      <c r="AH6" s="343"/>
      <c r="AI6" s="249"/>
      <c r="AJ6" s="343"/>
      <c r="AK6" s="249"/>
      <c r="AL6" s="240"/>
    </row>
    <row r="7" spans="1:38" ht="22.5" customHeight="1">
      <c r="A7" s="8">
        <v>5</v>
      </c>
      <c r="B7" s="14"/>
      <c r="C7" s="256"/>
      <c r="D7" s="248"/>
      <c r="E7" s="248"/>
      <c r="F7" s="249"/>
      <c r="G7" s="153"/>
      <c r="H7" s="153"/>
      <c r="I7" s="153"/>
      <c r="J7" s="153"/>
      <c r="K7" s="153"/>
      <c r="L7" s="344"/>
      <c r="M7" s="248"/>
      <c r="N7" s="248"/>
      <c r="O7" s="248"/>
      <c r="P7" s="248"/>
      <c r="Q7" s="248"/>
      <c r="R7" s="248"/>
      <c r="S7" s="248"/>
      <c r="T7" s="248"/>
      <c r="U7" s="248"/>
      <c r="V7" s="249"/>
      <c r="W7" s="154"/>
      <c r="X7" s="155"/>
      <c r="Y7" s="155"/>
      <c r="Z7" s="155"/>
      <c r="AA7" s="156"/>
      <c r="AB7" s="156"/>
      <c r="AC7" s="156"/>
      <c r="AD7" s="156"/>
      <c r="AE7" s="156"/>
      <c r="AF7" s="343"/>
      <c r="AG7" s="249"/>
      <c r="AH7" s="343"/>
      <c r="AI7" s="249"/>
      <c r="AJ7" s="343"/>
      <c r="AK7" s="249"/>
      <c r="AL7" s="240"/>
    </row>
    <row r="8" spans="1:38" ht="22.5" customHeight="1">
      <c r="A8" s="8">
        <v>6</v>
      </c>
      <c r="B8" s="14"/>
      <c r="C8" s="256"/>
      <c r="D8" s="248"/>
      <c r="E8" s="248"/>
      <c r="F8" s="249"/>
      <c r="G8" s="153"/>
      <c r="H8" s="153"/>
      <c r="I8" s="153"/>
      <c r="J8" s="153"/>
      <c r="K8" s="153"/>
      <c r="L8" s="344"/>
      <c r="M8" s="248"/>
      <c r="N8" s="248"/>
      <c r="O8" s="248"/>
      <c r="P8" s="248"/>
      <c r="Q8" s="248"/>
      <c r="R8" s="248"/>
      <c r="S8" s="248"/>
      <c r="T8" s="248"/>
      <c r="U8" s="248"/>
      <c r="V8" s="249"/>
      <c r="W8" s="154"/>
      <c r="X8" s="155"/>
      <c r="Y8" s="155"/>
      <c r="Z8" s="155"/>
      <c r="AA8" s="156"/>
      <c r="AB8" s="156"/>
      <c r="AC8" s="156"/>
      <c r="AD8" s="156"/>
      <c r="AE8" s="156"/>
      <c r="AF8" s="343"/>
      <c r="AG8" s="249"/>
      <c r="AH8" s="343"/>
      <c r="AI8" s="249"/>
      <c r="AJ8" s="343"/>
      <c r="AK8" s="249"/>
      <c r="AL8" s="240"/>
    </row>
    <row r="9" spans="1:38" ht="22.5" customHeight="1">
      <c r="A9" s="8">
        <v>7</v>
      </c>
      <c r="B9" s="14"/>
      <c r="C9" s="256"/>
      <c r="D9" s="248"/>
      <c r="E9" s="248"/>
      <c r="F9" s="249"/>
      <c r="G9" s="153"/>
      <c r="H9" s="153"/>
      <c r="I9" s="153"/>
      <c r="J9" s="153"/>
      <c r="K9" s="153"/>
      <c r="L9" s="344"/>
      <c r="M9" s="248"/>
      <c r="N9" s="248"/>
      <c r="O9" s="248"/>
      <c r="P9" s="248"/>
      <c r="Q9" s="248"/>
      <c r="R9" s="248"/>
      <c r="S9" s="248"/>
      <c r="T9" s="248"/>
      <c r="U9" s="248"/>
      <c r="V9" s="249"/>
      <c r="W9" s="154"/>
      <c r="X9" s="155"/>
      <c r="Y9" s="155"/>
      <c r="Z9" s="155"/>
      <c r="AA9" s="156"/>
      <c r="AB9" s="156"/>
      <c r="AC9" s="156"/>
      <c r="AD9" s="156"/>
      <c r="AE9" s="156"/>
      <c r="AF9" s="343"/>
      <c r="AG9" s="249"/>
      <c r="AH9" s="343"/>
      <c r="AI9" s="249"/>
      <c r="AJ9" s="343"/>
      <c r="AK9" s="249"/>
      <c r="AL9" s="240"/>
    </row>
    <row r="10" spans="1:38" ht="22.5" customHeight="1">
      <c r="A10" s="8">
        <v>8</v>
      </c>
      <c r="B10" s="14"/>
      <c r="C10" s="256"/>
      <c r="D10" s="248"/>
      <c r="E10" s="248"/>
      <c r="F10" s="249"/>
      <c r="G10" s="153"/>
      <c r="H10" s="153"/>
      <c r="I10" s="153"/>
      <c r="J10" s="153"/>
      <c r="K10" s="153"/>
      <c r="L10" s="344"/>
      <c r="M10" s="248"/>
      <c r="N10" s="248"/>
      <c r="O10" s="248"/>
      <c r="P10" s="248"/>
      <c r="Q10" s="248"/>
      <c r="R10" s="248"/>
      <c r="S10" s="248"/>
      <c r="T10" s="248"/>
      <c r="U10" s="248"/>
      <c r="V10" s="249"/>
      <c r="W10" s="154"/>
      <c r="X10" s="155"/>
      <c r="Y10" s="155"/>
      <c r="Z10" s="155"/>
      <c r="AA10" s="156"/>
      <c r="AB10" s="156"/>
      <c r="AC10" s="156"/>
      <c r="AD10" s="156"/>
      <c r="AE10" s="156"/>
      <c r="AF10" s="343"/>
      <c r="AG10" s="249"/>
      <c r="AH10" s="343"/>
      <c r="AI10" s="249"/>
      <c r="AJ10" s="343"/>
      <c r="AK10" s="249"/>
      <c r="AL10" s="240"/>
    </row>
    <row r="11" spans="1:38" ht="22.5" customHeight="1">
      <c r="A11" s="8">
        <v>9</v>
      </c>
      <c r="B11" s="14"/>
      <c r="C11" s="256"/>
      <c r="D11" s="248"/>
      <c r="E11" s="248"/>
      <c r="F11" s="249"/>
      <c r="G11" s="153"/>
      <c r="H11" s="153"/>
      <c r="I11" s="153"/>
      <c r="J11" s="153"/>
      <c r="K11" s="153"/>
      <c r="L11" s="344"/>
      <c r="M11" s="248"/>
      <c r="N11" s="248"/>
      <c r="O11" s="248"/>
      <c r="P11" s="248"/>
      <c r="Q11" s="248"/>
      <c r="R11" s="248"/>
      <c r="S11" s="248"/>
      <c r="T11" s="248"/>
      <c r="U11" s="248"/>
      <c r="V11" s="249"/>
      <c r="W11" s="154"/>
      <c r="X11" s="155"/>
      <c r="Y11" s="155"/>
      <c r="Z11" s="155"/>
      <c r="AA11" s="156"/>
      <c r="AB11" s="156"/>
      <c r="AC11" s="156"/>
      <c r="AD11" s="156"/>
      <c r="AE11" s="156"/>
      <c r="AF11" s="343"/>
      <c r="AG11" s="249"/>
      <c r="AH11" s="343"/>
      <c r="AI11" s="249"/>
      <c r="AJ11" s="343"/>
      <c r="AK11" s="249"/>
      <c r="AL11" s="240"/>
    </row>
    <row r="12" spans="1:38" ht="22.5" customHeight="1">
      <c r="A12" s="8">
        <v>10</v>
      </c>
      <c r="B12" s="14"/>
      <c r="C12" s="256"/>
      <c r="D12" s="248"/>
      <c r="E12" s="248"/>
      <c r="F12" s="249"/>
      <c r="G12" s="153"/>
      <c r="H12" s="153"/>
      <c r="I12" s="153"/>
      <c r="J12" s="153"/>
      <c r="K12" s="153"/>
      <c r="L12" s="344"/>
      <c r="M12" s="248"/>
      <c r="N12" s="248"/>
      <c r="O12" s="248"/>
      <c r="P12" s="248"/>
      <c r="Q12" s="248"/>
      <c r="R12" s="248"/>
      <c r="S12" s="248"/>
      <c r="T12" s="248"/>
      <c r="U12" s="248"/>
      <c r="V12" s="249"/>
      <c r="W12" s="154"/>
      <c r="X12" s="155"/>
      <c r="Y12" s="155"/>
      <c r="Z12" s="155"/>
      <c r="AA12" s="156"/>
      <c r="AB12" s="156"/>
      <c r="AC12" s="156"/>
      <c r="AD12" s="156"/>
      <c r="AE12" s="156"/>
      <c r="AF12" s="343"/>
      <c r="AG12" s="249"/>
      <c r="AH12" s="343"/>
      <c r="AI12" s="249"/>
      <c r="AJ12" s="343"/>
      <c r="AK12" s="249"/>
      <c r="AL12" s="240"/>
    </row>
    <row r="13" spans="1:38" ht="22.5" customHeight="1">
      <c r="A13" s="8">
        <v>11</v>
      </c>
      <c r="B13" s="14"/>
      <c r="C13" s="256"/>
      <c r="D13" s="248"/>
      <c r="E13" s="248"/>
      <c r="F13" s="249"/>
      <c r="G13" s="153"/>
      <c r="H13" s="153"/>
      <c r="I13" s="153"/>
      <c r="J13" s="153"/>
      <c r="K13" s="153"/>
      <c r="L13" s="344"/>
      <c r="M13" s="248"/>
      <c r="N13" s="248"/>
      <c r="O13" s="248"/>
      <c r="P13" s="248"/>
      <c r="Q13" s="248"/>
      <c r="R13" s="248"/>
      <c r="S13" s="248"/>
      <c r="T13" s="248"/>
      <c r="U13" s="248"/>
      <c r="V13" s="249"/>
      <c r="W13" s="154"/>
      <c r="X13" s="155"/>
      <c r="Y13" s="155"/>
      <c r="Z13" s="155"/>
      <c r="AA13" s="156"/>
      <c r="AB13" s="156"/>
      <c r="AC13" s="156"/>
      <c r="AD13" s="156"/>
      <c r="AE13" s="156"/>
      <c r="AF13" s="343"/>
      <c r="AG13" s="249"/>
      <c r="AH13" s="343"/>
      <c r="AI13" s="249"/>
      <c r="AJ13" s="343"/>
      <c r="AK13" s="249"/>
      <c r="AL13" s="240"/>
    </row>
    <row r="14" spans="1:38" ht="22.5" customHeight="1">
      <c r="A14" s="8">
        <v>12</v>
      </c>
      <c r="B14" s="14"/>
      <c r="C14" s="256"/>
      <c r="D14" s="248"/>
      <c r="E14" s="248"/>
      <c r="F14" s="249"/>
      <c r="G14" s="153"/>
      <c r="H14" s="153"/>
      <c r="I14" s="153"/>
      <c r="J14" s="153"/>
      <c r="K14" s="153"/>
      <c r="L14" s="344"/>
      <c r="M14" s="248"/>
      <c r="N14" s="248"/>
      <c r="O14" s="248"/>
      <c r="P14" s="248"/>
      <c r="Q14" s="248"/>
      <c r="R14" s="248"/>
      <c r="S14" s="248"/>
      <c r="T14" s="248"/>
      <c r="U14" s="248"/>
      <c r="V14" s="249"/>
      <c r="W14" s="154"/>
      <c r="X14" s="155"/>
      <c r="Y14" s="155"/>
      <c r="Z14" s="155"/>
      <c r="AA14" s="156"/>
      <c r="AB14" s="156"/>
      <c r="AC14" s="156"/>
      <c r="AD14" s="156"/>
      <c r="AE14" s="156"/>
      <c r="AF14" s="343"/>
      <c r="AG14" s="249"/>
      <c r="AH14" s="343"/>
      <c r="AI14" s="249"/>
      <c r="AJ14" s="343"/>
      <c r="AK14" s="249"/>
      <c r="AL14" s="240"/>
    </row>
    <row r="15" spans="1:38" ht="22.5" customHeight="1">
      <c r="A15" s="8">
        <v>13</v>
      </c>
      <c r="B15" s="14"/>
      <c r="C15" s="256"/>
      <c r="D15" s="248"/>
      <c r="E15" s="248"/>
      <c r="F15" s="249"/>
      <c r="G15" s="153"/>
      <c r="H15" s="153"/>
      <c r="I15" s="153"/>
      <c r="J15" s="153"/>
      <c r="K15" s="153"/>
      <c r="L15" s="344"/>
      <c r="M15" s="248"/>
      <c r="N15" s="248"/>
      <c r="O15" s="248"/>
      <c r="P15" s="248"/>
      <c r="Q15" s="248"/>
      <c r="R15" s="248"/>
      <c r="S15" s="248"/>
      <c r="T15" s="248"/>
      <c r="U15" s="248"/>
      <c r="V15" s="249"/>
      <c r="W15" s="154"/>
      <c r="X15" s="155"/>
      <c r="Y15" s="155"/>
      <c r="Z15" s="155"/>
      <c r="AA15" s="156"/>
      <c r="AB15" s="156"/>
      <c r="AC15" s="156"/>
      <c r="AD15" s="156"/>
      <c r="AE15" s="156"/>
      <c r="AF15" s="343"/>
      <c r="AG15" s="249"/>
      <c r="AH15" s="343"/>
      <c r="AI15" s="249"/>
      <c r="AJ15" s="343"/>
      <c r="AK15" s="249"/>
      <c r="AL15" s="240"/>
    </row>
    <row r="16" spans="1:38" ht="22.5" customHeight="1">
      <c r="A16" s="8">
        <v>14</v>
      </c>
      <c r="B16" s="14"/>
      <c r="C16" s="256"/>
      <c r="D16" s="248"/>
      <c r="E16" s="248"/>
      <c r="F16" s="249"/>
      <c r="G16" s="153"/>
      <c r="H16" s="153"/>
      <c r="I16" s="153"/>
      <c r="J16" s="153"/>
      <c r="K16" s="153"/>
      <c r="L16" s="344"/>
      <c r="M16" s="248"/>
      <c r="N16" s="248"/>
      <c r="O16" s="248"/>
      <c r="P16" s="248"/>
      <c r="Q16" s="248"/>
      <c r="R16" s="248"/>
      <c r="S16" s="248"/>
      <c r="T16" s="248"/>
      <c r="U16" s="248"/>
      <c r="V16" s="249"/>
      <c r="W16" s="154"/>
      <c r="X16" s="155"/>
      <c r="Y16" s="155"/>
      <c r="Z16" s="155"/>
      <c r="AA16" s="156"/>
      <c r="AB16" s="156"/>
      <c r="AC16" s="156"/>
      <c r="AD16" s="156"/>
      <c r="AE16" s="156"/>
      <c r="AF16" s="343"/>
      <c r="AG16" s="249"/>
      <c r="AH16" s="343"/>
      <c r="AI16" s="249"/>
      <c r="AJ16" s="343"/>
      <c r="AK16" s="249"/>
      <c r="AL16" s="240"/>
    </row>
    <row r="17" spans="1:38" ht="22.5" customHeight="1">
      <c r="A17" s="8">
        <v>15</v>
      </c>
      <c r="B17" s="14"/>
      <c r="C17" s="256"/>
      <c r="D17" s="248"/>
      <c r="E17" s="248"/>
      <c r="F17" s="249"/>
      <c r="G17" s="153"/>
      <c r="H17" s="153"/>
      <c r="I17" s="153"/>
      <c r="J17" s="153"/>
      <c r="K17" s="153"/>
      <c r="L17" s="344"/>
      <c r="M17" s="248"/>
      <c r="N17" s="248"/>
      <c r="O17" s="248"/>
      <c r="P17" s="248"/>
      <c r="Q17" s="248"/>
      <c r="R17" s="248"/>
      <c r="S17" s="248"/>
      <c r="T17" s="248"/>
      <c r="U17" s="248"/>
      <c r="V17" s="249"/>
      <c r="W17" s="154"/>
      <c r="X17" s="155"/>
      <c r="Y17" s="155"/>
      <c r="Z17" s="155"/>
      <c r="AA17" s="156"/>
      <c r="AB17" s="156"/>
      <c r="AC17" s="156"/>
      <c r="AD17" s="156"/>
      <c r="AE17" s="156"/>
      <c r="AF17" s="343"/>
      <c r="AG17" s="249"/>
      <c r="AH17" s="343"/>
      <c r="AI17" s="249"/>
      <c r="AJ17" s="343"/>
      <c r="AK17" s="249"/>
      <c r="AL17" s="240"/>
    </row>
    <row r="18" spans="1:38" ht="22.5" customHeight="1">
      <c r="A18" s="8">
        <v>16</v>
      </c>
      <c r="B18" s="14"/>
      <c r="C18" s="256"/>
      <c r="D18" s="248"/>
      <c r="E18" s="248"/>
      <c r="F18" s="249"/>
      <c r="G18" s="153">
        <f t="shared" ref="G18:H18" si="0">IFERROR(#REF!,0)</f>
        <v>0</v>
      </c>
      <c r="H18" s="153">
        <f t="shared" si="0"/>
        <v>0</v>
      </c>
      <c r="I18" s="153">
        <f t="shared" ref="I18:K18" si="1">IFERROR(#REF!&amp;"+",0)</f>
        <v>0</v>
      </c>
      <c r="J18" s="153">
        <f t="shared" si="1"/>
        <v>0</v>
      </c>
      <c r="K18" s="153">
        <f t="shared" si="1"/>
        <v>0</v>
      </c>
      <c r="L18" s="344" t="str">
        <f>IFERROR((IF(#REF!="YES",(VLOOKUP(#REF!&amp;C18,Teams!D:M,7,0)&amp;#REF!),#REF!)),"")</f>
        <v/>
      </c>
      <c r="M18" s="248"/>
      <c r="N18" s="248"/>
      <c r="O18" s="248"/>
      <c r="P18" s="248"/>
      <c r="Q18" s="248"/>
      <c r="R18" s="248"/>
      <c r="S18" s="248"/>
      <c r="T18" s="248"/>
      <c r="U18" s="248"/>
      <c r="V18" s="249"/>
      <c r="W18" s="154"/>
      <c r="X18" s="155"/>
      <c r="Y18" s="155"/>
      <c r="Z18" s="155"/>
      <c r="AA18" s="156"/>
      <c r="AB18" s="156"/>
      <c r="AC18" s="156"/>
      <c r="AD18" s="156"/>
      <c r="AE18" s="156"/>
      <c r="AF18" s="343"/>
      <c r="AG18" s="249"/>
      <c r="AH18" s="343"/>
      <c r="AI18" s="249"/>
      <c r="AJ18" s="343"/>
      <c r="AK18" s="249"/>
      <c r="AL18" s="240"/>
    </row>
    <row r="19" spans="1:38" ht="22.5" customHeight="1">
      <c r="A19" s="8">
        <v>17</v>
      </c>
      <c r="B19" s="14"/>
      <c r="C19" s="256"/>
      <c r="D19" s="248"/>
      <c r="E19" s="248"/>
      <c r="F19" s="249"/>
      <c r="G19" s="153">
        <f t="shared" ref="G19:H19" si="2">IFERROR(#REF!,0)</f>
        <v>0</v>
      </c>
      <c r="H19" s="153">
        <f t="shared" si="2"/>
        <v>0</v>
      </c>
      <c r="I19" s="153">
        <f t="shared" ref="I19:K19" si="3">IFERROR(#REF!&amp;"+",0)</f>
        <v>0</v>
      </c>
      <c r="J19" s="153">
        <f t="shared" si="3"/>
        <v>0</v>
      </c>
      <c r="K19" s="153">
        <f t="shared" si="3"/>
        <v>0</v>
      </c>
      <c r="L19" s="344" t="str">
        <f>IFERROR((IF(#REF!="YES",(VLOOKUP(#REF!&amp;C19,Teams!D:M,7,0)&amp;#REF!),#REF!)),"")</f>
        <v/>
      </c>
      <c r="M19" s="248"/>
      <c r="N19" s="248"/>
      <c r="O19" s="248"/>
      <c r="P19" s="248"/>
      <c r="Q19" s="248"/>
      <c r="R19" s="248"/>
      <c r="S19" s="248"/>
      <c r="T19" s="248"/>
      <c r="U19" s="248"/>
      <c r="V19" s="249"/>
      <c r="W19" s="154"/>
      <c r="X19" s="155"/>
      <c r="Y19" s="155"/>
      <c r="Z19" s="155"/>
      <c r="AA19" s="156"/>
      <c r="AB19" s="156"/>
      <c r="AC19" s="156"/>
      <c r="AD19" s="156"/>
      <c r="AE19" s="156"/>
      <c r="AF19" s="343"/>
      <c r="AG19" s="249"/>
      <c r="AH19" s="343"/>
      <c r="AI19" s="249"/>
      <c r="AJ19" s="343"/>
      <c r="AK19" s="249"/>
      <c r="AL19" s="240"/>
    </row>
    <row r="20" spans="1:38" ht="22.5" customHeight="1">
      <c r="A20" s="8">
        <v>18</v>
      </c>
      <c r="B20" s="14"/>
      <c r="C20" s="256"/>
      <c r="D20" s="248"/>
      <c r="E20" s="248"/>
      <c r="F20" s="249"/>
      <c r="G20" s="153">
        <f t="shared" ref="G20:H20" si="4">IFERROR(#REF!,0)</f>
        <v>0</v>
      </c>
      <c r="H20" s="153">
        <f t="shared" si="4"/>
        <v>0</v>
      </c>
      <c r="I20" s="153">
        <f t="shared" ref="I20:K20" si="5">IFERROR(#REF!&amp;"+",0)</f>
        <v>0</v>
      </c>
      <c r="J20" s="153">
        <f t="shared" si="5"/>
        <v>0</v>
      </c>
      <c r="K20" s="153">
        <f t="shared" si="5"/>
        <v>0</v>
      </c>
      <c r="L20" s="344" t="str">
        <f>IFERROR((IF(#REF!="YES",(VLOOKUP(#REF!&amp;C20,Teams!D:M,7,0)&amp;#REF!),#REF!)),"")</f>
        <v/>
      </c>
      <c r="M20" s="248"/>
      <c r="N20" s="248"/>
      <c r="O20" s="248"/>
      <c r="P20" s="248"/>
      <c r="Q20" s="248"/>
      <c r="R20" s="248"/>
      <c r="S20" s="248"/>
      <c r="T20" s="248"/>
      <c r="U20" s="248"/>
      <c r="V20" s="249"/>
      <c r="W20" s="154"/>
      <c r="X20" s="155"/>
      <c r="Y20" s="155"/>
      <c r="Z20" s="155"/>
      <c r="AA20" s="156"/>
      <c r="AB20" s="156"/>
      <c r="AC20" s="156"/>
      <c r="AD20" s="156"/>
      <c r="AE20" s="156"/>
      <c r="AF20" s="343"/>
      <c r="AG20" s="249"/>
      <c r="AH20" s="343"/>
      <c r="AI20" s="249"/>
      <c r="AJ20" s="343"/>
      <c r="AK20" s="249"/>
      <c r="AL20" s="240"/>
    </row>
    <row r="21" spans="1:38" ht="22.5" customHeight="1">
      <c r="A21" s="8">
        <v>19</v>
      </c>
      <c r="B21" s="14"/>
      <c r="C21" s="256"/>
      <c r="D21" s="248"/>
      <c r="E21" s="248"/>
      <c r="F21" s="249"/>
      <c r="G21" s="153">
        <f t="shared" ref="G21:H21" si="6">IFERROR(#REF!,0)</f>
        <v>0</v>
      </c>
      <c r="H21" s="153">
        <f t="shared" si="6"/>
        <v>0</v>
      </c>
      <c r="I21" s="153">
        <f t="shared" ref="I21:K21" si="7">IFERROR(#REF!&amp;"+",0)</f>
        <v>0</v>
      </c>
      <c r="J21" s="153">
        <f t="shared" si="7"/>
        <v>0</v>
      </c>
      <c r="K21" s="153">
        <f t="shared" si="7"/>
        <v>0</v>
      </c>
      <c r="L21" s="344" t="str">
        <f>IFERROR((IF(#REF!="YES",(VLOOKUP(#REF!&amp;C21,Teams!D:M,7,0)&amp;#REF!),#REF!)),"")</f>
        <v/>
      </c>
      <c r="M21" s="248"/>
      <c r="N21" s="248"/>
      <c r="O21" s="248"/>
      <c r="P21" s="248"/>
      <c r="Q21" s="248"/>
      <c r="R21" s="248"/>
      <c r="S21" s="248"/>
      <c r="T21" s="248"/>
      <c r="U21" s="248"/>
      <c r="V21" s="249"/>
      <c r="W21" s="154"/>
      <c r="X21" s="155"/>
      <c r="Y21" s="155"/>
      <c r="Z21" s="155"/>
      <c r="AA21" s="156"/>
      <c r="AB21" s="156"/>
      <c r="AC21" s="156"/>
      <c r="AD21" s="156"/>
      <c r="AE21" s="156"/>
      <c r="AF21" s="343"/>
      <c r="AG21" s="249"/>
      <c r="AH21" s="343"/>
      <c r="AI21" s="249"/>
      <c r="AJ21" s="343"/>
      <c r="AK21" s="249"/>
      <c r="AL21" s="240"/>
    </row>
    <row r="22" spans="1:38" ht="22.5" customHeight="1">
      <c r="A22" s="8">
        <v>20</v>
      </c>
      <c r="B22" s="14"/>
      <c r="C22" s="256"/>
      <c r="D22" s="248"/>
      <c r="E22" s="248"/>
      <c r="F22" s="249"/>
      <c r="G22" s="153">
        <f t="shared" ref="G22:H22" si="8">IFERROR(#REF!,0)</f>
        <v>0</v>
      </c>
      <c r="H22" s="153">
        <f t="shared" si="8"/>
        <v>0</v>
      </c>
      <c r="I22" s="153">
        <f t="shared" ref="I22:K22" si="9">IFERROR(#REF!&amp;"+",0)</f>
        <v>0</v>
      </c>
      <c r="J22" s="153">
        <f t="shared" si="9"/>
        <v>0</v>
      </c>
      <c r="K22" s="153">
        <f t="shared" si="9"/>
        <v>0</v>
      </c>
      <c r="L22" s="344" t="str">
        <f>IFERROR((IF(#REF!="YES",(VLOOKUP(#REF!&amp;C22,Teams!D:M,7,0)&amp;#REF!),#REF!)),"")</f>
        <v/>
      </c>
      <c r="M22" s="248"/>
      <c r="N22" s="248"/>
      <c r="O22" s="248"/>
      <c r="P22" s="248"/>
      <c r="Q22" s="248"/>
      <c r="R22" s="248"/>
      <c r="S22" s="248"/>
      <c r="T22" s="248"/>
      <c r="U22" s="248"/>
      <c r="V22" s="249"/>
      <c r="W22" s="154"/>
      <c r="X22" s="155"/>
      <c r="Y22" s="155"/>
      <c r="Z22" s="155"/>
      <c r="AA22" s="156"/>
      <c r="AB22" s="156"/>
      <c r="AC22" s="156"/>
      <c r="AD22" s="156"/>
      <c r="AE22" s="156"/>
      <c r="AF22" s="343"/>
      <c r="AG22" s="249"/>
      <c r="AH22" s="343"/>
      <c r="AI22" s="249"/>
      <c r="AJ22" s="343"/>
      <c r="AK22" s="249"/>
      <c r="AL22" s="240"/>
    </row>
    <row r="23" spans="1:38" ht="22.5" customHeight="1">
      <c r="A23" s="8">
        <v>21</v>
      </c>
      <c r="B23" s="14"/>
      <c r="C23" s="256"/>
      <c r="D23" s="248"/>
      <c r="E23" s="248"/>
      <c r="F23" s="249"/>
      <c r="G23" s="153">
        <f t="shared" ref="G23:H23" si="10">IFERROR(#REF!,0)</f>
        <v>0</v>
      </c>
      <c r="H23" s="153">
        <f t="shared" si="10"/>
        <v>0</v>
      </c>
      <c r="I23" s="153">
        <f t="shared" ref="I23:K23" si="11">IFERROR(#REF!&amp;"+",0)</f>
        <v>0</v>
      </c>
      <c r="J23" s="153">
        <f t="shared" si="11"/>
        <v>0</v>
      </c>
      <c r="K23" s="153">
        <f t="shared" si="11"/>
        <v>0</v>
      </c>
      <c r="L23" s="344" t="str">
        <f>IFERROR((IF(#REF!="YES",(VLOOKUP(#REF!&amp;C23,Teams!D:M,7,0)&amp;#REF!),#REF!)),"")</f>
        <v/>
      </c>
      <c r="M23" s="248"/>
      <c r="N23" s="248"/>
      <c r="O23" s="248"/>
      <c r="P23" s="248"/>
      <c r="Q23" s="248"/>
      <c r="R23" s="248"/>
      <c r="S23" s="248"/>
      <c r="T23" s="248"/>
      <c r="U23" s="248"/>
      <c r="V23" s="249"/>
      <c r="W23" s="154"/>
      <c r="X23" s="155"/>
      <c r="Y23" s="155"/>
      <c r="Z23" s="155"/>
      <c r="AA23" s="156"/>
      <c r="AB23" s="156"/>
      <c r="AC23" s="156"/>
      <c r="AD23" s="156"/>
      <c r="AE23" s="156"/>
      <c r="AF23" s="343"/>
      <c r="AG23" s="249"/>
      <c r="AH23" s="343"/>
      <c r="AI23" s="249"/>
      <c r="AJ23" s="343"/>
      <c r="AK23" s="249"/>
      <c r="AL23" s="240"/>
    </row>
    <row r="24" spans="1:38" ht="22.5" customHeight="1">
      <c r="A24" s="8">
        <v>22</v>
      </c>
      <c r="B24" s="14"/>
      <c r="C24" s="256"/>
      <c r="D24" s="248"/>
      <c r="E24" s="248"/>
      <c r="F24" s="249"/>
      <c r="G24" s="153">
        <f t="shared" ref="G24:H24" si="12">IFERROR(#REF!,0)</f>
        <v>0</v>
      </c>
      <c r="H24" s="153">
        <f t="shared" si="12"/>
        <v>0</v>
      </c>
      <c r="I24" s="153">
        <f t="shared" ref="I24:K24" si="13">IFERROR(#REF!&amp;"+",0)</f>
        <v>0</v>
      </c>
      <c r="J24" s="153">
        <f t="shared" si="13"/>
        <v>0</v>
      </c>
      <c r="K24" s="153">
        <f t="shared" si="13"/>
        <v>0</v>
      </c>
      <c r="L24" s="344" t="str">
        <f>IFERROR((IF(#REF!="YES",(VLOOKUP(#REF!&amp;C24,Teams!D:M,7,0)&amp;#REF!),#REF!)),"")</f>
        <v/>
      </c>
      <c r="M24" s="248"/>
      <c r="N24" s="248"/>
      <c r="O24" s="248"/>
      <c r="P24" s="248"/>
      <c r="Q24" s="248"/>
      <c r="R24" s="248"/>
      <c r="S24" s="248"/>
      <c r="T24" s="248"/>
      <c r="U24" s="248"/>
      <c r="V24" s="249"/>
      <c r="W24" s="154"/>
      <c r="X24" s="155"/>
      <c r="Y24" s="155"/>
      <c r="Z24" s="155"/>
      <c r="AA24" s="156"/>
      <c r="AB24" s="156"/>
      <c r="AC24" s="156"/>
      <c r="AD24" s="156"/>
      <c r="AE24" s="156"/>
      <c r="AF24" s="343"/>
      <c r="AG24" s="249"/>
      <c r="AH24" s="343"/>
      <c r="AI24" s="249"/>
      <c r="AJ24" s="343"/>
      <c r="AK24" s="249"/>
      <c r="AL24" s="240"/>
    </row>
    <row r="25" spans="1:38" ht="22.5" customHeight="1">
      <c r="A25" s="8">
        <v>23</v>
      </c>
      <c r="B25" s="14"/>
      <c r="C25" s="256"/>
      <c r="D25" s="248"/>
      <c r="E25" s="248"/>
      <c r="F25" s="249"/>
      <c r="G25" s="153">
        <f t="shared" ref="G25:H25" si="14">IFERROR(#REF!,0)</f>
        <v>0</v>
      </c>
      <c r="H25" s="153">
        <f t="shared" si="14"/>
        <v>0</v>
      </c>
      <c r="I25" s="153">
        <f t="shared" ref="I25:K25" si="15">IFERROR(#REF!&amp;"+",0)</f>
        <v>0</v>
      </c>
      <c r="J25" s="153">
        <f t="shared" si="15"/>
        <v>0</v>
      </c>
      <c r="K25" s="153">
        <f t="shared" si="15"/>
        <v>0</v>
      </c>
      <c r="L25" s="344" t="str">
        <f>IFERROR((IF(#REF!="YES",(VLOOKUP(#REF!&amp;C25,Teams!D:M,7,0)&amp;#REF!),#REF!)),"")</f>
        <v/>
      </c>
      <c r="M25" s="248"/>
      <c r="N25" s="248"/>
      <c r="O25" s="248"/>
      <c r="P25" s="248"/>
      <c r="Q25" s="248"/>
      <c r="R25" s="248"/>
      <c r="S25" s="248"/>
      <c r="T25" s="248"/>
      <c r="U25" s="248"/>
      <c r="V25" s="249"/>
      <c r="W25" s="154"/>
      <c r="X25" s="155"/>
      <c r="Y25" s="155"/>
      <c r="Z25" s="155"/>
      <c r="AA25" s="156"/>
      <c r="AB25" s="156"/>
      <c r="AC25" s="156"/>
      <c r="AD25" s="156"/>
      <c r="AE25" s="156"/>
      <c r="AF25" s="343"/>
      <c r="AG25" s="249"/>
      <c r="AH25" s="343"/>
      <c r="AI25" s="249"/>
      <c r="AJ25" s="343"/>
      <c r="AK25" s="249"/>
      <c r="AL25" s="240"/>
    </row>
    <row r="26" spans="1:38" ht="22.5" customHeight="1">
      <c r="A26" s="8">
        <v>24</v>
      </c>
      <c r="B26" s="14"/>
      <c r="C26" s="256"/>
      <c r="D26" s="248"/>
      <c r="E26" s="248"/>
      <c r="F26" s="249"/>
      <c r="G26" s="153">
        <f t="shared" ref="G26:H26" si="16">IFERROR(#REF!,0)</f>
        <v>0</v>
      </c>
      <c r="H26" s="153">
        <f t="shared" si="16"/>
        <v>0</v>
      </c>
      <c r="I26" s="153">
        <f t="shared" ref="I26:K26" si="17">IFERROR(#REF!&amp;"+",0)</f>
        <v>0</v>
      </c>
      <c r="J26" s="153">
        <f t="shared" si="17"/>
        <v>0</v>
      </c>
      <c r="K26" s="153">
        <f t="shared" si="17"/>
        <v>0</v>
      </c>
      <c r="L26" s="344" t="str">
        <f>IFERROR((IF(#REF!="YES",(VLOOKUP(#REF!&amp;C26,Teams!D:M,7,0)&amp;#REF!),#REF!)),"")</f>
        <v/>
      </c>
      <c r="M26" s="248"/>
      <c r="N26" s="248"/>
      <c r="O26" s="248"/>
      <c r="P26" s="248"/>
      <c r="Q26" s="248"/>
      <c r="R26" s="248"/>
      <c r="S26" s="248"/>
      <c r="T26" s="248"/>
      <c r="U26" s="248"/>
      <c r="V26" s="249"/>
      <c r="W26" s="154"/>
      <c r="X26" s="155"/>
      <c r="Y26" s="155"/>
      <c r="Z26" s="155"/>
      <c r="AA26" s="156"/>
      <c r="AB26" s="156"/>
      <c r="AC26" s="156"/>
      <c r="AD26" s="156"/>
      <c r="AE26" s="156"/>
      <c r="AF26" s="343"/>
      <c r="AG26" s="249"/>
      <c r="AH26" s="343"/>
      <c r="AI26" s="249"/>
      <c r="AJ26" s="343"/>
      <c r="AK26" s="249"/>
      <c r="AL26" s="240"/>
    </row>
    <row r="27" spans="1:38" ht="22.5" customHeight="1">
      <c r="A27" s="8">
        <v>25</v>
      </c>
      <c r="B27" s="14"/>
      <c r="C27" s="256"/>
      <c r="D27" s="248"/>
      <c r="E27" s="248"/>
      <c r="F27" s="249"/>
      <c r="G27" s="153">
        <f t="shared" ref="G27:H27" si="18">IFERROR(#REF!,0)</f>
        <v>0</v>
      </c>
      <c r="H27" s="153">
        <f t="shared" si="18"/>
        <v>0</v>
      </c>
      <c r="I27" s="153">
        <f t="shared" ref="I27:K27" si="19">IFERROR(#REF!&amp;"+",0)</f>
        <v>0</v>
      </c>
      <c r="J27" s="153">
        <f t="shared" si="19"/>
        <v>0</v>
      </c>
      <c r="K27" s="153">
        <f t="shared" si="19"/>
        <v>0</v>
      </c>
      <c r="L27" s="344" t="str">
        <f>IFERROR((IF(#REF!="YES",(VLOOKUP(#REF!&amp;C27,Teams!D:M,7,0)&amp;#REF!),#REF!)),"")</f>
        <v/>
      </c>
      <c r="M27" s="248"/>
      <c r="N27" s="248"/>
      <c r="O27" s="248"/>
      <c r="P27" s="248"/>
      <c r="Q27" s="248"/>
      <c r="R27" s="248"/>
      <c r="S27" s="248"/>
      <c r="T27" s="248"/>
      <c r="U27" s="248"/>
      <c r="V27" s="249"/>
      <c r="W27" s="154"/>
      <c r="X27" s="155"/>
      <c r="Y27" s="155"/>
      <c r="Z27" s="155"/>
      <c r="AA27" s="156"/>
      <c r="AB27" s="156"/>
      <c r="AC27" s="156"/>
      <c r="AD27" s="156"/>
      <c r="AE27" s="156"/>
      <c r="AF27" s="343"/>
      <c r="AG27" s="249"/>
      <c r="AH27" s="343"/>
      <c r="AI27" s="249"/>
      <c r="AJ27" s="343"/>
      <c r="AK27" s="249"/>
      <c r="AL27" s="240"/>
    </row>
    <row r="28" spans="1:38" ht="22.5" customHeight="1">
      <c r="A28" s="8">
        <v>26</v>
      </c>
      <c r="B28" s="14"/>
      <c r="C28" s="256"/>
      <c r="D28" s="248"/>
      <c r="E28" s="248"/>
      <c r="F28" s="249"/>
      <c r="G28" s="153">
        <f t="shared" ref="G28:H28" si="20">IFERROR(#REF!,0)</f>
        <v>0</v>
      </c>
      <c r="H28" s="153">
        <f t="shared" si="20"/>
        <v>0</v>
      </c>
      <c r="I28" s="153">
        <f t="shared" ref="I28:K28" si="21">IFERROR(#REF!&amp;"+",0)</f>
        <v>0</v>
      </c>
      <c r="J28" s="153">
        <f t="shared" si="21"/>
        <v>0</v>
      </c>
      <c r="K28" s="153">
        <f t="shared" si="21"/>
        <v>0</v>
      </c>
      <c r="L28" s="344" t="str">
        <f>IFERROR((IF(#REF!="YES",(VLOOKUP(#REF!&amp;C28,Teams!D:M,7,0)&amp;#REF!),#REF!)),"")</f>
        <v/>
      </c>
      <c r="M28" s="248"/>
      <c r="N28" s="248"/>
      <c r="O28" s="248"/>
      <c r="P28" s="248"/>
      <c r="Q28" s="248"/>
      <c r="R28" s="248"/>
      <c r="S28" s="248"/>
      <c r="T28" s="248"/>
      <c r="U28" s="248"/>
      <c r="V28" s="249"/>
      <c r="W28" s="154"/>
      <c r="X28" s="155"/>
      <c r="Y28" s="155"/>
      <c r="Z28" s="155"/>
      <c r="AA28" s="156"/>
      <c r="AB28" s="156"/>
      <c r="AC28" s="156"/>
      <c r="AD28" s="156"/>
      <c r="AE28" s="156"/>
      <c r="AF28" s="343"/>
      <c r="AG28" s="249"/>
      <c r="AH28" s="343"/>
      <c r="AI28" s="249"/>
      <c r="AJ28" s="343"/>
      <c r="AK28" s="249"/>
      <c r="AL28" s="240"/>
    </row>
    <row r="29" spans="1:38" ht="22.5" customHeight="1">
      <c r="A29" s="8">
        <v>27</v>
      </c>
      <c r="B29" s="14"/>
      <c r="C29" s="256"/>
      <c r="D29" s="248"/>
      <c r="E29" s="248"/>
      <c r="F29" s="249"/>
      <c r="G29" s="153">
        <f t="shared" ref="G29:H29" si="22">IFERROR(#REF!,0)</f>
        <v>0</v>
      </c>
      <c r="H29" s="153">
        <f t="shared" si="22"/>
        <v>0</v>
      </c>
      <c r="I29" s="153">
        <f t="shared" ref="I29:K29" si="23">IFERROR(#REF!&amp;"+",0)</f>
        <v>0</v>
      </c>
      <c r="J29" s="153">
        <f t="shared" si="23"/>
        <v>0</v>
      </c>
      <c r="K29" s="153">
        <f t="shared" si="23"/>
        <v>0</v>
      </c>
      <c r="L29" s="344" t="str">
        <f>IFERROR((IF(#REF!="YES",(VLOOKUP(#REF!&amp;C29,Teams!D:M,7,0)&amp;#REF!),#REF!)),"")</f>
        <v/>
      </c>
      <c r="M29" s="248"/>
      <c r="N29" s="248"/>
      <c r="O29" s="248"/>
      <c r="P29" s="248"/>
      <c r="Q29" s="248"/>
      <c r="R29" s="248"/>
      <c r="S29" s="248"/>
      <c r="T29" s="248"/>
      <c r="U29" s="248"/>
      <c r="V29" s="249"/>
      <c r="W29" s="154"/>
      <c r="X29" s="155"/>
      <c r="Y29" s="155"/>
      <c r="Z29" s="155"/>
      <c r="AA29" s="156"/>
      <c r="AB29" s="156"/>
      <c r="AC29" s="156"/>
      <c r="AD29" s="156"/>
      <c r="AE29" s="156"/>
      <c r="AF29" s="343"/>
      <c r="AG29" s="249"/>
      <c r="AH29" s="343"/>
      <c r="AI29" s="249"/>
      <c r="AJ29" s="343"/>
      <c r="AK29" s="249"/>
      <c r="AL29" s="240"/>
    </row>
    <row r="30" spans="1:38" ht="22.5" customHeight="1">
      <c r="A30" s="8">
        <v>28</v>
      </c>
      <c r="B30" s="14"/>
      <c r="C30" s="256"/>
      <c r="D30" s="248"/>
      <c r="E30" s="248"/>
      <c r="F30" s="249"/>
      <c r="G30" s="153">
        <f t="shared" ref="G30:H30" si="24">IFERROR(#REF!,0)</f>
        <v>0</v>
      </c>
      <c r="H30" s="153">
        <f t="shared" si="24"/>
        <v>0</v>
      </c>
      <c r="I30" s="153">
        <f t="shared" ref="I30:K30" si="25">IFERROR(#REF!&amp;"+",0)</f>
        <v>0</v>
      </c>
      <c r="J30" s="153">
        <f t="shared" si="25"/>
        <v>0</v>
      </c>
      <c r="K30" s="153">
        <f t="shared" si="25"/>
        <v>0</v>
      </c>
      <c r="L30" s="344" t="str">
        <f>IFERROR((IF(#REF!="YES",(VLOOKUP(#REF!&amp;C30,Teams!D:M,7,0)&amp;#REF!),#REF!)),"")</f>
        <v/>
      </c>
      <c r="M30" s="248"/>
      <c r="N30" s="248"/>
      <c r="O30" s="248"/>
      <c r="P30" s="248"/>
      <c r="Q30" s="248"/>
      <c r="R30" s="248"/>
      <c r="S30" s="248"/>
      <c r="T30" s="248"/>
      <c r="U30" s="248"/>
      <c r="V30" s="249"/>
      <c r="W30" s="154"/>
      <c r="X30" s="155"/>
      <c r="Y30" s="155"/>
      <c r="Z30" s="155"/>
      <c r="AA30" s="156"/>
      <c r="AB30" s="156"/>
      <c r="AC30" s="156"/>
      <c r="AD30" s="156"/>
      <c r="AE30" s="156"/>
      <c r="AF30" s="343"/>
      <c r="AG30" s="249"/>
      <c r="AH30" s="343"/>
      <c r="AI30" s="249"/>
      <c r="AJ30" s="343"/>
      <c r="AK30" s="249"/>
      <c r="AL30" s="240"/>
    </row>
    <row r="31" spans="1:38" ht="22.5" customHeight="1">
      <c r="A31" s="8">
        <v>29</v>
      </c>
      <c r="B31" s="14"/>
      <c r="C31" s="256"/>
      <c r="D31" s="248"/>
      <c r="E31" s="248"/>
      <c r="F31" s="249"/>
      <c r="G31" s="153">
        <f t="shared" ref="G31:H31" si="26">IFERROR(#REF!,0)</f>
        <v>0</v>
      </c>
      <c r="H31" s="153">
        <f t="shared" si="26"/>
        <v>0</v>
      </c>
      <c r="I31" s="153">
        <f t="shared" ref="I31:K31" si="27">IFERROR(#REF!&amp;"+",0)</f>
        <v>0</v>
      </c>
      <c r="J31" s="153">
        <f t="shared" si="27"/>
        <v>0</v>
      </c>
      <c r="K31" s="153">
        <f t="shared" si="27"/>
        <v>0</v>
      </c>
      <c r="L31" s="344" t="str">
        <f>IFERROR((IF(#REF!="YES",(VLOOKUP(#REF!&amp;C31,Teams!D:M,7,0)&amp;#REF!),#REF!)),"")</f>
        <v/>
      </c>
      <c r="M31" s="248"/>
      <c r="N31" s="248"/>
      <c r="O31" s="248"/>
      <c r="P31" s="248"/>
      <c r="Q31" s="248"/>
      <c r="R31" s="248"/>
      <c r="S31" s="248"/>
      <c r="T31" s="248"/>
      <c r="U31" s="248"/>
      <c r="V31" s="249"/>
      <c r="W31" s="154"/>
      <c r="X31" s="155"/>
      <c r="Y31" s="155"/>
      <c r="Z31" s="155"/>
      <c r="AA31" s="156"/>
      <c r="AB31" s="156"/>
      <c r="AC31" s="156"/>
      <c r="AD31" s="156"/>
      <c r="AE31" s="156"/>
      <c r="AF31" s="343"/>
      <c r="AG31" s="249"/>
      <c r="AH31" s="343"/>
      <c r="AI31" s="249"/>
      <c r="AJ31" s="343"/>
      <c r="AK31" s="249"/>
      <c r="AL31" s="240"/>
    </row>
    <row r="32" spans="1:38" ht="22.5" customHeight="1">
      <c r="A32" s="8">
        <v>30</v>
      </c>
      <c r="B32" s="14"/>
      <c r="C32" s="256"/>
      <c r="D32" s="248"/>
      <c r="E32" s="248"/>
      <c r="F32" s="249"/>
      <c r="G32" s="153">
        <f t="shared" ref="G32:H32" si="28">IFERROR(#REF!,0)</f>
        <v>0</v>
      </c>
      <c r="H32" s="153">
        <f t="shared" si="28"/>
        <v>0</v>
      </c>
      <c r="I32" s="153">
        <f t="shared" ref="I32:K32" si="29">IFERROR(#REF!&amp;"+",0)</f>
        <v>0</v>
      </c>
      <c r="J32" s="153">
        <f t="shared" si="29"/>
        <v>0</v>
      </c>
      <c r="K32" s="153">
        <f t="shared" si="29"/>
        <v>0</v>
      </c>
      <c r="L32" s="344" t="str">
        <f>IFERROR((IF(#REF!="YES",(VLOOKUP(#REF!&amp;C32,Teams!D:M,7,0)&amp;#REF!),#REF!)),"")</f>
        <v/>
      </c>
      <c r="M32" s="248"/>
      <c r="N32" s="248"/>
      <c r="O32" s="248"/>
      <c r="P32" s="248"/>
      <c r="Q32" s="248"/>
      <c r="R32" s="248"/>
      <c r="S32" s="248"/>
      <c r="T32" s="248"/>
      <c r="U32" s="248"/>
      <c r="V32" s="249"/>
      <c r="W32" s="154"/>
      <c r="X32" s="155"/>
      <c r="Y32" s="155"/>
      <c r="Z32" s="155"/>
      <c r="AA32" s="156"/>
      <c r="AB32" s="156"/>
      <c r="AC32" s="156"/>
      <c r="AD32" s="156"/>
      <c r="AE32" s="156"/>
      <c r="AF32" s="343"/>
      <c r="AG32" s="249"/>
      <c r="AH32" s="343"/>
      <c r="AI32" s="249"/>
      <c r="AJ32" s="343"/>
      <c r="AK32" s="249"/>
      <c r="AL32" s="241"/>
    </row>
    <row r="33" spans="1:38" ht="15" customHeight="1">
      <c r="A33" s="347"/>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4"/>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row>
    <row r="235" spans="1:3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row>
    <row r="238" spans="1: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row>
    <row r="244" spans="1:3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row>
    <row r="247" spans="1:3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row>
    <row r="250" spans="1:3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row>
    <row r="253" spans="1:3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row>
    <row r="256" spans="1:3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row>
    <row r="259" spans="1:3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row>
    <row r="262" spans="1:3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row>
    <row r="265" spans="1:3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row>
    <row r="266" spans="1:3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row>
    <row r="268" spans="1:3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row>
    <row r="269" spans="1:3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row>
    <row r="271" spans="1:3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row>
    <row r="272" spans="1:3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row>
    <row r="274" spans="1:3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row>
    <row r="275" spans="1:3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row>
    <row r="277" spans="1:3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row>
    <row r="280" spans="1:3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row>
    <row r="281" spans="1:3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row>
    <row r="283" spans="1:3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row>
    <row r="284" spans="1:3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row>
    <row r="286" spans="1:3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row>
    <row r="287" spans="1:3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row>
    <row r="290" spans="1:3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row>
    <row r="296" spans="1:3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row>
    <row r="298" spans="1:3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row>
    <row r="299" spans="1:3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row>
    <row r="301" spans="1:3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row>
    <row r="302" spans="1:3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row>
    <row r="304" spans="1:3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row>
    <row r="305" spans="1:3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row>
    <row r="306" spans="1:3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row>
    <row r="307" spans="1:3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row>
    <row r="308" spans="1:3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row>
    <row r="309" spans="1:3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row>
    <row r="310" spans="1:3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row>
    <row r="311" spans="1:3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row>
    <row r="312" spans="1:3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row>
    <row r="313" spans="1:3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row>
    <row r="314" spans="1:3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row>
    <row r="315" spans="1:3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row>
    <row r="316" spans="1:3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row>
    <row r="317" spans="1:3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row>
    <row r="318" spans="1:3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row>
    <row r="319" spans="1:3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row>
    <row r="320" spans="1:3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row>
    <row r="321" spans="1:3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row>
    <row r="322" spans="1:3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row>
    <row r="323" spans="1:3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row>
    <row r="385" spans="1:3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row>
    <row r="388" spans="1:3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row>
    <row r="391" spans="1:3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row>
    <row r="394" spans="1:3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row>
    <row r="397" spans="1:3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row>
    <row r="400" spans="1:3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row>
    <row r="403" spans="1:3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row>
    <row r="406" spans="1:3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row>
    <row r="409" spans="1:3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row>
    <row r="410" spans="1:3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row>
    <row r="412" spans="1:3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row>
    <row r="415" spans="1:3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3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3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3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3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3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row>
    <row r="452" spans="1:3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row>
    <row r="454" spans="1:3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row>
    <row r="457" spans="1:3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row>
    <row r="458" spans="1:3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row>
    <row r="460" spans="1:3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row>
    <row r="461" spans="1:3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row>
    <row r="463" spans="1:3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row>
    <row r="464" spans="1:3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row>
    <row r="466" spans="1:3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row>
    <row r="467" spans="1:3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row>
    <row r="469" spans="1:3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row>
    <row r="470" spans="1:3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row>
    <row r="472" spans="1:3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row>
    <row r="473" spans="1:3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row>
    <row r="475" spans="1:3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row>
    <row r="476" spans="1:3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row>
    <row r="478" spans="1:3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row>
    <row r="481" spans="1:3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row>
    <row r="484" spans="1:3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row>
    <row r="487" spans="1:3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row>
    <row r="490" spans="1:3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row>
    <row r="493" spans="1:3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row>
    <row r="496" spans="1:3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row>
    <row r="499" spans="1:3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row>
    <row r="502" spans="1:3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row>
    <row r="505" spans="1:3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row>
    <row r="508" spans="1:3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row>
    <row r="511" spans="1:3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row>
    <row r="512" spans="1:3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row>
    <row r="513" spans="1:3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row>
    <row r="514" spans="1:3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row>
    <row r="515" spans="1:3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row>
    <row r="516" spans="1:3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row>
    <row r="517" spans="1:3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row>
    <row r="518" spans="1:3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row>
    <row r="519" spans="1:3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row>
    <row r="520" spans="1:3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row>
    <row r="521" spans="1:3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row>
    <row r="522" spans="1:3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row>
    <row r="523" spans="1:3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row>
    <row r="524" spans="1:3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row>
    <row r="525" spans="1:3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row>
    <row r="526" spans="1:3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row>
    <row r="527" spans="1:3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row>
    <row r="528" spans="1:3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row>
    <row r="529" spans="1:3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row>
    <row r="530" spans="1:3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row>
    <row r="531" spans="1:3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3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3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row>
    <row r="534" spans="1:3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row>
    <row r="535" spans="1:3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row>
    <row r="536" spans="1:3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row>
    <row r="537" spans="1:3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row>
    <row r="538" spans="1: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row>
    <row r="539" spans="1:3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row>
    <row r="540" spans="1:3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row>
    <row r="541" spans="1:3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row>
    <row r="542" spans="1:3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row>
    <row r="543" spans="1:3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row>
    <row r="544" spans="1:3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row>
    <row r="545" spans="1:3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row>
    <row r="546" spans="1:3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row>
    <row r="547" spans="1:3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row>
    <row r="548" spans="1:3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3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3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3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3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3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3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3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3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3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3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3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3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row>
    <row r="576" spans="1:3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row>
    <row r="577" spans="1:3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3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3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3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row>
    <row r="612" spans="1:3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row>
    <row r="613" spans="1:3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row>
    <row r="614" spans="1:3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row>
    <row r="615" spans="1:3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row>
    <row r="616" spans="1:3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row>
    <row r="617" spans="1:3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row>
    <row r="618" spans="1:3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row>
    <row r="619" spans="1:3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row>
    <row r="620" spans="1:3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row>
    <row r="621" spans="1:3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row>
    <row r="622" spans="1:3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row>
    <row r="623" spans="1:3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row>
    <row r="624" spans="1:3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row>
    <row r="625" spans="1:3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row>
    <row r="626" spans="1:3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row>
    <row r="627" spans="1:3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row>
    <row r="628" spans="1:3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row>
    <row r="629" spans="1:3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row>
    <row r="630" spans="1:3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row>
    <row r="631" spans="1:3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row>
    <row r="632" spans="1:3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row>
    <row r="633" spans="1:3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row>
    <row r="634" spans="1:3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row>
    <row r="635" spans="1:3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row>
    <row r="636" spans="1:3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row>
    <row r="637" spans="1:3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row>
    <row r="638" spans="1: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row>
    <row r="639" spans="1:3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row>
    <row r="640" spans="1:3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row>
    <row r="641" spans="1:3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row>
    <row r="642" spans="1:3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row>
    <row r="643" spans="1:3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row>
    <row r="644" spans="1:3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row>
    <row r="645" spans="1:3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row>
    <row r="646" spans="1:3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row>
    <row r="647" spans="1:3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row>
    <row r="648" spans="1:3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row>
    <row r="649" spans="1:3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row>
    <row r="650" spans="1:3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row>
    <row r="651" spans="1:3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row>
    <row r="652" spans="1:3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row>
    <row r="653" spans="1:3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row>
    <row r="654" spans="1:3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row>
    <row r="655" spans="1:3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row>
    <row r="656" spans="1:3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row>
    <row r="657" spans="1:3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row>
    <row r="658" spans="1:3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row>
    <row r="659" spans="1:3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row>
    <row r="660" spans="1:3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row>
    <row r="661" spans="1:3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row>
    <row r="662" spans="1:3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row>
    <row r="663" spans="1:3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row>
    <row r="664" spans="1:3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row>
    <row r="665" spans="1:3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row>
    <row r="666" spans="1:3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row>
    <row r="667" spans="1:3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row>
    <row r="668" spans="1:3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row>
    <row r="669" spans="1:3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row>
    <row r="670" spans="1:3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row>
    <row r="671" spans="1:3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row>
    <row r="672" spans="1:3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row>
    <row r="673" spans="1:3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row>
    <row r="674" spans="1:3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row>
    <row r="675" spans="1:3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row>
    <row r="676" spans="1:3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row>
    <row r="677" spans="1:3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row>
    <row r="678" spans="1:3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row>
    <row r="679" spans="1:3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row>
    <row r="680" spans="1:3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row>
    <row r="681" spans="1:3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row>
    <row r="682" spans="1:3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row>
    <row r="683" spans="1:3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row>
    <row r="684" spans="1:3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row>
    <row r="685" spans="1:3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row>
    <row r="686" spans="1:3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row>
    <row r="687" spans="1:3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row>
    <row r="688" spans="1:3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row>
    <row r="689" spans="1:3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row>
    <row r="690" spans="1:3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row>
    <row r="691" spans="1:3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row>
    <row r="692" spans="1:3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row>
    <row r="693" spans="1:3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row>
    <row r="694" spans="1:3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row>
    <row r="695" spans="1:3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row>
    <row r="696" spans="1:3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row>
    <row r="697" spans="1:3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row>
    <row r="698" spans="1:3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row>
    <row r="699" spans="1:3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row>
    <row r="700" spans="1:3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row>
    <row r="701" spans="1:3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row>
    <row r="702" spans="1:3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row>
    <row r="703" spans="1:3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row>
    <row r="704" spans="1:3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row>
    <row r="705" spans="1:3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row>
    <row r="706" spans="1:3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row>
    <row r="707" spans="1:3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row>
    <row r="708" spans="1:3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row>
    <row r="709" spans="1:3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row>
    <row r="710" spans="1:3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row>
    <row r="711" spans="1:3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row>
    <row r="712" spans="1:3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row>
    <row r="713" spans="1:3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row>
    <row r="714" spans="1:3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row>
    <row r="715" spans="1:3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row>
    <row r="716" spans="1:3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row>
    <row r="717" spans="1:3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row>
    <row r="718" spans="1:3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row>
    <row r="719" spans="1:3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row>
    <row r="720" spans="1:3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row>
    <row r="721" spans="1:3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row>
    <row r="722" spans="1:3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row>
    <row r="723" spans="1:3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row>
    <row r="724" spans="1:3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row>
    <row r="725" spans="1:3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row>
    <row r="726" spans="1:3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row>
    <row r="727" spans="1:3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row>
    <row r="728" spans="1:3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row>
    <row r="729" spans="1:3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row>
    <row r="730" spans="1:3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row>
    <row r="731" spans="1:3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row>
    <row r="732" spans="1:3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row>
    <row r="733" spans="1:3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row>
    <row r="734" spans="1:3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row>
    <row r="735" spans="1:3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row>
    <row r="736" spans="1:3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row>
    <row r="737" spans="1:3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row>
    <row r="738" spans="1: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row>
    <row r="739" spans="1:3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row>
    <row r="740" spans="1:3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row>
    <row r="741" spans="1:3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row>
    <row r="742" spans="1:3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row>
    <row r="743" spans="1:3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row>
    <row r="744" spans="1:3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row>
    <row r="745" spans="1:3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row>
    <row r="746" spans="1:3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row>
    <row r="747" spans="1:3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row>
    <row r="748" spans="1:3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row>
    <row r="749" spans="1:3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row>
    <row r="750" spans="1:3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row>
    <row r="751" spans="1:3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row>
    <row r="752" spans="1:3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row>
    <row r="753" spans="1:3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row>
    <row r="754" spans="1:3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row>
    <row r="755" spans="1:3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row>
    <row r="756" spans="1:3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row>
    <row r="757" spans="1:3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row>
    <row r="758" spans="1:3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row>
    <row r="759" spans="1:3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row>
    <row r="760" spans="1:3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row>
    <row r="761" spans="1:3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row>
    <row r="762" spans="1:3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row>
    <row r="763" spans="1:3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row>
    <row r="764" spans="1:3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row>
    <row r="765" spans="1:3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row>
    <row r="766" spans="1:3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row>
    <row r="767" spans="1:3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row>
    <row r="768" spans="1:3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row>
    <row r="769" spans="1:3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row>
    <row r="770" spans="1:3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row>
    <row r="771" spans="1:3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row>
    <row r="772" spans="1:3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row>
    <row r="773" spans="1:3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row>
    <row r="774" spans="1:3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row>
    <row r="775" spans="1:3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row>
    <row r="776" spans="1:3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row>
    <row r="777" spans="1:3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row>
    <row r="778" spans="1:3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row>
    <row r="779" spans="1:3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row>
    <row r="780" spans="1:3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row>
    <row r="781" spans="1:3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row>
    <row r="782" spans="1:3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row>
    <row r="783" spans="1:3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row>
    <row r="784" spans="1:3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row>
    <row r="785" spans="1:3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row>
    <row r="786" spans="1:3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row>
    <row r="787" spans="1:3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row>
    <row r="788" spans="1:3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row>
    <row r="789" spans="1:3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row>
    <row r="790" spans="1:3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row>
    <row r="791" spans="1:3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row>
    <row r="792" spans="1:3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row>
    <row r="793" spans="1:3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row>
    <row r="794" spans="1:3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row>
    <row r="795" spans="1:3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row>
    <row r="796" spans="1:3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row>
    <row r="797" spans="1:3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row>
    <row r="798" spans="1:3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row>
    <row r="799" spans="1:3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row>
    <row r="800" spans="1:3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row>
    <row r="801" spans="1:3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row>
    <row r="802" spans="1:3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row>
    <row r="803" spans="1:3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row>
    <row r="804" spans="1:3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row>
    <row r="805" spans="1:3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row>
    <row r="806" spans="1:3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row>
    <row r="807" spans="1:3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row>
    <row r="808" spans="1:3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row>
    <row r="809" spans="1:3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row>
    <row r="810" spans="1:3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row>
    <row r="811" spans="1:3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row>
    <row r="812" spans="1:3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row>
    <row r="813" spans="1:3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row>
    <row r="814" spans="1:3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row>
    <row r="815" spans="1:3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row>
    <row r="816" spans="1:3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row>
    <row r="817" spans="1:3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row>
    <row r="818" spans="1:3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row>
    <row r="819" spans="1:3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row>
    <row r="820" spans="1:3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row>
    <row r="821" spans="1:3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row>
    <row r="822" spans="1:3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row>
    <row r="823" spans="1:3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row>
    <row r="824" spans="1:3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row>
    <row r="825" spans="1:3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row>
    <row r="826" spans="1:3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row>
    <row r="827" spans="1:3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row>
    <row r="828" spans="1:3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row>
    <row r="829" spans="1:3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row>
    <row r="830" spans="1:3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row>
    <row r="831" spans="1:3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row>
    <row r="832" spans="1:3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row>
    <row r="833" spans="1:3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row>
    <row r="834" spans="1:3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row>
    <row r="835" spans="1:3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row>
    <row r="836" spans="1:3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row>
    <row r="837" spans="1:3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row>
    <row r="838" spans="1: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row>
    <row r="839" spans="1:3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row>
    <row r="840" spans="1:3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row>
    <row r="841" spans="1:3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row>
    <row r="842" spans="1:3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row>
    <row r="843" spans="1:3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row>
    <row r="844" spans="1:3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row>
    <row r="845" spans="1:3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row>
    <row r="846" spans="1:3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row>
    <row r="847" spans="1:3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row>
    <row r="848" spans="1:3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row>
    <row r="849" spans="1:3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row>
    <row r="850" spans="1:3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row>
    <row r="851" spans="1:3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row>
    <row r="852" spans="1:3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row>
    <row r="853" spans="1:3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row>
    <row r="854" spans="1:3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row>
    <row r="855" spans="1:3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row>
    <row r="856" spans="1:3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row>
    <row r="857" spans="1:3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row>
    <row r="858" spans="1:3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row>
    <row r="859" spans="1:3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row>
    <row r="860" spans="1:3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row>
    <row r="861" spans="1:3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row>
    <row r="862" spans="1:3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row>
    <row r="863" spans="1:3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row>
    <row r="864" spans="1:3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row>
    <row r="865" spans="1:3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row>
    <row r="866" spans="1:3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row>
    <row r="867" spans="1:3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row>
    <row r="868" spans="1:3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row>
    <row r="869" spans="1:3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row>
    <row r="870" spans="1:3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row>
    <row r="871" spans="1:3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row>
    <row r="872" spans="1:3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row>
    <row r="873" spans="1:3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row>
    <row r="874" spans="1:3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row>
    <row r="875" spans="1:3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row>
    <row r="876" spans="1:3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row>
    <row r="877" spans="1:3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row>
    <row r="878" spans="1:3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row>
    <row r="879" spans="1:3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row>
    <row r="880" spans="1:3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row>
    <row r="881" spans="1:3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row>
    <row r="882" spans="1:3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row>
    <row r="883" spans="1:3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row>
    <row r="884" spans="1:3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row>
    <row r="885" spans="1:3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row>
    <row r="886" spans="1:3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row>
    <row r="887" spans="1:3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row>
    <row r="888" spans="1:3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row>
    <row r="889" spans="1:3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row>
    <row r="890" spans="1:3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row>
    <row r="891" spans="1:3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row>
    <row r="892" spans="1:3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row>
    <row r="893" spans="1:3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row>
    <row r="894" spans="1:3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row>
    <row r="895" spans="1:3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row>
    <row r="896" spans="1:3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row>
    <row r="897" spans="1:3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row>
    <row r="898" spans="1:3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row>
    <row r="899" spans="1:3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row>
    <row r="900" spans="1:3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row>
    <row r="901" spans="1:3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row>
    <row r="902" spans="1:3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row>
    <row r="903" spans="1:3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row>
    <row r="904" spans="1:3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row>
    <row r="905" spans="1:3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row>
    <row r="906" spans="1:3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row>
    <row r="907" spans="1:3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row>
    <row r="908" spans="1:3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row>
    <row r="909" spans="1:3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row>
    <row r="910" spans="1:3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row>
    <row r="911" spans="1:3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row>
    <row r="912" spans="1:3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row>
    <row r="913" spans="1:3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row>
    <row r="914" spans="1:3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row>
    <row r="915" spans="1:3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row>
    <row r="916" spans="1:3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row>
    <row r="917" spans="1:3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row>
    <row r="918" spans="1:3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row>
    <row r="919" spans="1:3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row>
    <row r="920" spans="1:3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row>
    <row r="921" spans="1:3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row>
    <row r="922" spans="1:3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row>
    <row r="923" spans="1:3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row>
    <row r="924" spans="1:3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row>
    <row r="925" spans="1:3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row>
    <row r="926" spans="1:3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row>
    <row r="927" spans="1:3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row>
    <row r="928" spans="1:3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row>
    <row r="929" spans="1:3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row>
    <row r="930" spans="1:3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row>
    <row r="931" spans="1:3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row>
    <row r="932" spans="1:3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row>
    <row r="933" spans="1:3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row>
    <row r="934" spans="1:3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row>
    <row r="935" spans="1:3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row>
    <row r="936" spans="1:3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row>
    <row r="937" spans="1:3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row>
    <row r="938" spans="1: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row>
    <row r="939" spans="1:3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row>
    <row r="940" spans="1:3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row>
    <row r="941" spans="1:3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row>
    <row r="942" spans="1:3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row>
    <row r="943" spans="1:3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row>
    <row r="944" spans="1:3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row>
    <row r="945" spans="1:3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row>
    <row r="946" spans="1:3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row>
    <row r="947" spans="1:3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row>
    <row r="948" spans="1:3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row>
    <row r="949" spans="1:3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row>
    <row r="950" spans="1:3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row>
    <row r="951" spans="1:3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row>
    <row r="952" spans="1:3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row>
    <row r="953" spans="1:3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row>
    <row r="954" spans="1:3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row>
    <row r="955" spans="1:3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row>
    <row r="956" spans="1:3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row>
    <row r="957" spans="1:3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row>
    <row r="958" spans="1:3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row>
    <row r="959" spans="1:3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row>
    <row r="960" spans="1:3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row>
    <row r="961" spans="1:3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row>
    <row r="962" spans="1:3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row>
    <row r="963" spans="1:3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row>
    <row r="964" spans="1:3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row>
    <row r="965" spans="1:3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row>
    <row r="966" spans="1:3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row>
    <row r="967" spans="1:3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row>
    <row r="968" spans="1:3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row>
    <row r="969" spans="1:3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row>
    <row r="970" spans="1:3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row>
    <row r="971" spans="1:3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row>
    <row r="972" spans="1:3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row>
    <row r="973" spans="1:3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row>
    <row r="974" spans="1:3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row>
    <row r="975" spans="1:3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row>
    <row r="976" spans="1:3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row>
    <row r="977" spans="1:3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row>
    <row r="978" spans="1:3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row>
    <row r="979" spans="1:3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row>
    <row r="980" spans="1:3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row>
    <row r="981" spans="1:3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row>
    <row r="982" spans="1:3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row>
    <row r="983" spans="1:3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row>
    <row r="984" spans="1:3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row>
    <row r="985" spans="1:3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row>
    <row r="986" spans="1:3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row>
    <row r="987" spans="1:3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row>
    <row r="988" spans="1:3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row>
    <row r="989" spans="1:3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row>
    <row r="990" spans="1:3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row>
    <row r="991" spans="1:3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row>
    <row r="992" spans="1:3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row>
    <row r="993" spans="1:3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row>
    <row r="994" spans="1:3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row>
    <row r="995" spans="1:3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row>
    <row r="996" spans="1:3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row>
    <row r="997" spans="1:3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row>
    <row r="998" spans="1:3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row>
    <row r="999" spans="1:3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row>
    <row r="1000" spans="1:3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row>
  </sheetData>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workbookViewId="0">
      <selection sqref="A1:S1"/>
    </sheetView>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304" t="str">
        <f>IF(Roster!$J$25="Italiano","MERCENARIO 1",(IF(Roster!$J$25="Español","MERCENARIO 1",(IF(Roster!$J$25="Français","MERCENAIRE 1","MERCENARY 1")))))</f>
        <v>MERCENARIO 1</v>
      </c>
      <c r="B1" s="252"/>
      <c r="C1" s="252"/>
      <c r="D1" s="252"/>
      <c r="E1" s="252"/>
      <c r="F1" s="252"/>
      <c r="G1" s="252"/>
      <c r="H1" s="252"/>
      <c r="I1" s="252"/>
      <c r="J1" s="252"/>
      <c r="K1" s="252"/>
      <c r="L1" s="252"/>
      <c r="M1" s="252"/>
      <c r="N1" s="252"/>
      <c r="O1" s="252"/>
      <c r="P1" s="252"/>
      <c r="Q1" s="252"/>
      <c r="R1" s="252"/>
      <c r="S1" s="253"/>
      <c r="T1" s="352"/>
      <c r="U1" s="2"/>
      <c r="V1" s="2"/>
      <c r="W1" s="157"/>
      <c r="X1" s="157"/>
      <c r="Y1" s="157"/>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MERCENARIO 1</v>
      </c>
      <c r="B2" s="8" t="str">
        <f>IF(Roster!$J$25="Italiano","TIPO",(IF(Roster!$J$25="Español","TIPO",(IF(Roster!$J$25="Deutsch","POSITION",(IF(Roster!$J$25="Français","POSTE","TYPE")))))))</f>
        <v>TIPO</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275" t="str">
        <f>IF(Roster!$J$25="Italiano","ABILITÀ",(IF(Roster!$J$25="Español","HABILIDADES",(IF(Roster!$J$25="Deutsch","FERTIGKEITEN",(IF(Roster!$J$25="Français","COMPÉTENCES","SKILLS")))))))</f>
        <v>ABILITÀ</v>
      </c>
      <c r="I2" s="248"/>
      <c r="J2" s="248"/>
      <c r="K2" s="248"/>
      <c r="L2" s="248"/>
      <c r="M2" s="248"/>
      <c r="N2" s="248"/>
      <c r="O2" s="248"/>
      <c r="P2" s="248"/>
      <c r="Q2" s="248"/>
      <c r="R2" s="249"/>
      <c r="S2" s="8" t="str">
        <f>IF(Roster!$J$25="Italiano","COSTO",(IF(Roster!$J$25="Español","PRECIO",(IF(Roster!$J$25="Deutsch","WERT",(IF(Roster!$J$25="Français","VALEUR","COST")))))))</f>
        <v>COSTO</v>
      </c>
      <c r="T2" s="240"/>
      <c r="U2" s="45"/>
      <c r="V2" s="158" t="s">
        <v>322</v>
      </c>
      <c r="W2" s="159" t="s">
        <v>234</v>
      </c>
      <c r="X2" s="160"/>
      <c r="Y2" s="158" t="s">
        <v>323</v>
      </c>
      <c r="Z2" s="161"/>
      <c r="AA2" s="161"/>
      <c r="AB2" s="159"/>
      <c r="AC2" s="160"/>
      <c r="AD2" s="160"/>
      <c r="AE2" s="160"/>
      <c r="AF2" s="158" t="s">
        <v>324</v>
      </c>
      <c r="AG2" s="161"/>
      <c r="AH2" s="161"/>
      <c r="AI2" s="159"/>
      <c r="AJ2" s="45"/>
      <c r="AK2" s="350" t="s">
        <v>325</v>
      </c>
      <c r="AL2" s="284"/>
      <c r="AM2" s="284"/>
      <c r="AN2" s="284"/>
      <c r="AO2" s="285"/>
      <c r="AP2" s="350" t="s">
        <v>326</v>
      </c>
      <c r="AQ2" s="284"/>
      <c r="AR2" s="284"/>
      <c r="AS2" s="284"/>
      <c r="AT2" s="285"/>
      <c r="AU2" s="45"/>
      <c r="AV2" s="12" t="str">
        <f>IF(B3="Stunty Superstar",(IF($K$40="Español","Agallas",(IF($K$40="Deutsch","Abwehren",(IF($K$40="Français","Arracher le ballon","Block")))))),IF($J$24="Español","Agallas",(IF($J$24="Deutsch","Abwehren",(IF($J$24="Français","Arracher le ballon","Block"))))))</f>
        <v>Block</v>
      </c>
      <c r="AW2" s="12" t="s">
        <v>224</v>
      </c>
      <c r="AX2" s="70" t="str">
        <f>IF($K$40="Español","Atrapar",(IF($K$40="Deutsch","Aufspringen",(IF($K$40="Français","Défenseur ","Catch")))))</f>
        <v>Catch</v>
      </c>
      <c r="AY2" s="12" t="s">
        <v>225</v>
      </c>
      <c r="AZ2" s="12" t="str">
        <f>IF($K$40="Español","Atento al Balón",(IF($K$40="Deutsch","Abspiel",(IF($K$40="Français","Canonnier","Accurate")))))</f>
        <v>Accurate</v>
      </c>
      <c r="BA2" s="12" t="s">
        <v>227</v>
      </c>
      <c r="BB2" s="70" t="str">
        <f>IF($K$40="Español","Abrirse Paso",(IF($K$40="Deutsch","Armhebel",(IF($K$40="Français","Bagarre","Arm Bar")))))</f>
        <v>Arm Bar</v>
      </c>
      <c r="BC2" s="12" t="s">
        <v>226</v>
      </c>
      <c r="BD2" s="70" t="str">
        <f>IF($K$40="Español","Apariencia Asquerosa",(IF($K$40="Deutsch","Abstoßendes Aussehen",(IF($K$40="Français","Bras supplémentaire","Big Hand")))))</f>
        <v>Big Hand</v>
      </c>
      <c r="BE2" s="12" t="s">
        <v>228</v>
      </c>
    </row>
    <row r="3" spans="1:57" ht="30" customHeight="1">
      <c r="A3" s="53"/>
      <c r="B3" s="53" t="s">
        <v>327</v>
      </c>
      <c r="C3" s="53">
        <f>IF((VLOOKUP(B3,Y5:AD10,2,FALSE))+J6+(IF(AE3="G",-2,0))+(IF(OR(AE3="O",AE3="N"),-1,0))=0,"",(VLOOKUP(B3,Y5:AD10,2,FALSE))+J6+(IF(AE3="G",-2,0))+(IF(OR(AE3="O",AE3="N"),-1,0)))</f>
        <v>5</v>
      </c>
      <c r="D3" s="53">
        <f>IF((VLOOKUP(B3,Y5:AD10,3,FALSE))+L6+(IF(AE3="G",3,0))+(IF(OR(AE3="O",AE3="N"),2,0))=0,"",(VLOOKUP(B3,Y5:AD10,3,FALSE))+L6+(IF(AE3="G",3,0))+(IF(OR(AE3="O",AE3="N"),2,0)))</f>
        <v>2</v>
      </c>
      <c r="E3" s="53" t="str">
        <f>IF((VLOOKUP(B3,Y5:AD10,4,FALSE)+N6+(IF(AE3="J",1,0)))=0,"",(VLOOKUP(B3,Y5:AD10,4,FALSE)+N6+(IF(AE3="J",1,0))&amp;"+"))</f>
        <v>3+</v>
      </c>
      <c r="F3" s="53" t="str">
        <f>IF((VLOOKUP(B3,Y5:AD10,5,FALSE)+P6)=0,"",(VLOOKUP(B3,Y5:AD10,5,FALSE)+P6&amp;"+"))</f>
        <v>4+</v>
      </c>
      <c r="G3" s="53" t="str">
        <f>IF((VLOOKUP(B3,Y5:AD10,6,FALSE)+R6)=0,"",(VLOOKUP(B3,Y5:AD10,6,FALSE)+R6&amp;"+"))</f>
        <v>6+</v>
      </c>
      <c r="H3" s="247" t="str">
        <f>Y3&amp;(IF(Z3&lt;&gt;"",", ",""))&amp;Z3&amp;(IF(AA3&lt;&gt;"",", ",""))&amp;AA3&amp;(IF(AB3&lt;&gt;"",", ",""))&amp;AB3&amp;(IF(AF3&lt;&gt;"",", ",""))&amp;AF3&amp;(IF(AG3&lt;&gt;"",", ",""))&amp;AG3&amp;(IF(AH3&lt;&gt;"",", ",""))&amp;AH3&amp;(IF(AI3&lt;&gt;"",", ",""))&amp;AI3&amp;AK8</f>
        <v>Loner (4+), Dodge, Stunty, Right Stuff</v>
      </c>
      <c r="I3" s="248"/>
      <c r="J3" s="248"/>
      <c r="K3" s="248"/>
      <c r="L3" s="248"/>
      <c r="M3" s="248"/>
      <c r="N3" s="248"/>
      <c r="O3" s="248"/>
      <c r="P3" s="248"/>
      <c r="Q3" s="248"/>
      <c r="R3" s="249"/>
      <c r="S3" s="53">
        <f>(VLOOKUP(B3,Y5:AI10,11,FALSE))+W12</f>
        <v>30000</v>
      </c>
      <c r="T3" s="240"/>
      <c r="U3" s="45"/>
      <c r="V3" s="162"/>
      <c r="W3" s="163">
        <v>0</v>
      </c>
      <c r="X3" s="164"/>
      <c r="Y3" s="165" t="str">
        <f>VLOOKUP(B3,Y5:AH10,7,FALSE)</f>
        <v>Loner (4+)</v>
      </c>
      <c r="Z3" s="166" t="str">
        <f>VLOOKUP(B3,Y5:AH10,8,FALSE)</f>
        <v>Dodge</v>
      </c>
      <c r="AA3" s="166" t="str">
        <f>VLOOKUP(B3,Y5:AH10,9,FALSE)</f>
        <v>Stunty</v>
      </c>
      <c r="AB3" s="167" t="str">
        <f>VLOOKUP(B3,Y5:AH10,10,FALSE)</f>
        <v>Right Stuff</v>
      </c>
      <c r="AC3" s="160"/>
      <c r="AD3" s="160"/>
      <c r="AE3" s="160" t="str">
        <f>IFERROR((VLOOKUP(A6,R41:W55,2,FALSE)),"")</f>
        <v/>
      </c>
      <c r="AF3" s="165" t="str">
        <f>IFERROR((VLOOKUP(A6,R41:W55,3,FALSE)),"")</f>
        <v/>
      </c>
      <c r="AG3" s="166" t="str">
        <f>IFERROR((VLOOKUP(A6,R41:W55,4,FALSE)),"")</f>
        <v/>
      </c>
      <c r="AH3" s="166" t="str">
        <f>IFERROR((VLOOKUP(A6,R41:W55,5,FALSE)),"")</f>
        <v/>
      </c>
      <c r="AI3" s="167" t="str">
        <f>IFERROR((VLOOKUP(A6,R41:W55,6,FALSE)),"")</f>
        <v/>
      </c>
      <c r="AJ3" s="45"/>
      <c r="AK3" s="168">
        <v>0</v>
      </c>
      <c r="AL3" s="45">
        <v>0</v>
      </c>
      <c r="AM3" s="45">
        <v>0</v>
      </c>
      <c r="AN3" s="45">
        <v>0</v>
      </c>
      <c r="AO3" s="163">
        <v>0</v>
      </c>
      <c r="AP3" s="168">
        <v>0</v>
      </c>
      <c r="AQ3" s="45">
        <v>0</v>
      </c>
      <c r="AR3" s="45">
        <v>0</v>
      </c>
      <c r="AS3" s="45">
        <v>0</v>
      </c>
      <c r="AT3" s="163">
        <v>0</v>
      </c>
      <c r="AU3" s="45"/>
      <c r="AV3" s="70" t="str">
        <f>IF(B3="Stunty Superstar",(IF($K$40="Español","Forcejear",(IF($K$40="Deutsch","Ball entreißen",(IF($K$40="Français","Blocage","Dauntless")))))),(IF($J$24="Español","Forcejear",(IF($J$24="Deutsch","Ball entreißen",(IF($J$24="Français","Blocage","Dauntless")))))))</f>
        <v>Dauntless</v>
      </c>
      <c r="AW3" s="12" t="s">
        <v>224</v>
      </c>
      <c r="AX3" s="70" t="str">
        <f>IF($K$40="Español","Echarse a un Lado",(IF($K$40="Deutsch","Ausweichen",(IF($K$40="Français","Équilibre","Diving Catch")))))</f>
        <v>Diving Catch</v>
      </c>
      <c r="AY3" s="12" t="s">
        <v>225</v>
      </c>
      <c r="AZ3" s="12" t="str">
        <f>IF($K$40="Español","Cañonero",(IF($K$40="Deutsch","Hau wech das Leder",(IF($K$40="Français","Chef","Cannoneer")))))</f>
        <v>Cannoneer</v>
      </c>
      <c r="BA3" s="12" t="s">
        <v>227</v>
      </c>
      <c r="BB3" s="70" t="str">
        <f>IF($K$40="Español","Apartar",(IF($K$40="Deutsch","Greifer",(IF($K$40="Français","Blocage multiple","Brawler")))))</f>
        <v>Brawler</v>
      </c>
      <c r="BC3" s="12" t="s">
        <v>226</v>
      </c>
      <c r="BD3" s="70" t="str">
        <f>IF($K$40="Español","Boca Monstruosa",(IF($K$40="Deutsch","Eisenharte Haut",(IF($K$40="Français","Cornes","Claw / Claws")))))</f>
        <v>Claw / Claws</v>
      </c>
      <c r="BE3" s="12" t="s">
        <v>228</v>
      </c>
    </row>
    <row r="4" spans="1:57" ht="22.5" customHeight="1">
      <c r="A4" s="351" t="str">
        <f>IF(J40="Italiano","AVANZAMIENTO GIOCATORI",(IF(J40="Español","MEJORAS DEL JUGADORE",(IF(J40="Deutsch","SPIELERVERBESSERUNGEN",(IF(J40="Français","AMÉLIORATIONS DE JOUEUR","PLAYER UPGRADES")))))))</f>
        <v>PLAYER UPGRADES</v>
      </c>
      <c r="B4" s="248"/>
      <c r="C4" s="248"/>
      <c r="D4" s="248"/>
      <c r="E4" s="248"/>
      <c r="F4" s="248"/>
      <c r="G4" s="248"/>
      <c r="H4" s="248"/>
      <c r="I4" s="248"/>
      <c r="J4" s="248"/>
      <c r="K4" s="248"/>
      <c r="L4" s="248"/>
      <c r="M4" s="248"/>
      <c r="N4" s="248"/>
      <c r="O4" s="248"/>
      <c r="P4" s="248"/>
      <c r="Q4" s="248"/>
      <c r="R4" s="248"/>
      <c r="S4" s="263"/>
      <c r="T4" s="240"/>
      <c r="U4" s="13"/>
      <c r="V4" s="162" t="str">
        <f t="shared" ref="V4:W4" si="0">IF($B$3="Stunty Superstar",C43,(IF($B$3="Legendary Linemen",F43,(IF($B$3="Brutal Blockers",I43,(IF($B$3="Reliable Ringers",L43,(IF($B$3="Bona Fide Big Guy",O43,"")))))))))</f>
        <v>Dirty Player (+1), Sneaky Git, Loner (5+)</v>
      </c>
      <c r="W4" s="163">
        <f t="shared" si="0"/>
        <v>50000</v>
      </c>
      <c r="X4" s="160"/>
      <c r="Y4" s="160"/>
      <c r="Z4" s="160"/>
      <c r="AA4" s="160"/>
      <c r="AB4" s="160"/>
      <c r="AC4" s="160"/>
      <c r="AD4" s="160"/>
      <c r="AE4" s="160"/>
      <c r="AF4" s="160"/>
      <c r="AG4" s="160"/>
      <c r="AH4" s="160"/>
      <c r="AI4" s="160"/>
      <c r="AJ4" s="45"/>
      <c r="AK4" s="168">
        <v>1</v>
      </c>
      <c r="AL4" s="45">
        <v>0</v>
      </c>
      <c r="AM4" s="45">
        <f>IF(B3="Legendary Linemen",0,-1)</f>
        <v>-1</v>
      </c>
      <c r="AN4" s="45">
        <f>IF(B3="Brutal Blockers",0,-1)</f>
        <v>-1</v>
      </c>
      <c r="AO4" s="163">
        <v>1</v>
      </c>
      <c r="AP4" s="168">
        <f>IF(OR(B3="Legendary Linemen",B3="Bona Fide Big Guy"),20000,30000)</f>
        <v>30000</v>
      </c>
      <c r="AQ4" s="45">
        <v>0</v>
      </c>
      <c r="AR4" s="45">
        <f>IF(OR(B3="Stunty Superstar",B3="Bona Fide Big Guy"),40000,(IF(B3="Legendary Linemen",0,50000)))</f>
        <v>40000</v>
      </c>
      <c r="AS4" s="45">
        <f>IF(B3="Brutal Blockers",0,30000)</f>
        <v>30000</v>
      </c>
      <c r="AT4" s="163">
        <f>IF(B3="Stunty Superstar",30000,(IF(B3="Reliable Ringers",40000,20000)))</f>
        <v>30000</v>
      </c>
      <c r="AU4" s="45"/>
      <c r="AV4" s="70" t="str">
        <f>IF(B3="Stunty Superstar",(IF($K$40="Español","Furia",(IF($K$40="Deutsch","Ballgefühl",(IF($K$40="Français","Frappe précise","Fend")))))),(IF($J$24="Español","Furia",(IF($J$24="Deutsch","Ballgefühl",(IF($J$24="Français","Frappe précise","Dirty Player (+1)")))))))</f>
        <v>Fend</v>
      </c>
      <c r="AW4" s="12" t="s">
        <v>224</v>
      </c>
      <c r="AX4" s="70" t="str">
        <f>IF($K$40="Español","En Pie de un Salto",(IF($K$40="Deutsch","Fangsicher",(IF($K$40="Français","Esquive","Diving Tackle")))))</f>
        <v>Diving Tackle</v>
      </c>
      <c r="AY4" s="12" t="s">
        <v>225</v>
      </c>
      <c r="AZ4" s="70" t="str">
        <f>IF($K$40="Español","Dejada",(IF($K$40="Deutsch","Im Laufen passen",(IF($K$40="Français","Délestage","Cloud Burster")))))</f>
        <v>Cloud Burster</v>
      </c>
      <c r="BA4" s="12" t="s">
        <v>227</v>
      </c>
      <c r="BB4" s="70" t="str">
        <f>IF($K$40="Español","Brazo Fuerte",(IF($K$40="Deutsch","Knochenbrecher (+1)",(IF($K$40="Français","Bras musclé","Break Tackle")))))</f>
        <v>Break Tackle</v>
      </c>
      <c r="BC4" s="12" t="s">
        <v>226</v>
      </c>
      <c r="BD4" s="70" t="str">
        <f>IF($K$40="Español","Brazos Adicionales",(IF($K$40="Deutsch","Große Hand",(IF($K$40="Français","Deux tête","Disturbing Presence")))))</f>
        <v>Disturbing Presence</v>
      </c>
      <c r="BE4" s="12" t="s">
        <v>228</v>
      </c>
    </row>
    <row r="5" spans="1:57" ht="22.5" customHeight="1">
      <c r="A5" s="275" t="s">
        <v>328</v>
      </c>
      <c r="B5" s="248"/>
      <c r="C5" s="248"/>
      <c r="D5" s="248"/>
      <c r="E5" s="248"/>
      <c r="F5" s="248"/>
      <c r="G5" s="248"/>
      <c r="H5" s="249"/>
      <c r="I5" s="8" t="str">
        <f>IF(Roster!$J$25="Italiano","COSTO",(IF(Roster!$J$25="Español","PRECIO",(IF(Roster!$J$25="Deutsch","WERT",(IF(Roster!$J$25="Français","VALEUR","COST")))))))</f>
        <v>COSTO</v>
      </c>
      <c r="J5" s="8" t="str">
        <f>IF(Roster!$J$25="Español","MO",(IF(Roster!$J$25="Deutsch","BE",(IF(Roster!$J$25="Français","M","MA")))))</f>
        <v>MA</v>
      </c>
      <c r="K5" s="8" t="str">
        <f>IF(Roster!$J$25="Italiano","COSTO",(IF(Roster!$J$25="Español","PRECIO",(IF(Roster!$J$25="Deutsch","WERT",(IF(Roster!$J$25="Français","VALEUR","COST")))))))</f>
        <v>COSTO</v>
      </c>
      <c r="L5" s="8" t="str">
        <f>IF(Roster!$J$25="Español","FU",(IF(Roster!$J$25="Français","F","ST")))</f>
        <v>ST</v>
      </c>
      <c r="M5" s="8" t="str">
        <f>IF(Roster!$J$25="Italiano","COSTO",(IF(Roster!$J$25="Español","PRECIO",(IF(Roster!$J$25="Deutsch","WERT",(IF(Roster!$J$25="Français","VALEUR","COST")))))))</f>
        <v>COSTO</v>
      </c>
      <c r="N5" s="8" t="str">
        <f>IF(Roster!$J$25="Deutsch","GE","AG")</f>
        <v>AG</v>
      </c>
      <c r="O5" s="8" t="str">
        <f>IF(Roster!$J$25="Italiano","COSTO",(IF(Roster!$J$25="Español","PRECIO",(IF(Roster!$J$25="Deutsch","WERT",(IF(Roster!$J$25="Français","VALEUR","COST")))))))</f>
        <v>COSTO</v>
      </c>
      <c r="P5" s="8" t="str">
        <f>IF(Roster!$J$25="Deutsch","WG",(IF(Roster!$J$25="Français","CP","PA")))</f>
        <v>PA</v>
      </c>
      <c r="Q5" s="8" t="str">
        <f>IF(Roster!$J$25="Italiano","COSTO",(IF(Roster!$J$25="Español","PRECIO",(IF(Roster!$J$25="Deutsch","WERT",(IF(Roster!$J$25="Français","VALEUR","COST")))))))</f>
        <v>COSTO</v>
      </c>
      <c r="R5" s="8" t="str">
        <f>IF(Roster!$J$25="Español","AR",(IF(Roster!$J$25="Deutsch","RW",(IF(Roster!$J$25="Français","AR","AV")))))</f>
        <v>AV</v>
      </c>
      <c r="S5" s="8" t="str">
        <f>IF(Roster!$J$25="Italiano","COSTO",(IF(Roster!$J$25="Español","PRECIO",(IF(Roster!$J$25="Deutsch","WERT",(IF(Roster!$J$25="Français","VALEUR","COST")))))))</f>
        <v>COSTO</v>
      </c>
      <c r="T5" s="240"/>
      <c r="U5" s="13"/>
      <c r="V5" s="162"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163">
        <f>IF($B$3="Stunty Superstar",D44,(IF($B$3="Legendary Linemen",G44,(IF($B$3="Brutal Blockers",J44,(IF($B$3="Reliable Ringers",M44,(IF($B$3="Bona Fide Big Guy",P44,"")))))))))</f>
        <v>80000</v>
      </c>
      <c r="X5" s="160"/>
      <c r="Y5" s="158" t="s">
        <v>329</v>
      </c>
      <c r="Z5" s="169">
        <v>0</v>
      </c>
      <c r="AA5" s="169">
        <v>0</v>
      </c>
      <c r="AB5" s="169">
        <v>0</v>
      </c>
      <c r="AC5" s="169">
        <v>0</v>
      </c>
      <c r="AD5" s="169">
        <v>0</v>
      </c>
      <c r="AE5" s="161" t="str">
        <f t="shared" ref="AE5:AH5" si="1">""</f>
        <v/>
      </c>
      <c r="AF5" s="161" t="str">
        <f t="shared" si="1"/>
        <v/>
      </c>
      <c r="AG5" s="161" t="str">
        <f t="shared" si="1"/>
        <v/>
      </c>
      <c r="AH5" s="161" t="str">
        <f t="shared" si="1"/>
        <v/>
      </c>
      <c r="AI5" s="170">
        <v>0</v>
      </c>
      <c r="AJ5" s="45"/>
      <c r="AK5" s="168">
        <v>2</v>
      </c>
      <c r="AL5" s="45">
        <v>0</v>
      </c>
      <c r="AM5" s="45">
        <f>IF(B3="Legendary Linemen",0,-2)</f>
        <v>-2</v>
      </c>
      <c r="AN5" s="45">
        <f>IF(B3="Brutal Blockers",0,-2)</f>
        <v>-2</v>
      </c>
      <c r="AO5" s="163">
        <v>2</v>
      </c>
      <c r="AP5" s="168">
        <f>IF(OR(B3="Stunty Superstar",B3="Reliable Ringers"),70000,(IF(B3="Legendary Linemen",40000,50000)))</f>
        <v>70000</v>
      </c>
      <c r="AQ5" s="45">
        <v>0</v>
      </c>
      <c r="AR5" s="45">
        <f>IF(OR(B3="Stunty Superstar",B3="Bona Fide Big Guy"),80000,(IF(B3="Legendary Linemen",0,100000)))</f>
        <v>80000</v>
      </c>
      <c r="AS5" s="45">
        <f>IF(B3="Brutal Blockers",0,70000)</f>
        <v>70000</v>
      </c>
      <c r="AT5" s="163">
        <f>IF(B3="Stunty Superstar",70000,(IF(B3="Reliable Ringers",80000,40000)))</f>
        <v>70000</v>
      </c>
      <c r="AU5" s="45"/>
      <c r="AV5" s="70" t="str">
        <f>IF(B3="Stunty Superstar",(IF($K$40="Español","Manos Seguras",(IF($K$40="Deutsch","Block",(IF($K$40="Français","Frénésie ","Frenzy")))))),(IF($J$24="Español","Juego Sucio (+1)",(IF($J$24="Deutsch","Block",(IF($J$24="Français","Frénésie ","Fend")))))))</f>
        <v>Frenzy</v>
      </c>
      <c r="AW5" s="12" t="s">
        <v>224</v>
      </c>
      <c r="AX5" s="70" t="str">
        <f>IF($K$40="Español","Esprintar",(IF($K$40="Deutsch","Fliegender Tackle",(IF($K$40="Français","Glissade contrôlée","Dodge")))))</f>
        <v>Dodge</v>
      </c>
      <c r="AY5" s="12" t="s">
        <v>225</v>
      </c>
      <c r="AZ5" s="70" t="str">
        <f>IF($K$40="Español","Líder",(IF($K$40="Deutsch","In die Wolken",(IF($K$40="Français","Fumblerooskie","Dump-Off")))))</f>
        <v>Dump-Off</v>
      </c>
      <c r="BA5" s="12" t="s">
        <v>227</v>
      </c>
      <c r="BB5" s="70" t="str">
        <f>IF($K$40="Español","Cabeza Dura",(IF($K$40="Deutsch","Mehrfachblock",(IF($K$40="Français","Châtaigne (+1)","Grab")))))</f>
        <v>Grab</v>
      </c>
      <c r="BC5" s="12" t="s">
        <v>226</v>
      </c>
      <c r="BD5" s="70" t="str">
        <f>IF($K$40="Español","Cola Prensil",(IF($K$40="Deutsch","Hörner",(IF($K$40="Français","Grande gueule","Extra Arms")))))</f>
        <v>Extra Arms</v>
      </c>
      <c r="BE5" s="12" t="s">
        <v>228</v>
      </c>
    </row>
    <row r="6" spans="1:57" ht="22.5" customHeight="1">
      <c r="A6" s="247"/>
      <c r="B6" s="248"/>
      <c r="C6" s="248"/>
      <c r="D6" s="248"/>
      <c r="E6" s="248"/>
      <c r="F6" s="248"/>
      <c r="G6" s="248"/>
      <c r="H6" s="249"/>
      <c r="I6" s="171">
        <f>IFERROR((VLOOKUP(A6,V4:W10,2,FALSE)),0)</f>
        <v>0</v>
      </c>
      <c r="J6" s="53">
        <v>0</v>
      </c>
      <c r="K6" s="171">
        <f>IFERROR((VLOOKUP(J6,AK3:AT7,6,FALSE)),"ILEGAL")</f>
        <v>0</v>
      </c>
      <c r="L6" s="53">
        <v>0</v>
      </c>
      <c r="M6" s="171">
        <f>IFERROR((VLOOKUP(L6,AL3:AT7,6,FALSE)),"ILEGAL")</f>
        <v>0</v>
      </c>
      <c r="N6" s="53">
        <v>0</v>
      </c>
      <c r="O6" s="171">
        <f>IFERROR((VLOOKUP(N6,AM3:AT7,6,FALSE)),"ILEGAL")</f>
        <v>0</v>
      </c>
      <c r="P6" s="53">
        <v>0</v>
      </c>
      <c r="Q6" s="171">
        <f>IFERROR((VLOOKUP(P6,AN3:AT7,6,FALSE)),"ILEGAL")</f>
        <v>0</v>
      </c>
      <c r="R6" s="53">
        <v>0</v>
      </c>
      <c r="S6" s="171">
        <f>IFERROR((VLOOKUP(R6,AO3:AT7,6,FALSE)),"ILEGAL")</f>
        <v>0</v>
      </c>
      <c r="T6" s="240"/>
      <c r="U6" s="13"/>
      <c r="V6" s="162" t="str">
        <f t="shared" ref="V6:W6" si="2">IF($B$3="Stunty Superstar",C45,(IF($B$3="Legendary Linemen",F45,(IF($B$3="Brutal Blockers",I45,(IF($B$3="Reliable Ringers",L45,(IF($B$3="Bona Fide Big Guy",O45,"")))))))))</f>
        <v>Bombardier, Secret Weapon</v>
      </c>
      <c r="W6" s="163">
        <f t="shared" si="2"/>
        <v>40000</v>
      </c>
      <c r="X6" s="160"/>
      <c r="Y6" s="162" t="s">
        <v>327</v>
      </c>
      <c r="Z6" s="45">
        <v>5</v>
      </c>
      <c r="AA6" s="45">
        <v>2</v>
      </c>
      <c r="AB6" s="45">
        <v>3</v>
      </c>
      <c r="AC6" s="45">
        <v>4</v>
      </c>
      <c r="AD6" s="45">
        <v>6</v>
      </c>
      <c r="AE6" s="160" t="str">
        <f>IF(((COUNTIF(AE3,"A"))+(COUNTIF(AE3,"B"))+(COUNTIF(AE3,"H"))+(COUNTIF(AE3,"I"))+(COUNTIF(AE3,"M")))=1,"Loner (5+)","Loner (4+)")</f>
        <v>Loner (4+)</v>
      </c>
      <c r="AF6" s="160" t="s">
        <v>330</v>
      </c>
      <c r="AG6" s="160" t="s">
        <v>331</v>
      </c>
      <c r="AH6" s="160" t="s">
        <v>332</v>
      </c>
      <c r="AI6" s="163">
        <v>30000</v>
      </c>
      <c r="AJ6" s="45"/>
      <c r="AK6" s="168">
        <v>-1</v>
      </c>
      <c r="AL6" s="45">
        <v>-1</v>
      </c>
      <c r="AM6" s="45">
        <v>1</v>
      </c>
      <c r="AN6" s="45">
        <v>1</v>
      </c>
      <c r="AO6" s="163">
        <v>-1</v>
      </c>
      <c r="AP6" s="168">
        <v>-10000</v>
      </c>
      <c r="AQ6" s="45">
        <v>-10000</v>
      </c>
      <c r="AR6" s="45">
        <v>-10000</v>
      </c>
      <c r="AS6" s="45">
        <v>-10000</v>
      </c>
      <c r="AT6" s="163">
        <v>-10000</v>
      </c>
      <c r="AU6" s="45"/>
      <c r="AV6" s="70" t="str">
        <f>IF(B3="Stunty Superstar",(IF($K$40="Español","Patada",(IF($K$40="Deutsch","Kicken",(IF($K$40="Français","Intrépide","Kick")))))),(IF($J$24="Español","Manos Seguras",(IF($J$24="Deutsch","Brutal (+1)",(IF($J$24="Français","Intrépide","Frenzy")))))))</f>
        <v>Kick</v>
      </c>
      <c r="AW6" s="12" t="s">
        <v>224</v>
      </c>
      <c r="AX6" s="70" t="str">
        <f>IF($K$40="Español","Esquivar",(IF($K$40="Deutsch","Gewandt",(IF($K$40="Français","Libération contrôlée","Defensive")))))</f>
        <v>Defensive</v>
      </c>
      <c r="AY6" s="12" t="s">
        <v>225</v>
      </c>
      <c r="AZ6" s="70" t="str">
        <f>IF($K$40="Español","Nervios de Acero",(IF($K$40="Deutsch","Immer am Ball",(IF($K$40="Français","Nerfs d’acier","Fumblerooskie")))))</f>
        <v>Fumblerooskie</v>
      </c>
      <c r="BA6" s="12" t="s">
        <v>227</v>
      </c>
      <c r="BB6" s="70" t="str">
        <f>IF($K$40="Español","Crujir",(IF($K$40="Deutsch","Ramme",(IF($K$40="Français","Clé de bras","Guard")))))</f>
        <v>Guard</v>
      </c>
      <c r="BC6" s="12" t="s">
        <v>226</v>
      </c>
      <c r="BD6" s="70" t="str">
        <f>IF($K$40="Español","Cuernos",(IF($K$40="Deutsch","Klammerschwanz",(IF($K$40="Français","Griffes","Foul Appearance")))))</f>
        <v>Foul Appearance</v>
      </c>
      <c r="BE6" s="12" t="s">
        <v>228</v>
      </c>
    </row>
    <row r="7" spans="1:57" ht="22.5" customHeight="1">
      <c r="A7" s="172" t="str">
        <f>IF(Roster!$J$25="Italiano","TIPO",(IF(Roster!$J$25="Español","TIPO",(IF(Roster!$J$25="Deutsch","POSITION",(IF(Roster!$J$25="Français","POSTE","TYPE")))))))</f>
        <v>TIPO</v>
      </c>
      <c r="B7" s="173" t="str">
        <f>IF($J$40="Italiano","AVANZAMENTO 1",(IF($J$40="Español","MEJORA 1",(IF($J$40="Deutsch","VERBES-SERUNG 1",(IF($J$40="Français","AMÉLIORATION 1","UPGRADE 1")))))))</f>
        <v>UPGRADE 1</v>
      </c>
      <c r="C7" s="174" t="str">
        <f>IF(Roster!$J$25="Italiano","COSTO",(IF(Roster!$J$25="Español","PRECIO",(IF(Roster!$J$25="Deutsch","WERT",(IF(Roster!$J$25="Français","VALEUR","COST")))))))</f>
        <v>COSTO</v>
      </c>
      <c r="D7" s="291" t="str">
        <f>IF($J$40="Italiano","AVANZAMENTO 2",(IF($J$40="Español","MEJORA 2",(IF($J$40="Deutsch","VERBES-SERUNG 2",(IF($J$40="Français","AMÉLIORATION 2","UPGRADE 2")))))))</f>
        <v>UPGRADE 2</v>
      </c>
      <c r="E7" s="249"/>
      <c r="F7" s="174" t="str">
        <f>IF(Roster!$J$25="Italiano","COSTO",(IF(Roster!$J$25="Español","PRECIO",(IF(Roster!$J$25="Deutsch","WERT",(IF(Roster!$J$25="Français","VALEUR","COST")))))))</f>
        <v>COSTO</v>
      </c>
      <c r="G7" s="291" t="str">
        <f>IF($J$40="Italiano","AVANZAMENTO 3",(IF($J$40="Español","MEJORA 3",(IF($J$40="Deutsch","VERBES-SERUNG 3",(IF($J$40="Français","AMÉLIORATION 3","UPGRADE 3")))))))</f>
        <v>UPGRADE 3</v>
      </c>
      <c r="H7" s="249"/>
      <c r="I7" s="8" t="str">
        <f>IF(Roster!$J$25="Italiano","COSTO",(IF(Roster!$J$25="Español","PRECIO",(IF(Roster!$J$25="Deutsch","WERT",(IF(Roster!$J$25="Français","VALEUR","COST")))))))</f>
        <v>COSTO</v>
      </c>
      <c r="J7" s="291" t="str">
        <f>IF($J$40="Italiano","AVANZAMENTO 4",(IF($J$40="Español","MEJORA 4",(IF($J$40="Deutsch","VERBES-SERUNG 4",(IF($J$40="Français","AMÉLIORATION 4","UPGRADE 4")))))))</f>
        <v>UPGRADE 4</v>
      </c>
      <c r="K7" s="249"/>
      <c r="L7" s="8" t="str">
        <f>IF(Roster!$J$25="Italiano","COSTO",(IF(Roster!$J$25="Español","PRECIO",(IF(Roster!$J$25="Deutsch","WERT",(IF(Roster!$J$25="Français","VALEUR","COST")))))))</f>
        <v>COSTO</v>
      </c>
      <c r="M7" s="291" t="str">
        <f>IF($J$40="Italiano","AVANZAMENTO 5",(IF($J$40="Español","MEJORA 5",(IF($J$40="Deutsch","VERBES-SERUNG 5",(IF($J$40="Français","AMÉLIORATION 5","UPGRADE 5")))))))</f>
        <v>UPGRADE 5</v>
      </c>
      <c r="N7" s="249"/>
      <c r="O7" s="8" t="str">
        <f>IF(Roster!$J$25="Italiano","COSTO",(IF(Roster!$J$25="Español","PRECIO",(IF(Roster!$J$25="Deutsch","WERT",(IF(Roster!$J$25="Français","VALEUR","COST")))))))</f>
        <v>COSTO</v>
      </c>
      <c r="P7" s="291" t="str">
        <f>IF($J$40="Italiano","AVANZAMENTO 6",(IF($J$40="Español","MEJORA 6",(IF($J$40="Deutsch","VERBES-SERUNG 6",(IF($J$40="Français","AMÉLIORATION 6","UPGRADE 6")))))))</f>
        <v>UPGRADE 6</v>
      </c>
      <c r="Q7" s="249"/>
      <c r="R7" s="8" t="str">
        <f>IF(Roster!$J$25="Italiano","COSTO",(IF(Roster!$J$25="Español","PRECIO",(IF(Roster!$J$25="Deutsch","WERT",(IF(Roster!$J$25="Français","VALEUR","COST")))))))</f>
        <v>COSTO</v>
      </c>
      <c r="S7" s="8" t="s">
        <v>333</v>
      </c>
      <c r="T7" s="240"/>
      <c r="U7" s="13"/>
      <c r="V7" s="162" t="str">
        <f t="shared" ref="V7:W7" si="3">IF($B$3="Stunty Superstar",C46,(IF($B$3="Legendary Linemen",F46,(IF($B$3="Brutal Blockers",I46,(IF($B$3="Reliable Ringers",L46,(IF($B$3="Bona Fide Big Guy",O46,"")))))))))</f>
        <v>Stab, Secret Weapon</v>
      </c>
      <c r="W7" s="163">
        <f t="shared" si="3"/>
        <v>20000</v>
      </c>
      <c r="X7" s="160"/>
      <c r="Y7" s="162" t="s">
        <v>334</v>
      </c>
      <c r="Z7" s="45">
        <v>6</v>
      </c>
      <c r="AA7" s="45">
        <v>3</v>
      </c>
      <c r="AB7" s="45">
        <v>3</v>
      </c>
      <c r="AC7" s="45">
        <v>4</v>
      </c>
      <c r="AD7" s="45">
        <v>9</v>
      </c>
      <c r="AE7" s="160" t="str">
        <f>IF(((COUNTIF(AE3,"A"))+(COUNTIF(AE3,"B"))+(COUNTIF(AE3,"H"))+(COUNTIF(AE3,"I"))+(COUNTIF(AE3,"M")))=1,"Loner (5+)","Loner (4+)")</f>
        <v>Loner (4+)</v>
      </c>
      <c r="AF7" s="160" t="str">
        <f t="shared" ref="AF7:AH7" si="4">""</f>
        <v/>
      </c>
      <c r="AG7" s="160" t="str">
        <f t="shared" si="4"/>
        <v/>
      </c>
      <c r="AH7" s="160" t="str">
        <f t="shared" si="4"/>
        <v/>
      </c>
      <c r="AI7" s="163">
        <v>50000</v>
      </c>
      <c r="AJ7" s="45"/>
      <c r="AK7" s="175">
        <v>-2</v>
      </c>
      <c r="AL7" s="176">
        <f>IF(B3="Stunty Superstar",0,-2)</f>
        <v>0</v>
      </c>
      <c r="AM7" s="176">
        <v>2</v>
      </c>
      <c r="AN7" s="176">
        <v>2</v>
      </c>
      <c r="AO7" s="177">
        <v>-2</v>
      </c>
      <c r="AP7" s="175">
        <v>-20000</v>
      </c>
      <c r="AQ7" s="176">
        <v>-20000</v>
      </c>
      <c r="AR7" s="176">
        <v>-20000</v>
      </c>
      <c r="AS7" s="176">
        <v>-20000</v>
      </c>
      <c r="AT7" s="177">
        <v>-20000</v>
      </c>
      <c r="AU7" s="45"/>
      <c r="AV7" s="70" t="str">
        <f>IF(B3="Stunty Superstar",(IF($K$40="Español","Perseguir",(IF($K$40="Deutsch","Manndeckung",(IF($K$40="Français","Lutte","Pro")))))),(IF($J$24="Español","Patada",(IF($J$24="Deutsch","Kicken",(IF($J$24="Français","Joueur Déloyal (+1)","Kick")))))))</f>
        <v>Pro</v>
      </c>
      <c r="AW7" s="12" t="s">
        <v>224</v>
      </c>
      <c r="AX7" s="70" t="str">
        <f>IF($K$40="Español","Furtivo",(IF($K$40="Deutsch","Hechtsprung",(IF($K$40="Français","Réception ","Jump Up")))))</f>
        <v>Jump Up</v>
      </c>
      <c r="AY7" s="12" t="s">
        <v>225</v>
      </c>
      <c r="AZ7" s="70" t="str">
        <f>IF($K$40="Español","Partenubes",(IF($K$40="Deutsch","Kanonier",(IF($K$40="Français","Passe","Hail Mary Pass")))))</f>
        <v>Hail Mary Pass</v>
      </c>
      <c r="BA7" s="12" t="s">
        <v>227</v>
      </c>
      <c r="BB7" s="12" t="str">
        <f>IF($K$40="Español","Defensa",(IF($K$40="Deutsch","Raufbold",(IF($K$40="Français","Crâne épais","Juggernaut")))))</f>
        <v>Juggernaut</v>
      </c>
      <c r="BC7" s="12" t="s">
        <v>226</v>
      </c>
      <c r="BD7" s="70" t="str">
        <f>IF($K$40="Español","Dos Cabezas",(IF($K$40="Deutsch","Klauen",(IF($K$40="Français","Main démesurée","Horns")))))</f>
        <v>Horns</v>
      </c>
      <c r="BE7" s="12" t="s">
        <v>228</v>
      </c>
    </row>
    <row r="8" spans="1:57" ht="22.5" customHeight="1">
      <c r="A8" s="29" t="str">
        <f>IF($J$40="Italiano","GENERALE:",(IF($J$40="Français","GÉNÉRALE:","GENERAL:")))</f>
        <v>GENERAL:</v>
      </c>
      <c r="B8" s="53"/>
      <c r="C8" s="171">
        <f>IF(B8&lt;&gt;"",(IF(B3="Legendary Linemen",20000,(IF(B3="Reliable Ringers",30000,(IF(B3="Mercenaries",0,40000)))))),0)</f>
        <v>0</v>
      </c>
      <c r="D8" s="269"/>
      <c r="E8" s="249"/>
      <c r="F8" s="171" t="str">
        <f>IF(B3&lt;&gt;"Legendary Linemen","ILEGAL",(IF(D8&lt;&gt;"",50000,0)))</f>
        <v>ILEGAL</v>
      </c>
      <c r="G8" s="269"/>
      <c r="H8" s="249"/>
      <c r="I8" s="171" t="str">
        <f>IF(B3&lt;&gt;"Legendary Linemen","ILEGAL",(IF(G8&lt;&gt;"",80000,0)))</f>
        <v>ILEGAL</v>
      </c>
      <c r="J8" s="269"/>
      <c r="K8" s="249"/>
      <c r="L8" s="171" t="str">
        <f>IF(B3&lt;&gt;"Legendary Linemen","ILEGAL",(IF(J8&lt;&gt;"",110000,0)))</f>
        <v>ILEGAL</v>
      </c>
      <c r="M8" s="269"/>
      <c r="N8" s="249"/>
      <c r="O8" s="171" t="str">
        <f>IF(B3&lt;&gt;"Legendary Linemen","ILEGAL",(IF(M8&lt;&gt;"",140000,0)))</f>
        <v>ILEGAL</v>
      </c>
      <c r="P8" s="269"/>
      <c r="Q8" s="249"/>
      <c r="R8" s="171" t="str">
        <f>IF(B3&lt;&gt;"Legendary Linemen","ILEGAL",(IF(P8&lt;&gt;"",170000,0)))</f>
        <v>ILEGAL</v>
      </c>
      <c r="S8" s="171">
        <f t="shared" ref="S8:S12" si="5">SUM(C8,F8,I8,L8,O8,R8)</f>
        <v>0</v>
      </c>
      <c r="T8" s="240"/>
      <c r="U8" s="13"/>
      <c r="V8" s="162" t="str">
        <f t="shared" ref="V8:W8" si="6">IF($B$3="Stunty Superstar",C47,(IF($B$3="Legendary Linemen",F47,(IF($B$3="Brutal Blockers",I47,(IF($B$3="Reliable Ringers",L47,(IF($B$3="Bona Fide Big Guy",O47,"")))))))))</f>
        <v>Chainsaw, No Hands, Secret Weapon</v>
      </c>
      <c r="W8" s="163">
        <f t="shared" si="6"/>
        <v>70000</v>
      </c>
      <c r="X8" s="160"/>
      <c r="Y8" s="162" t="s">
        <v>335</v>
      </c>
      <c r="Z8" s="45">
        <v>4</v>
      </c>
      <c r="AA8" s="45">
        <v>4</v>
      </c>
      <c r="AB8" s="45">
        <v>4</v>
      </c>
      <c r="AC8" s="45">
        <v>6</v>
      </c>
      <c r="AD8" s="45">
        <v>9</v>
      </c>
      <c r="AE8" s="160" t="str">
        <f>IF(((COUNTIF(AE3,"A"))+(COUNTIF(AE3,"B"))+(COUNTIF(AE3,"H"))+(COUNTIF(AE3,"I"))+(COUNTIF(AE3,"M")))=1,"Loner (5+)","Loner (4+)")</f>
        <v>Loner (4+)</v>
      </c>
      <c r="AF8" s="160" t="str">
        <f>IF(OR(AE3="H",AE3="M"),"Mighty Blow (+2)","")</f>
        <v/>
      </c>
      <c r="AG8" s="160" t="str">
        <f t="shared" ref="AG8:AH8" si="7">""</f>
        <v/>
      </c>
      <c r="AH8" s="160" t="str">
        <f t="shared" si="7"/>
        <v/>
      </c>
      <c r="AI8" s="163">
        <v>70000</v>
      </c>
      <c r="AJ8" s="45"/>
      <c r="AK8" s="16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L8" s="45"/>
      <c r="AM8" s="45"/>
      <c r="AN8" s="45"/>
      <c r="AO8" s="45"/>
      <c r="AP8" s="45"/>
      <c r="AQ8" s="45"/>
      <c r="AR8" s="45"/>
      <c r="AS8" s="45"/>
      <c r="AT8" s="45"/>
      <c r="AU8" s="45"/>
      <c r="AV8" s="70" t="str">
        <f>IF(B3="Stunty Superstar",(IF($K$40="Español","Placaje Defensivo",(IF($K$40="Deutsch","Profi",(IF($K$40="Français","Parade","Shadowing")))))),(IF($J$24="Español","Perseguir",(IF($J$24="Deutsch","Manndeckung",(IF($J$24="Français","Lutte","Pro")))))))</f>
        <v>Shadowing</v>
      </c>
      <c r="AW8" s="12" t="s">
        <v>224</v>
      </c>
      <c r="AX8" s="70" t="str">
        <f>IF($K$40="Español","Pies Firmes",(IF($K$40="Deutsch","Heimtückisch",(IF($K$40="Français","Réception plongeante ","Leap")))))</f>
        <v>Leap</v>
      </c>
      <c r="AY8" s="12" t="s">
        <v>225</v>
      </c>
      <c r="AZ8" s="70" t="str">
        <f>IF($K$40="Español","Pasar",(IF($K$40="Deutsch","Nerven aus Stahl",(IF($K$40="Français","Passe assurée","Leader")))))</f>
        <v>Leader</v>
      </c>
      <c r="BA8" s="12" t="s">
        <v>227</v>
      </c>
      <c r="BB8" s="12" t="str">
        <f>IF($K$40="Español","Golpe Mortífero (+1)",(IF($K$40="Deutsch","Schweres Gerät",(IF($K$40="Français","Esquive en force","Mighty Blow (+1)")))))</f>
        <v>Mighty Blow (+1)</v>
      </c>
      <c r="BC8" s="12" t="s">
        <v>226</v>
      </c>
      <c r="BD8" s="12" t="str">
        <f>IF($K$40="Español","Garra / Garras",(IF($K$40="Deutsch","Monströses Maul",(IF($K$40="Français","Queue préhensile","Iron Hard Skin")))))</f>
        <v>Iron Hard Skin</v>
      </c>
      <c r="BE8" s="12" t="s">
        <v>228</v>
      </c>
    </row>
    <row r="9" spans="1:57" ht="22.5" customHeight="1">
      <c r="A9" s="29" t="str">
        <f>IF($J$40="Italiano","FORZA:",(IF($J$40="Español","FUERZA:",(IF($J$40="Français","FORCE:","STRENGTH:")))))</f>
        <v>STRENGTH:</v>
      </c>
      <c r="B9" s="53"/>
      <c r="C9" s="171">
        <f>IF(B9&lt;&gt;"",(IF(B3="Stunty Superstar",0,(IF(B3="Reliable Ringers",50000,(IF(B3="Mercenaries",0,30000)))))),0)</f>
        <v>0</v>
      </c>
      <c r="D9" s="269"/>
      <c r="E9" s="249"/>
      <c r="F9" s="171" t="str">
        <f>IF($B$3&lt;&gt;"Brutal Blockers",(IF($B$3&lt;&gt;"Bona Fide Big Guy","ILEGAL",(IF(D9&lt;&gt;"",70000,0)))),(IF(D9&lt;&gt;"",70000,0)))</f>
        <v>ILEGAL</v>
      </c>
      <c r="G9" s="269"/>
      <c r="H9" s="249"/>
      <c r="I9" s="171" t="str">
        <f>IF($B$3&lt;&gt;"Brutal Blockers",(IF($B$3&lt;&gt;"Bona Fide Big Guy","ILEGAL",(IF(G9&lt;&gt;"",110000,0)))),(IF(G9&lt;&gt;"",110000,0)))</f>
        <v>ILEGAL</v>
      </c>
      <c r="J9" s="269"/>
      <c r="K9" s="249"/>
      <c r="L9" s="171" t="str">
        <f>IF($B$3&lt;&gt;"Brutal Blockers",(IF($B$3&lt;&gt;"Bona Fide Big Guy","ILEGAL",(IF(J9&lt;&gt;"",150000,0)))),(IF(J9&lt;&gt;"",150000,0)))</f>
        <v>ILEGAL</v>
      </c>
      <c r="M9" s="269"/>
      <c r="N9" s="249"/>
      <c r="O9" s="171" t="str">
        <f>IF($B$3&lt;&gt;"Brutal Blockers",(IF($B$3&lt;&gt;"Bona Fide Big Guy","ILEGAL",(IF(M9&lt;&gt;"",190000,0)))),(IF(M9&lt;&gt;"",190000,0)))</f>
        <v>ILEGAL</v>
      </c>
      <c r="P9" s="269"/>
      <c r="Q9" s="249"/>
      <c r="R9" s="171" t="str">
        <f>IF($B$3&lt;&gt;"Brutal Blockers",(IF($B$3&lt;&gt;"Bona Fide Big Guy","ILEGAL",(IF(P9&lt;&gt;"",230000,0)))),(IF(P9&lt;&gt;"",230000,0)))</f>
        <v>ILEGAL</v>
      </c>
      <c r="S9" s="171">
        <f t="shared" si="5"/>
        <v>0</v>
      </c>
      <c r="T9" s="240"/>
      <c r="U9" s="45"/>
      <c r="V9" s="162" t="str">
        <f t="shared" ref="V9:W9" si="8">IF($B$3="Stunty Superstar",C48,(IF($B$3="Legendary Linemen",F48,(IF($B$3="Brutal Blockers",I48,(IF($B$3="Reliable Ringers",L48,(IF($B$3="Bona Fide Big Guy",O48,"")))))))))</f>
        <v>Pogo Stick</v>
      </c>
      <c r="W9" s="163">
        <f t="shared" si="8"/>
        <v>50000</v>
      </c>
      <c r="X9" s="160"/>
      <c r="Y9" s="162" t="s">
        <v>336</v>
      </c>
      <c r="Z9" s="45">
        <v>6</v>
      </c>
      <c r="AA9" s="45">
        <v>3</v>
      </c>
      <c r="AB9" s="45">
        <v>2</v>
      </c>
      <c r="AC9" s="45">
        <v>3</v>
      </c>
      <c r="AD9" s="45">
        <v>8</v>
      </c>
      <c r="AE9" s="160" t="str">
        <f>IF(((COUNTIF(AE3,"A"))+(COUNTIF(AE3,"B"))+(COUNTIF(AE3,"H"))+(COUNTIF(AE3,"I"))+(COUNTIF(AE3,"M")))=1,"Loner (5+)","Loner (4+)")</f>
        <v>Loner (4+)</v>
      </c>
      <c r="AF9" s="160" t="str">
        <f t="shared" ref="AF9:AH9" si="9">""</f>
        <v/>
      </c>
      <c r="AG9" s="160" t="str">
        <f t="shared" si="9"/>
        <v/>
      </c>
      <c r="AH9" s="160" t="str">
        <f t="shared" si="9"/>
        <v/>
      </c>
      <c r="AI9" s="163">
        <v>70000</v>
      </c>
      <c r="AJ9" s="45"/>
      <c r="AK9" s="45"/>
      <c r="AL9" s="45"/>
      <c r="AM9" s="45"/>
      <c r="AN9" s="45"/>
      <c r="AO9" s="45"/>
      <c r="AP9" s="45"/>
      <c r="AQ9" s="45"/>
      <c r="AR9" s="45"/>
      <c r="AS9" s="45"/>
      <c r="AT9" s="45"/>
      <c r="AU9" s="45"/>
      <c r="AV9" s="70" t="str">
        <f>IF(B3="Stunty Superstar",(IF($K$40="Español","Placar",(IF($K$40="Deutsch","Rasend",(IF($K$40="Français","Poursuite","Strip Ball")))))),(IF($J$24="Español","Placaje Defensivo",(IF($J$24="Deutsch","Profi",(IF($J$24="Français","Parade","Shadowing")))))))</f>
        <v>Strip Ball</v>
      </c>
      <c r="AW9" s="12" t="s">
        <v>224</v>
      </c>
      <c r="AX9" s="70" t="str">
        <f>IF($K$40="Español","Placaje Heroico",(IF($K$40="Deutsch","Sichere Hände",(IF($K$40="Français","Rétablissement","Safe Pair of Hands")))))</f>
        <v>Safe Pair of Hands</v>
      </c>
      <c r="AY9" s="12" t="s">
        <v>225</v>
      </c>
      <c r="AZ9" s="70" t="str">
        <f>IF($K$40="Español","Pase a la Carrera",(IF($K$40="Deutsch","Scheinpatzer",(IF($K$40="Français","Passe dans la course","Nerves of Steel")))))</f>
        <v>Nerves of Steel</v>
      </c>
      <c r="BA9" s="12" t="s">
        <v>227</v>
      </c>
      <c r="BB9" s="12" t="str">
        <f>IF($K$40="Español","Imparable",(IF($K$40="Deutsch","Standfest",(IF($K$40="Français","Garde","Multiple Blocks")))))</f>
        <v>Multiple Blocks</v>
      </c>
      <c r="BC9" s="12" t="s">
        <v>226</v>
      </c>
      <c r="BD9" s="12" t="str">
        <f>IF($K$40="Español","Mano Grande",(IF($K$40="Deutsch","Sehr lange Beine",(IF($K$40="Français","Peau de fer","Monstrous Mouth")))))</f>
        <v>Monstrous Mouth</v>
      </c>
      <c r="BE9" s="12" t="s">
        <v>228</v>
      </c>
    </row>
    <row r="10" spans="1:57" ht="22.5" customHeight="1">
      <c r="A10" s="29" t="str">
        <f>IF($J$40="Italiano","AGILITÀ:",(IF($J$40="Español","AGILIDAD:",(IF($J$40="Deutsch","AGILITÄT:",(IF($J$40="Français","AGILITÉ:","AGILITY:")))))))</f>
        <v>AGILITY:</v>
      </c>
      <c r="B10" s="53"/>
      <c r="C10" s="171">
        <f>IF(B10&lt;&gt;"",(IF(B3="Stunty Superstar",10000,(IF(B3="Brutal Blockers",40000,(IF(OR(B3="Mercenaries",B3="Bona Fide Big Guy"),0,30000)))))),0)</f>
        <v>0</v>
      </c>
      <c r="D10" s="269"/>
      <c r="E10" s="249"/>
      <c r="F10" s="171">
        <f>IF($B$3&lt;&gt;"Stunty Superstar",(IF($B$3&lt;&gt;"Reliable Ringers","ILEGAL",(IF(D10&lt;&gt;"",70000,0)))),(IF(D10&lt;&gt;"",30000,0)))</f>
        <v>0</v>
      </c>
      <c r="G10" s="269"/>
      <c r="H10" s="249"/>
      <c r="I10" s="171">
        <f>IF($B$3&lt;&gt;"Stunty Superstar",(IF($B$3&lt;&gt;"Reliable Ringers","ILEGAL",(IF(G10&lt;&gt;"",110000,0)))),(IF(G10&lt;&gt;"",50000,0)))</f>
        <v>0</v>
      </c>
      <c r="J10" s="269"/>
      <c r="K10" s="249"/>
      <c r="L10" s="171">
        <f>IF($B$3&lt;&gt;"Stunty Superstar",(IF($B$3&lt;&gt;"Reliable Ringers","ILEGAL",(IF(J10&lt;&gt;"",150000,0)))),(IF(J10&lt;&gt;"",70000,0)))</f>
        <v>0</v>
      </c>
      <c r="M10" s="269"/>
      <c r="N10" s="249"/>
      <c r="O10" s="171">
        <f>IF($B$3&lt;&gt;"Stunty Superstar",(IF($B$3&lt;&gt;"Reliable Ringers","ILEGAL",(IF(M10&lt;&gt;"",190000,0)))),(IF(M10&lt;&gt;"",90000,0)))</f>
        <v>0</v>
      </c>
      <c r="P10" s="269"/>
      <c r="Q10" s="249"/>
      <c r="R10" s="171">
        <f>IF($B$3&lt;&gt;"Stunty Superstar",(IF($B$3&lt;&gt;"Reliable Ringers","ILEGAL",(IF(P10&lt;&gt;"",230000,0)))),(IF(P10&lt;&gt;"",110000,0)))</f>
        <v>0</v>
      </c>
      <c r="S10" s="171">
        <f t="shared" si="5"/>
        <v>0</v>
      </c>
      <c r="T10" s="240"/>
      <c r="U10" s="45"/>
      <c r="V10" s="165" t="str">
        <f t="shared" ref="V10:W10" si="10">IF($B$3="Stunty Superstar",C49,(IF($B$3="Legendary Linemen",F49,(IF($B$3="Brutal Blockers",I49,(IF($B$3="Reliable Ringers",L49,(IF($B$3="Bona Fide Big Guy",O49,"")))))))))</f>
        <v>Ball &amp; Chain, Secret Weapon, No Hands, +3ST, -2MA</v>
      </c>
      <c r="W10" s="177">
        <f t="shared" si="10"/>
        <v>70000</v>
      </c>
      <c r="X10" s="160"/>
      <c r="Y10" s="165" t="s">
        <v>337</v>
      </c>
      <c r="Z10" s="176">
        <v>4</v>
      </c>
      <c r="AA10" s="176">
        <v>5</v>
      </c>
      <c r="AB10" s="176">
        <v>4</v>
      </c>
      <c r="AC10" s="176">
        <v>5</v>
      </c>
      <c r="AD10" s="176">
        <v>9</v>
      </c>
      <c r="AE10" s="166" t="str">
        <f>IF(((COUNTIF(AE3,"A"))+(COUNTIF(AE3,"B"))+(COUNTIF(AE3,"H"))+(COUNTIF(AE3,"I"))+(COUNTIF(AE3,"M")))=1,"Loner (5+)","Loner (4+)")</f>
        <v>Loner (4+)</v>
      </c>
      <c r="AF10" s="166" t="str">
        <f>IF(OR(AE3="J",AE3="K",AE3="L",AE3="M",AE3="N"),"","Bone Head")</f>
        <v>Bone Head</v>
      </c>
      <c r="AG10" s="166" t="str">
        <f>IF(OR(AE3="H",AE3="M"),"Mighty Blow (+2)","Mighty Blow (+1)")</f>
        <v>Mighty Blow (+1)</v>
      </c>
      <c r="AH10" s="166" t="str">
        <f>IF(OR(AE3="K",AE3="L"),"","Throw Team Mate")</f>
        <v>Throw Team Mate</v>
      </c>
      <c r="AI10" s="177">
        <v>130000</v>
      </c>
      <c r="AJ10" s="45"/>
      <c r="AK10" s="45"/>
      <c r="AL10" s="45"/>
      <c r="AM10" s="45"/>
      <c r="AN10" s="45"/>
      <c r="AO10" s="45"/>
      <c r="AP10" s="45"/>
      <c r="AQ10" s="45"/>
      <c r="AR10" s="45"/>
      <c r="AS10" s="45"/>
      <c r="AT10" s="45"/>
      <c r="AU10" s="45"/>
      <c r="AV10" s="70" t="str">
        <f>IF(B3="Stunty Superstar",(IF($K$40="Español","Profesional",(IF($K$40="Deutsch","Tackle",(IF($K$40="Français","Prise sûre","Sure Hands")))))),(IF($J$24="Español","Placar",(IF($J$24="Deutsch","Rasend",(IF($J$24="Français","Poursuite","Strip Ball")))))))</f>
        <v>Sure Hands</v>
      </c>
      <c r="AW10" s="12" t="s">
        <v>224</v>
      </c>
      <c r="AX10" s="70" t="str">
        <f>IF($K$40="Español","Proteger el Cuero",(IF($K$40="Deutsch","Springen",(IF($K$40="Français","Saut","Sidestep")))))</f>
        <v>Sidestep</v>
      </c>
      <c r="AY10" s="12" t="s">
        <v>225</v>
      </c>
      <c r="AZ10" s="70" t="str">
        <f>IF($K$40="Español","Pase a lo Loco",(IF($K$40="Deutsch","Sicherer Pass",(IF($K$40="Français","Passe désespérée","On the Ball")))))</f>
        <v>On the Ball</v>
      </c>
      <c r="BA10" s="12" t="s">
        <v>227</v>
      </c>
      <c r="BB10" s="12" t="str">
        <f>IF($K$40="Español","Llave de Brazo",(IF($K$40="Deutsch","Starker Wurfarm",(IF($K$40="Français","Juggernaut","Pile Diver")))))</f>
        <v>Pile Diver</v>
      </c>
      <c r="BC10" s="12" t="s">
        <v>226</v>
      </c>
      <c r="BD10" s="70" t="str">
        <f>IF($K$40="Español","Piel Ferrea",(IF($K$40="Deutsch","Tentakel",(IF($K$40="Français","Présence perturbante","Prehensile Tail")))))</f>
        <v>Prehensile Tail</v>
      </c>
      <c r="BE10" s="12" t="s">
        <v>228</v>
      </c>
    </row>
    <row r="11" spans="1:57" ht="22.5" customHeight="1">
      <c r="A11" s="29" t="str">
        <f>IF($J$40="Español","PASE:",(IF($J$40="Français","PASSER:","PASS:")))</f>
        <v>PASS:</v>
      </c>
      <c r="B11" s="53"/>
      <c r="C11" s="171">
        <f>IF(B11&lt;&gt;"",(IF(B3="Mercenaries",0,(IF(OR(B3="Reliable Ringers",B3="Bona Fide Big Guy"),30000,20000)))),0)</f>
        <v>0</v>
      </c>
      <c r="D11" s="269"/>
      <c r="E11" s="249"/>
      <c r="F11" s="171" t="s">
        <v>338</v>
      </c>
      <c r="G11" s="269"/>
      <c r="H11" s="249"/>
      <c r="I11" s="171" t="s">
        <v>338</v>
      </c>
      <c r="J11" s="269"/>
      <c r="K11" s="249"/>
      <c r="L11" s="171" t="s">
        <v>338</v>
      </c>
      <c r="M11" s="269"/>
      <c r="N11" s="249"/>
      <c r="O11" s="171" t="s">
        <v>338</v>
      </c>
      <c r="P11" s="269"/>
      <c r="Q11" s="249"/>
      <c r="R11" s="171" t="s">
        <v>338</v>
      </c>
      <c r="S11" s="171">
        <f t="shared" si="5"/>
        <v>0</v>
      </c>
      <c r="T11" s="240"/>
      <c r="U11" s="45"/>
      <c r="V11" s="160"/>
      <c r="W11" s="160"/>
      <c r="X11" s="160"/>
      <c r="Y11" s="160"/>
      <c r="Z11" s="160"/>
      <c r="AA11" s="160"/>
      <c r="AB11" s="160"/>
      <c r="AC11" s="160"/>
      <c r="AD11" s="160"/>
      <c r="AE11" s="160"/>
      <c r="AF11" s="160"/>
      <c r="AG11" s="160"/>
      <c r="AH11" s="160"/>
      <c r="AI11" s="160"/>
      <c r="AJ11" s="45"/>
      <c r="AK11" s="45"/>
      <c r="AL11" s="45"/>
      <c r="AM11" s="45"/>
      <c r="AN11" s="45"/>
      <c r="AO11" s="45"/>
      <c r="AP11" s="45"/>
      <c r="AQ11" s="45"/>
      <c r="AR11" s="45"/>
      <c r="AS11" s="45"/>
      <c r="AT11" s="45"/>
      <c r="AU11" s="45"/>
      <c r="AV11" s="70" t="str">
        <f>IF(B3="Stunty Superstar",(IF($K$40="Español","Robar Balón",(IF($K$40="Deutsch","Unerschrocken",(IF($K$40="Français","Pro","Tackle")))))),(IF($J$24="Español","Profesional",(IF($J$24="Deutsch","Tackle",(IF($J$24="Français","Prise sûre","Sure Hands")))))))</f>
        <v>Tackle</v>
      </c>
      <c r="AW11" s="12" t="s">
        <v>224</v>
      </c>
      <c r="AX11" s="70" t="str">
        <f>IF($K$40="Español","Recepción Heroica",(IF($K$40="Deutsch","Sprinten",(IF($K$40="Français","Sprint","Sneaky Git")))))</f>
        <v>Sneaky Git</v>
      </c>
      <c r="AY11" s="12" t="s">
        <v>225</v>
      </c>
      <c r="AZ11" s="70" t="str">
        <f>IF($K$40="Español","Pase Precipitado",(IF($K$40="Deutsch","Teamkapitän",(IF($K$40="Français","Perce-nuage","Pass")))))</f>
        <v>Pass</v>
      </c>
      <c r="BA11" s="12" t="s">
        <v>227</v>
      </c>
      <c r="BB11" s="12" t="str">
        <f>IF($K$40="Español","Luchador",(IF($K$40="Deutsch","Tackle durchbrechen",(IF($K$40="Français","Mateau-pilon","Stand Firm")))))</f>
        <v>Stand Firm</v>
      </c>
      <c r="BC11" s="12" t="s">
        <v>226</v>
      </c>
      <c r="BD11" s="70" t="str">
        <f>IF($K$40="Español","Piernas muy Largas",(IF($K$40="Deutsch","Verstörende Präsenz",(IF($K$40="Français","Répulsion","Tentacles")))))</f>
        <v>Tentacles</v>
      </c>
      <c r="BE11" s="12" t="s">
        <v>228</v>
      </c>
    </row>
    <row r="12" spans="1:57" ht="22.5" customHeight="1">
      <c r="A12" s="8" t="str">
        <f>IF($J$40="Italiano","MUTAZIONE:",(IF($J$40="Español","MUTACIÓN:","MUTATION:")))</f>
        <v>MUTATION:</v>
      </c>
      <c r="B12" s="53"/>
      <c r="C12" s="171" t="str">
        <f>IF(B3="Stunty Superstar","ILEGAL",(IF(B12&lt;&gt;"",(IF(B3="Mercenaries",0,(IF(OR(B3="Brutal Blockers",B3="Bona Fide Big Guy"),40000,IF(B3="Legendary Linemen",30000,(IF(B12="Big Hand",30000,(IF(B12="Extra Arms",20000,(IF(B12="Two Heads",30000,(IF(B12="Very Long Legs",30000,0))))))))))))),0)))</f>
        <v>ILEGAL</v>
      </c>
      <c r="D12" s="269"/>
      <c r="E12" s="249"/>
      <c r="F12" s="171" t="str">
        <f>IF(OR($B$3="Stunty Superstar",$B$3="Brutal Blockers",$B$3="Bona Fide Big Guy",$B$3="Mercenaries"),"ILEGAL",(IF(D12&lt;&gt;"",(IF($B$3="Legendary Linemen",70000,(IF(D12="Big Hand",30000,(IF(D12="Extra Arms",20000,(IF(D12="Two Heads",30000,(IF(D12="Very Long Legs",30000,"ILEGAL")))))))))),0)))</f>
        <v>ILEGAL</v>
      </c>
      <c r="G12" s="269"/>
      <c r="H12" s="249"/>
      <c r="I12" s="171" t="str">
        <f>IF(OR($B$3="Stunty Superstar",$B$3="Brutal Blockers",$B$3="Bona Fide Big Guy",$B$3="Mercenaries"),"ILEGAL",(IF(G12&lt;&gt;"",(IF($B$3="Legendary Linemen",110000,(IF(G12="Big Hand",30000,(IF(G12="Extra Arms",20000,(IF(G12="Two Heads",30000,(IF(G12="Very Long Legs",30000,0)))))))))),0)))</f>
        <v>ILEGAL</v>
      </c>
      <c r="J12" s="269"/>
      <c r="K12" s="249"/>
      <c r="L12" s="171" t="str">
        <f>IF(OR($B$3="Stunty Superstar",$B$3="Brutal Blockers",$B$3="Bona Fide Big Guy",$B$3="Mercenaries"),"ILEGAL",(IF(J12&lt;&gt;"",(IF($B$3="Legendary Linemen",150000,(IF(J12="Big Hand",30000,(IF(J12="Extra Arms",20000,(IF(J12="Two Heads",30000,(IF(J12="Very Long Legs",30000,0)))))))))),0)))</f>
        <v>ILEGAL</v>
      </c>
      <c r="M12" s="269"/>
      <c r="N12" s="249"/>
      <c r="O12" s="171" t="str">
        <f>IF(B3&lt;&gt;"Legendary Linemen","ILEGAL",(IF(M12&lt;&gt;"",190000,0)))</f>
        <v>ILEGAL</v>
      </c>
      <c r="P12" s="269"/>
      <c r="Q12" s="249"/>
      <c r="R12" s="171" t="str">
        <f>IF(B3&lt;&gt;"Legendary Linemen","ILEGAL",(IF(P12&lt;&gt;"",230000,0)))</f>
        <v>ILEGAL</v>
      </c>
      <c r="S12" s="171">
        <f t="shared" si="5"/>
        <v>0</v>
      </c>
      <c r="T12" s="240"/>
      <c r="U12" s="45"/>
      <c r="V12" s="38" t="s">
        <v>333</v>
      </c>
      <c r="W12" s="178">
        <f>SUM(Y12:AI12)</f>
        <v>0</v>
      </c>
      <c r="X12" s="178"/>
      <c r="Y12" s="178">
        <f>IF(K6="ILEGAL",0,K6)</f>
        <v>0</v>
      </c>
      <c r="Z12" s="178">
        <f>IF(M6="ILEGAL",0,M6)</f>
        <v>0</v>
      </c>
      <c r="AA12" s="178">
        <f>IF(O6="ILEGAL",0,O6)</f>
        <v>0</v>
      </c>
      <c r="AB12" s="178">
        <f>IF(Q6="ILEGAL",0,Q6)</f>
        <v>0</v>
      </c>
      <c r="AC12" s="178">
        <f>IF(S6="ILEGAL",0,S6)</f>
        <v>0</v>
      </c>
      <c r="AD12" s="178">
        <f>I6</f>
        <v>0</v>
      </c>
      <c r="AE12" s="178">
        <f>S8</f>
        <v>0</v>
      </c>
      <c r="AF12" s="178">
        <f>S9</f>
        <v>0</v>
      </c>
      <c r="AG12" s="178">
        <f>S10</f>
        <v>0</v>
      </c>
      <c r="AH12" s="178">
        <f>S11</f>
        <v>0</v>
      </c>
      <c r="AI12" s="56">
        <f>S12</f>
        <v>0</v>
      </c>
      <c r="AJ12" s="45"/>
      <c r="AK12" s="45"/>
      <c r="AL12" s="45"/>
      <c r="AM12" s="45"/>
      <c r="AN12" s="45"/>
      <c r="AO12" s="45"/>
      <c r="AP12" s="45"/>
      <c r="AQ12" s="45"/>
      <c r="AR12" s="45"/>
      <c r="AS12" s="45"/>
      <c r="AT12" s="45"/>
      <c r="AU12" s="45"/>
      <c r="AV12" s="70" t="str">
        <f>IF(B3="Stunty Superstar",(IF($K$40="Español","Zafarse",(IF($K$40="Deutsch","Wrestling",(IF($K$40="Français","Tacle","Wrestle")))))),(IF($J$24="Español","Robar Balón",(IF($J$24="Deutsch","Unerschrocken",(IF($J$24="Français","Pro","Tackle")))))))</f>
        <v>Wrestle</v>
      </c>
      <c r="AW12" s="12" t="s">
        <v>224</v>
      </c>
      <c r="AX12" s="70" t="str">
        <f>IF($K$40="Español","Romper Defensas",(IF($K$40="Deutsch","Sprintensicher",(IF($K$40="Français","Sournois","Sprint")))))</f>
        <v>Sprint</v>
      </c>
      <c r="AY12" s="12" t="s">
        <v>225</v>
      </c>
      <c r="AZ12" s="70" t="str">
        <f>IF($K$40="Español","Pase Seguro",(IF($K$40="Deutsch","Wurfsicher",(IF($K$40="Français","Précision","Running Pass")))))</f>
        <v>Running Pass</v>
      </c>
      <c r="BA12" s="12" t="s">
        <v>227</v>
      </c>
      <c r="BB12" s="12" t="str">
        <f>IF($K$40="Español","Mantenerse Firme",(IF($K$40="Deutsch","Robust",(IF($K$40="Français","Projection","Strong Arm")))))</f>
        <v>Strong Arm</v>
      </c>
      <c r="BC12" s="12" t="s">
        <v>226</v>
      </c>
      <c r="BD12" s="70" t="str">
        <f>IF($K$40="Español","Presencia Perturbadora",(IF($K$40="Deutsch","Zwei Köpfe",(IF($K$40="Français","Tentacule","Two Heads")))))</f>
        <v>Two Heads</v>
      </c>
      <c r="BE12" s="12" t="s">
        <v>228</v>
      </c>
    </row>
    <row r="13" spans="1:57" ht="15" customHeight="1">
      <c r="A13" s="179"/>
      <c r="B13" s="180"/>
      <c r="C13" s="180"/>
      <c r="D13" s="180"/>
      <c r="E13" s="180"/>
      <c r="F13" s="180"/>
      <c r="G13" s="180"/>
      <c r="H13" s="180"/>
      <c r="I13" s="180"/>
      <c r="J13" s="180"/>
      <c r="K13" s="180"/>
      <c r="L13" s="180"/>
      <c r="M13" s="180"/>
      <c r="N13" s="180"/>
      <c r="O13" s="180"/>
      <c r="P13" s="180"/>
      <c r="Q13" s="180"/>
      <c r="R13" s="180"/>
      <c r="S13" s="180"/>
      <c r="T13" s="240"/>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70" t="str">
        <f>IF(B3="Stunty Superstar","",(IF($J$24="Español","Zafarse",(IF($J$24="Deutsch","Wrestling",(IF($J$24="Français","Tacle","Wrestle")))))))</f>
        <v/>
      </c>
      <c r="AW13" s="12" t="s">
        <v>224</v>
      </c>
      <c r="AX13" s="70" t="str">
        <f>IF($K$40="Español","Saltar",(IF($K$40="Deutsch","Wehrhaft",(IF($K$40="Français","Tacle plongeant ","Sure Feet")))))</f>
        <v>Sure Feet</v>
      </c>
      <c r="AY13" s="12" t="s">
        <v>225</v>
      </c>
      <c r="AZ13" s="70" t="str">
        <f>IF($K$40="Español","Precisión",(IF($K$40="Deutsch","Zielsicher",(IF($K$40="Français","Sur le ballon","Safe Pass")))))</f>
        <v>Safe Pass</v>
      </c>
      <c r="BA13" s="12" t="s">
        <v>227</v>
      </c>
      <c r="BB13" s="12" t="str">
        <f>IF($K$40="Español","Placaje Múltiple",(IF($K$40="Deutsch","Unterstützen",(IF($K$40="Français","Stabilité","Thick Skull")))))</f>
        <v>Thick Skull</v>
      </c>
      <c r="BC13" s="12" t="s">
        <v>226</v>
      </c>
      <c r="BD13" s="70" t="str">
        <f>IF($K$40="Español","Tentáculos",(IF($K$40="Deutsch","Zusätzliche Arme",(IF($K$40="Français","Très longues jambes","Very Long Legs")))))</f>
        <v>Very Long Legs</v>
      </c>
      <c r="BE13" s="12" t="s">
        <v>228</v>
      </c>
    </row>
    <row r="14" spans="1:57" ht="21.75" customHeight="1">
      <c r="A14" s="304" t="str">
        <f>IF(Roster!$J$25="Italiano","MERCENARIO 2",(IF(Roster!$J$25="Español","MERCENARIO 2",(IF(Roster!$J$25="Français","MERCENAIRE 2","MERCENARY 2")))))</f>
        <v>MERCENARIO 2</v>
      </c>
      <c r="B14" s="252"/>
      <c r="C14" s="252"/>
      <c r="D14" s="252"/>
      <c r="E14" s="252"/>
      <c r="F14" s="252"/>
      <c r="G14" s="252"/>
      <c r="H14" s="252"/>
      <c r="I14" s="252"/>
      <c r="J14" s="252"/>
      <c r="K14" s="252"/>
      <c r="L14" s="252"/>
      <c r="M14" s="252"/>
      <c r="N14" s="252"/>
      <c r="O14" s="252"/>
      <c r="P14" s="252"/>
      <c r="Q14" s="252"/>
      <c r="R14" s="252"/>
      <c r="S14" s="253"/>
      <c r="T14" s="240"/>
      <c r="U14" s="2"/>
      <c r="V14" s="2"/>
      <c r="W14" s="157"/>
      <c r="X14" s="157"/>
      <c r="Y14" s="157"/>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MERCENARIO 2</v>
      </c>
      <c r="B15" s="8" t="str">
        <f>IF(Roster!$J$25="Italiano","TIPO",(IF(Roster!$J$25="Español","TIPO",(IF(Roster!$J$25="Deutsch","POSITION",(IF(Roster!$J$25="Français","POSTE","TYPE")))))))</f>
        <v>TIPO</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275" t="str">
        <f>IF(Roster!$J$25="Italiano","ABILITÀ",(IF(Roster!$J$25="Español","HABILIDADES",(IF(Roster!$J$25="Deutsch","FERTIGKEITEN",(IF(Roster!$J$25="Français","COMPÉTENCES","SKILLS")))))))</f>
        <v>ABILITÀ</v>
      </c>
      <c r="I15" s="248"/>
      <c r="J15" s="248"/>
      <c r="K15" s="248"/>
      <c r="L15" s="248"/>
      <c r="M15" s="248"/>
      <c r="N15" s="248"/>
      <c r="O15" s="248"/>
      <c r="P15" s="248"/>
      <c r="Q15" s="248"/>
      <c r="R15" s="249"/>
      <c r="S15" s="8" t="str">
        <f>IF(Roster!$J$25="Italiano","COSTO",(IF(Roster!$J$25="Español","PRECIO",(IF(Roster!$J$25="Deutsch","WERT",(IF(Roster!$J$25="Français","VALEUR","COST")))))))</f>
        <v>COSTO</v>
      </c>
      <c r="T15" s="240"/>
      <c r="U15" s="45"/>
      <c r="V15" s="158" t="s">
        <v>322</v>
      </c>
      <c r="W15" s="159" t="s">
        <v>234</v>
      </c>
      <c r="X15" s="160"/>
      <c r="Y15" s="158" t="s">
        <v>323</v>
      </c>
      <c r="Z15" s="161"/>
      <c r="AA15" s="161"/>
      <c r="AB15" s="159"/>
      <c r="AC15" s="160"/>
      <c r="AD15" s="160"/>
      <c r="AE15" s="160"/>
      <c r="AF15" s="158" t="s">
        <v>324</v>
      </c>
      <c r="AG15" s="161"/>
      <c r="AH15" s="161"/>
      <c r="AI15" s="159"/>
      <c r="AJ15" s="45"/>
      <c r="AK15" s="350" t="s">
        <v>325</v>
      </c>
      <c r="AL15" s="284"/>
      <c r="AM15" s="284"/>
      <c r="AN15" s="284"/>
      <c r="AO15" s="285"/>
      <c r="AP15" s="350" t="s">
        <v>326</v>
      </c>
      <c r="AQ15" s="284"/>
      <c r="AR15" s="284"/>
      <c r="AS15" s="284"/>
      <c r="AT15" s="285"/>
      <c r="AU15" s="45"/>
      <c r="AV15" s="12"/>
      <c r="AW15" s="45"/>
      <c r="AX15" s="45"/>
      <c r="AY15" s="45"/>
      <c r="AZ15" s="45"/>
      <c r="BA15" s="45"/>
      <c r="BB15" s="45"/>
      <c r="BC15" s="45"/>
      <c r="BD15" s="45"/>
      <c r="BE15" s="45"/>
    </row>
    <row r="16" spans="1:57" ht="30" customHeight="1">
      <c r="A16" s="53"/>
      <c r="B16" s="53" t="s">
        <v>329</v>
      </c>
      <c r="C16" s="53" t="str">
        <f>IF((VLOOKUP(B16,Y18:AD23,2,FALSE))+J19+(IF(AE16="G",-2,0))+(IF(OR(AE16="O",AE16="N"),-1,0))=0,"",(VLOOKUP(B16,Y18:AD23,2,FALSE))+J19+(IF(AE16="G",-2,0))+(IF(OR(AE16="O",AE16="N"),-1,0)))</f>
        <v/>
      </c>
      <c r="D16" s="53" t="str">
        <f>IF((VLOOKUP(B16,Y18:AD23,3,FALSE))+L19+(IF(AE16="G",3,0))+(IF(OR(AE16="O",AE16="N"),2,0))=0,"",(VLOOKUP(B16,Y18:AD23,3,FALSE))+L19+(IF(AE16="G",3,0))+(IF(OR(AE16="O",AE16="N"),2,0)))</f>
        <v/>
      </c>
      <c r="E16" s="53" t="str">
        <f>IF((VLOOKUP(B16,Y18:AD23,4,FALSE)+N19+(IF(AE16="J",1,0)))=0,"",(VLOOKUP(B16,Y18:AD23,4,FALSE)+N19+(IF(AE16="J",1,0))&amp;"+"))</f>
        <v/>
      </c>
      <c r="F16" s="53" t="str">
        <f>IF((VLOOKUP(B16,Y18:AD23,5,FALSE)+P19)=0,"",(VLOOKUP(B16,Y18:AD23,5,FALSE)+P19&amp;"+"))</f>
        <v/>
      </c>
      <c r="G16" s="53" t="str">
        <f>IF((VLOOKUP(B16,Y18:AD23,6,FALSE)+R19)=0,"",(VLOOKUP(B16,Y18:AD23,6,FALSE)+R19&amp;"+"))</f>
        <v/>
      </c>
      <c r="H16" s="247" t="str">
        <f>Y16&amp;(IF(Z16&lt;&gt;"",", ",""))&amp;Z16&amp;(IF(AA16&lt;&gt;"",", ",""))&amp;AA16&amp;(IF(AB16&lt;&gt;"",", ",""))&amp;AB16&amp;(IF(AF16&lt;&gt;"",", ",""))&amp;AF16&amp;(IF(AG16&lt;&gt;"",", ",""))&amp;AG16&amp;(IF(AH16&lt;&gt;"",", ",""))&amp;AH16&amp;(IF(AI16&lt;&gt;"",", ",""))&amp;AI16&amp;AK21</f>
        <v/>
      </c>
      <c r="I16" s="248"/>
      <c r="J16" s="248"/>
      <c r="K16" s="248"/>
      <c r="L16" s="248"/>
      <c r="M16" s="248"/>
      <c r="N16" s="248"/>
      <c r="O16" s="248"/>
      <c r="P16" s="248"/>
      <c r="Q16" s="248"/>
      <c r="R16" s="249"/>
      <c r="S16" s="53">
        <f>(VLOOKUP(B16,Y18:AI23,11,FALSE))+W25</f>
        <v>0</v>
      </c>
      <c r="T16" s="240"/>
      <c r="U16" s="45"/>
      <c r="V16" s="162"/>
      <c r="W16" s="163">
        <v>0</v>
      </c>
      <c r="X16" s="164"/>
      <c r="Y16" s="165" t="str">
        <f>VLOOKUP(B16,Y18:AH23,7,FALSE)</f>
        <v/>
      </c>
      <c r="Z16" s="166" t="str">
        <f>VLOOKUP(B16,Y18:AH23,8,FALSE)</f>
        <v/>
      </c>
      <c r="AA16" s="166" t="str">
        <f>VLOOKUP(B16,Y18:AH23,9,FALSE)</f>
        <v/>
      </c>
      <c r="AB16" s="167" t="str">
        <f>VLOOKUP(B16,Y18:AH23,10,FALSE)</f>
        <v/>
      </c>
      <c r="AC16" s="160"/>
      <c r="AD16" s="160"/>
      <c r="AE16" s="160" t="str">
        <f>IFERROR((VLOOKUP(A19,R41:W55,2,FALSE)),"")</f>
        <v/>
      </c>
      <c r="AF16" s="165" t="str">
        <f>IFERROR((VLOOKUP(A19,R41:W55,3,FALSE)),"")</f>
        <v/>
      </c>
      <c r="AG16" s="166" t="str">
        <f>IFERROR((VLOOKUP(A19,R41:W55,4,FALSE)),"")</f>
        <v/>
      </c>
      <c r="AH16" s="166" t="str">
        <f>IFERROR((VLOOKUP(A19,R41:W55,5,FALSE)),"")</f>
        <v/>
      </c>
      <c r="AI16" s="167" t="str">
        <f>IFERROR((VLOOKUP(A19,R41:W55,6,FALSE)),"")</f>
        <v/>
      </c>
      <c r="AJ16" s="45"/>
      <c r="AK16" s="168">
        <v>0</v>
      </c>
      <c r="AL16" s="45">
        <v>0</v>
      </c>
      <c r="AM16" s="45">
        <v>0</v>
      </c>
      <c r="AN16" s="45">
        <v>0</v>
      </c>
      <c r="AO16" s="163">
        <v>0</v>
      </c>
      <c r="AP16" s="168">
        <v>0</v>
      </c>
      <c r="AQ16" s="45">
        <v>0</v>
      </c>
      <c r="AR16" s="45">
        <v>0</v>
      </c>
      <c r="AS16" s="45">
        <v>0</v>
      </c>
      <c r="AT16" s="163">
        <v>0</v>
      </c>
      <c r="AU16" s="45"/>
      <c r="AV16" s="75"/>
      <c r="AW16" s="45"/>
      <c r="AX16" s="45"/>
      <c r="AY16" s="45"/>
      <c r="AZ16" s="45"/>
      <c r="BA16" s="45"/>
      <c r="BB16" s="45"/>
      <c r="BC16" s="45"/>
      <c r="BD16" s="45"/>
      <c r="BE16" s="45"/>
    </row>
    <row r="17" spans="1:57" ht="22.5" customHeight="1">
      <c r="A17" s="351" t="str">
        <f>IF(AR3="Italiano","AVANZAMIENTO GIOCATORI",(IF(AR3="Español","MEJORAS DEL JUGADORE",(IF(AR3="Deutsch","SPIELERVERBESSERUNGEN",(IF(AR3="Français","AMÉLIORATIONS DE JOUEUR","PLAYER UPGRADES")))))))</f>
        <v>PLAYER UPGRADES</v>
      </c>
      <c r="B17" s="248"/>
      <c r="C17" s="248"/>
      <c r="D17" s="248"/>
      <c r="E17" s="248"/>
      <c r="F17" s="248"/>
      <c r="G17" s="248"/>
      <c r="H17" s="248"/>
      <c r="I17" s="248"/>
      <c r="J17" s="248"/>
      <c r="K17" s="248"/>
      <c r="L17" s="248"/>
      <c r="M17" s="248"/>
      <c r="N17" s="248"/>
      <c r="O17" s="248"/>
      <c r="P17" s="248"/>
      <c r="Q17" s="248"/>
      <c r="R17" s="248"/>
      <c r="S17" s="263"/>
      <c r="T17" s="240"/>
      <c r="U17" s="45"/>
      <c r="V17" s="162" t="str">
        <f t="shared" ref="V17:W17" si="11">IF($B$16="Stunty Superstar",C43,(IF($B$16="Legendary Linemen",F43,(IF($B$16="Brutal Blockers",I43,(IF($B$16="Reliable Ringers",L43,(IF($B$16="Bona Fide Big Guy",O43,"")))))))))</f>
        <v/>
      </c>
      <c r="W17" s="163" t="str">
        <f t="shared" si="11"/>
        <v/>
      </c>
      <c r="X17" s="160"/>
      <c r="Y17" s="160"/>
      <c r="Z17" s="160"/>
      <c r="AA17" s="160"/>
      <c r="AB17" s="160"/>
      <c r="AC17" s="160"/>
      <c r="AD17" s="160"/>
      <c r="AE17" s="160"/>
      <c r="AF17" s="160"/>
      <c r="AG17" s="160"/>
      <c r="AH17" s="160"/>
      <c r="AI17" s="160"/>
      <c r="AJ17" s="45"/>
      <c r="AK17" s="168">
        <v>1</v>
      </c>
      <c r="AL17" s="45">
        <v>0</v>
      </c>
      <c r="AM17" s="45">
        <f>IF(B16="Legendary Linemen",0,-1)</f>
        <v>-1</v>
      </c>
      <c r="AN17" s="45">
        <f>IF(B16="Brutal Blockers",0,-1)</f>
        <v>-1</v>
      </c>
      <c r="AO17" s="163">
        <v>1</v>
      </c>
      <c r="AP17" s="168">
        <f>IF(OR(B16="Legendary Linemen",B16="Bona Fide Big Guy"),20000,30000)</f>
        <v>30000</v>
      </c>
      <c r="AQ17" s="45">
        <v>0</v>
      </c>
      <c r="AR17" s="45">
        <f>IF(OR(B16="Stunty Superstar",B16="Bona Fide Big Guy"),40000,(IF(B16="Legendary Linemen",0,50000)))</f>
        <v>50000</v>
      </c>
      <c r="AS17" s="45">
        <f>IF(B16="Brutal Blockers",0,30000)</f>
        <v>30000</v>
      </c>
      <c r="AT17" s="163">
        <f>IF(B16="Stunty Superstar",30000,(IF(B16="Reliable Ringers",40000,20000)))</f>
        <v>20000</v>
      </c>
      <c r="AU17" s="45"/>
      <c r="AV17" s="75"/>
      <c r="AW17" s="45"/>
      <c r="AX17" s="45"/>
      <c r="AY17" s="45"/>
      <c r="AZ17" s="45"/>
      <c r="BA17" s="45"/>
      <c r="BB17" s="45"/>
      <c r="BC17" s="45"/>
      <c r="BD17" s="45"/>
      <c r="BE17" s="45"/>
    </row>
    <row r="18" spans="1:57" ht="22.5" customHeight="1">
      <c r="A18" s="275" t="s">
        <v>328</v>
      </c>
      <c r="B18" s="248"/>
      <c r="C18" s="248"/>
      <c r="D18" s="248"/>
      <c r="E18" s="248"/>
      <c r="F18" s="248"/>
      <c r="G18" s="248"/>
      <c r="H18" s="249"/>
      <c r="I18" s="8" t="str">
        <f>IF(Roster!$J$25="Italiano","COSTO",(IF(Roster!$J$25="Español","PRECIO",(IF(Roster!$J$25="Deutsch","WERT",(IF(Roster!$J$25="Français","VALEUR","COST")))))))</f>
        <v>COSTO</v>
      </c>
      <c r="J18" s="8" t="str">
        <f>IF(Roster!$J$25="Español","MO",(IF(Roster!$J$25="Deutsch","BE",(IF(Roster!$J$25="Français","M","MA")))))</f>
        <v>MA</v>
      </c>
      <c r="K18" s="8" t="str">
        <f>IF(Roster!$J$25="Italiano","COSTO",(IF(Roster!$J$25="Español","PRECIO",(IF(Roster!$J$25="Deutsch","WERT",(IF(Roster!$J$25="Français","VALEUR","COST")))))))</f>
        <v>COSTO</v>
      </c>
      <c r="L18" s="8" t="str">
        <f>IF(Roster!$J$25="Español","FU",(IF(Roster!$J$25="Français","F","ST")))</f>
        <v>ST</v>
      </c>
      <c r="M18" s="8" t="str">
        <f>IF(Roster!$J$25="Italiano","COSTO",(IF(Roster!$J$25="Español","PRECIO",(IF(Roster!$J$25="Deutsch","WERT",(IF(Roster!$J$25="Français","VALEUR","COST")))))))</f>
        <v>COSTO</v>
      </c>
      <c r="N18" s="8" t="str">
        <f>IF(Roster!$J$25="Deutsch","GE","AG")</f>
        <v>AG</v>
      </c>
      <c r="O18" s="8" t="str">
        <f>IF(Roster!$J$25="Italiano","COSTO",(IF(Roster!$J$25="Español","PRECIO",(IF(Roster!$J$25="Deutsch","WERT",(IF(Roster!$J$25="Français","VALEUR","COST")))))))</f>
        <v>COSTO</v>
      </c>
      <c r="P18" s="8" t="str">
        <f>IF(Roster!$J$25="Deutsch","WG",(IF(Roster!$J$25="Français","CP","PA")))</f>
        <v>PA</v>
      </c>
      <c r="Q18" s="8" t="str">
        <f>IF(Roster!$J$25="Italiano","COSTO",(IF(Roster!$J$25="Español","PRECIO",(IF(Roster!$J$25="Deutsch","WERT",(IF(Roster!$J$25="Français","VALEUR","COST")))))))</f>
        <v>COSTO</v>
      </c>
      <c r="R18" s="8" t="str">
        <f>IF(Roster!$J$25="Español","AR",(IF(Roster!$J$25="Deutsch","RW",(IF(Roster!$J$25="Français","AR","AV")))))</f>
        <v>AV</v>
      </c>
      <c r="S18" s="8" t="str">
        <f>IF(Roster!$J$25="Italiano","COSTO",(IF(Roster!$J$25="Español","PRECIO",(IF(Roster!$J$25="Deutsch","WERT",(IF(Roster!$J$25="Français","VALEUR","COST")))))))</f>
        <v>COSTO</v>
      </c>
      <c r="T18" s="240"/>
      <c r="U18" s="181"/>
      <c r="V18" s="162" t="str">
        <f t="shared" ref="V18:W18" si="12">IF($B$16="Stunty Superstar",C44,(IF($B$16="Legendary Linemen",F44,(IF($B$16="Brutal Blockers",I44,(IF($B$16="Reliable Ringers",L44,(IF($B$16="Bona Fide Big Guy",O44,"")))))))))</f>
        <v/>
      </c>
      <c r="W18" s="163" t="str">
        <f t="shared" si="12"/>
        <v/>
      </c>
      <c r="X18" s="160"/>
      <c r="Y18" s="158" t="s">
        <v>329</v>
      </c>
      <c r="Z18" s="169">
        <v>0</v>
      </c>
      <c r="AA18" s="169">
        <v>0</v>
      </c>
      <c r="AB18" s="169">
        <v>0</v>
      </c>
      <c r="AC18" s="169">
        <v>0</v>
      </c>
      <c r="AD18" s="169">
        <v>0</v>
      </c>
      <c r="AE18" s="161" t="str">
        <f t="shared" ref="AE18:AH18" si="13">""</f>
        <v/>
      </c>
      <c r="AF18" s="161" t="str">
        <f t="shared" si="13"/>
        <v/>
      </c>
      <c r="AG18" s="161" t="str">
        <f t="shared" si="13"/>
        <v/>
      </c>
      <c r="AH18" s="161" t="str">
        <f t="shared" si="13"/>
        <v/>
      </c>
      <c r="AI18" s="170">
        <v>0</v>
      </c>
      <c r="AJ18" s="45"/>
      <c r="AK18" s="168">
        <v>2</v>
      </c>
      <c r="AL18" s="45">
        <v>0</v>
      </c>
      <c r="AM18" s="45">
        <f>IF(B16="Legendary Linemen",0,-2)</f>
        <v>-2</v>
      </c>
      <c r="AN18" s="45">
        <f>IF(B16="Brutal Blockers",0,-2)</f>
        <v>-2</v>
      </c>
      <c r="AO18" s="163">
        <v>2</v>
      </c>
      <c r="AP18" s="168">
        <f>IF(OR(B16="Stunty Superstar",B16="Reliable Ringers"),48000,(IF(B16="Legendary Linemen",40000,50000)))</f>
        <v>50000</v>
      </c>
      <c r="AQ18" s="45">
        <v>0</v>
      </c>
      <c r="AR18" s="45">
        <f>IF(OR(B16="Stunty Superstar",B16="Bona Fide Big Guy"),80000,(IF(B16="Legendary Linemen",0,100000)))</f>
        <v>100000</v>
      </c>
      <c r="AS18" s="45">
        <f>IF(B16="Brutal Blockers",0,70000)</f>
        <v>70000</v>
      </c>
      <c r="AT18" s="163">
        <f>IF(B16="Stunty Superstar",48000,(IF(B16="Reliable Ringers",80000,40000)))</f>
        <v>40000</v>
      </c>
      <c r="AU18" s="45"/>
      <c r="AV18" s="75"/>
      <c r="AW18" s="45"/>
      <c r="AX18" s="45"/>
      <c r="AY18" s="45"/>
      <c r="AZ18" s="45"/>
      <c r="BA18" s="45"/>
      <c r="BB18" s="45"/>
      <c r="BC18" s="45"/>
      <c r="BD18" s="45"/>
      <c r="BE18" s="45"/>
    </row>
    <row r="19" spans="1:57" ht="22.5" customHeight="1">
      <c r="A19" s="247"/>
      <c r="B19" s="248"/>
      <c r="C19" s="248"/>
      <c r="D19" s="248"/>
      <c r="E19" s="248"/>
      <c r="F19" s="248"/>
      <c r="G19" s="248"/>
      <c r="H19" s="249"/>
      <c r="I19" s="171">
        <f>IFERROR((VLOOKUP(A19,V17:W23,2,FALSE)),0)</f>
        <v>0</v>
      </c>
      <c r="J19" s="53">
        <v>0</v>
      </c>
      <c r="K19" s="171">
        <f>IFERROR((VLOOKUP(J19,AK16:AT20,6,FALSE)),"ILEGAL")</f>
        <v>0</v>
      </c>
      <c r="L19" s="53">
        <v>0</v>
      </c>
      <c r="M19" s="171">
        <f>IFERROR((VLOOKUP(L19,AL16:AT20,6,FALSE)),"ILEGAL")</f>
        <v>0</v>
      </c>
      <c r="N19" s="53">
        <v>0</v>
      </c>
      <c r="O19" s="171">
        <f>IFERROR((VLOOKUP(N19,AM16:AT20,6,FALSE)),"ILEGAL")</f>
        <v>0</v>
      </c>
      <c r="P19" s="53">
        <v>0</v>
      </c>
      <c r="Q19" s="171">
        <f>IFERROR((VLOOKUP(P19,AN16:AT20,6,FALSE)),"ILEGAL")</f>
        <v>0</v>
      </c>
      <c r="R19" s="53">
        <v>0</v>
      </c>
      <c r="S19" s="171">
        <f>IFERROR((VLOOKUP(R19,AO16:AT20,6,FALSE)),"ILEGAL")</f>
        <v>0</v>
      </c>
      <c r="T19" s="240"/>
      <c r="U19" s="45"/>
      <c r="V19" s="162" t="str">
        <f t="shared" ref="V19:W19" si="14">IF($B$16="Stunty Superstar",C45,(IF($B$16="Legendary Linemen",F45,(IF($B$16="Brutal Blockers",I45,(IF($B$16="Reliable Ringers",L45,(IF($B$16="Bona Fide Big Guy",O45,"")))))))))</f>
        <v/>
      </c>
      <c r="W19" s="163" t="str">
        <f t="shared" si="14"/>
        <v/>
      </c>
      <c r="X19" s="160"/>
      <c r="Y19" s="162" t="s">
        <v>327</v>
      </c>
      <c r="Z19" s="45">
        <v>5</v>
      </c>
      <c r="AA19" s="45">
        <v>2</v>
      </c>
      <c r="AB19" s="45">
        <v>3</v>
      </c>
      <c r="AC19" s="45">
        <v>4</v>
      </c>
      <c r="AD19" s="45">
        <v>6</v>
      </c>
      <c r="AE19" s="160" t="str">
        <f>IF(((COUNTIF(AE16,"A"))+(COUNTIF(AE16,"B"))+(COUNTIF(AE16,"H"))+(COUNTIF(AE16,"I"))+(COUNTIF(AE16,"M")))=1,"Loner (5+)","Loner (4+)")</f>
        <v>Loner (4+)</v>
      </c>
      <c r="AF19" s="160" t="s">
        <v>330</v>
      </c>
      <c r="AG19" s="160" t="s">
        <v>331</v>
      </c>
      <c r="AH19" s="160" t="s">
        <v>332</v>
      </c>
      <c r="AI19" s="163">
        <v>30000</v>
      </c>
      <c r="AJ19" s="45"/>
      <c r="AK19" s="168">
        <v>-1</v>
      </c>
      <c r="AL19" s="45">
        <v>-1</v>
      </c>
      <c r="AM19" s="45">
        <v>1</v>
      </c>
      <c r="AN19" s="45">
        <v>1</v>
      </c>
      <c r="AO19" s="163">
        <v>-1</v>
      </c>
      <c r="AP19" s="168">
        <v>-10000</v>
      </c>
      <c r="AQ19" s="45">
        <v>-10000</v>
      </c>
      <c r="AR19" s="45">
        <v>-10000</v>
      </c>
      <c r="AS19" s="45">
        <v>-10000</v>
      </c>
      <c r="AT19" s="163">
        <v>-10000</v>
      </c>
      <c r="AU19" s="45"/>
      <c r="AV19" s="75"/>
      <c r="AW19" s="45"/>
      <c r="AX19" s="45"/>
      <c r="AY19" s="45"/>
      <c r="AZ19" s="45"/>
      <c r="BA19" s="45"/>
      <c r="BB19" s="45"/>
      <c r="BC19" s="45"/>
      <c r="BD19" s="45"/>
      <c r="BE19" s="45"/>
    </row>
    <row r="20" spans="1:57" ht="22.5" customHeight="1">
      <c r="A20" s="172" t="str">
        <f>IF(Roster!$J$25="Italiano","TIPO",(IF(Roster!$J$25="Español","TIPO",(IF(Roster!$J$25="Deutsch","POSITION",(IF(Roster!$J$25="Français","POSTE","TYPE")))))))</f>
        <v>TIPO</v>
      </c>
      <c r="B20" s="173" t="str">
        <f>IF($J$40="Italiano","AVANZAMENTO 1",(IF($J$40="Español","MEJORA 1",(IF($J$40="Deutsch","VERBES-SERUNG 1",(IF($J$40="Français","AMÉLIORATION 1","UPGRADE 1")))))))</f>
        <v>UPGRADE 1</v>
      </c>
      <c r="C20" s="174" t="str">
        <f>IF(Roster!$J$25="Italiano","COSTO",(IF(Roster!$J$25="Español","PRECIO",(IF(Roster!$J$25="Deutsch","WERT",(IF(Roster!$J$25="Français","VALEUR","COST")))))))</f>
        <v>COSTO</v>
      </c>
      <c r="D20" s="291" t="str">
        <f>IF($J$40="Italiano","AVANZAMENTO 2",(IF($J$40="Español","MEJORA 2",(IF($J$40="Deutsch","VERBES-SERUNG 2",(IF($J$40="Français","AMÉLIORATION 2","UPGRADE 2")))))))</f>
        <v>UPGRADE 2</v>
      </c>
      <c r="E20" s="249"/>
      <c r="F20" s="174" t="str">
        <f>IF(Roster!$J$25="Italiano","COSTO",(IF(Roster!$J$25="Español","PRECIO",(IF(Roster!$J$25="Deutsch","WERT",(IF(Roster!$J$25="Français","VALEUR","COST")))))))</f>
        <v>COSTO</v>
      </c>
      <c r="G20" s="291" t="str">
        <f>IF($J$40="Italiano","AVANZAMENTO 3",(IF($J$40="Español","MEJORA 3",(IF($J$40="Deutsch","VERBES-SERUNG 3",(IF($J$40="Français","AMÉLIORATION 3","UPGRADE 3")))))))</f>
        <v>UPGRADE 3</v>
      </c>
      <c r="H20" s="249"/>
      <c r="I20" s="8" t="str">
        <f>IF(Roster!$J$25="Italiano","COSTO",(IF(Roster!$J$25="Español","PRECIO",(IF(Roster!$J$25="Deutsch","WERT",(IF(Roster!$J$25="Français","VALEUR","COST")))))))</f>
        <v>COSTO</v>
      </c>
      <c r="J20" s="291" t="str">
        <f>IF($J$40="Italiano","AVANZAMENTO 4",(IF($J$40="Español","MEJORA 4",(IF($J$40="Deutsch","VERBES-SERUNG 4",(IF($J$40="Français","AMÉLIORATION 4","UPGRADE 4")))))))</f>
        <v>UPGRADE 4</v>
      </c>
      <c r="K20" s="249"/>
      <c r="L20" s="8" t="str">
        <f>IF(Roster!$J$25="Italiano","COSTO",(IF(Roster!$J$25="Español","PRECIO",(IF(Roster!$J$25="Deutsch","WERT",(IF(Roster!$J$25="Français","VALEUR","COST")))))))</f>
        <v>COSTO</v>
      </c>
      <c r="M20" s="291" t="str">
        <f>IF($J$40="Italiano","AVANZAMENTO 5",(IF($J$40="Español","MEJORA 5",(IF($J$40="Deutsch","VERBES-SERUNG 5",(IF($J$40="Français","AMÉLIORATION 5","UPGRADE 5")))))))</f>
        <v>UPGRADE 5</v>
      </c>
      <c r="N20" s="249"/>
      <c r="O20" s="8" t="str">
        <f>IF(Roster!$J$25="Italiano","COSTO",(IF(Roster!$J$25="Español","PRECIO",(IF(Roster!$J$25="Deutsch","WERT",(IF(Roster!$J$25="Français","VALEUR","COST")))))))</f>
        <v>COSTO</v>
      </c>
      <c r="P20" s="291" t="str">
        <f>IF($J$40="Italiano","AVANZAMENTO 6",(IF($J$40="Español","MEJORA 6",(IF($J$40="Deutsch","VERBES-SERUNG 6",(IF($J$40="Français","AMÉLIORATION 6","UPGRADE 6")))))))</f>
        <v>UPGRADE 6</v>
      </c>
      <c r="Q20" s="249"/>
      <c r="R20" s="8" t="str">
        <f>IF(Roster!$J$25="Italiano","COSTO",(IF(Roster!$J$25="Español","PRECIO",(IF(Roster!$J$25="Deutsch","WERT",(IF(Roster!$J$25="Français","VALEUR","COST")))))))</f>
        <v>COSTO</v>
      </c>
      <c r="S20" s="8" t="s">
        <v>333</v>
      </c>
      <c r="T20" s="240"/>
      <c r="U20" s="45"/>
      <c r="V20" s="162" t="str">
        <f t="shared" ref="V20:W20" si="15">IF($B$16="Stunty Superstar",C46,(IF($B$16="Legendary Linemen",F46,(IF($B$16="Brutal Blockers",I46,(IF($B$16="Reliable Ringers",L46,(IF($B$16="Bona Fide Big Guy",O46,"")))))))))</f>
        <v/>
      </c>
      <c r="W20" s="163" t="str">
        <f t="shared" si="15"/>
        <v/>
      </c>
      <c r="X20" s="160"/>
      <c r="Y20" s="162" t="s">
        <v>334</v>
      </c>
      <c r="Z20" s="45">
        <v>6</v>
      </c>
      <c r="AA20" s="45">
        <v>3</v>
      </c>
      <c r="AB20" s="45">
        <v>3</v>
      </c>
      <c r="AC20" s="45">
        <v>4</v>
      </c>
      <c r="AD20" s="45">
        <v>9</v>
      </c>
      <c r="AE20" s="160" t="str">
        <f>IF(((COUNTIF(AE16,"A"))+(COUNTIF(AE16,"B"))+(COUNTIF(AE16,"H"))+(COUNTIF(AE16,"I"))+(COUNTIF(AE16,"M")))=1,"Loner (5+)","Loner (4+)")</f>
        <v>Loner (4+)</v>
      </c>
      <c r="AF20" s="160" t="str">
        <f t="shared" ref="AF20:AH20" si="16">""</f>
        <v/>
      </c>
      <c r="AG20" s="160" t="str">
        <f t="shared" si="16"/>
        <v/>
      </c>
      <c r="AH20" s="160" t="str">
        <f t="shared" si="16"/>
        <v/>
      </c>
      <c r="AI20" s="163">
        <v>50000</v>
      </c>
      <c r="AJ20" s="45"/>
      <c r="AK20" s="175">
        <v>-2</v>
      </c>
      <c r="AL20" s="176">
        <f>IF(B16="Stunty Superstar",0,-2)</f>
        <v>-2</v>
      </c>
      <c r="AM20" s="176">
        <v>2</v>
      </c>
      <c r="AN20" s="176">
        <v>2</v>
      </c>
      <c r="AO20" s="177">
        <v>-2</v>
      </c>
      <c r="AP20" s="175">
        <v>-20000</v>
      </c>
      <c r="AQ20" s="176">
        <v>-20000</v>
      </c>
      <c r="AR20" s="176">
        <v>-20000</v>
      </c>
      <c r="AS20" s="176">
        <v>-20000</v>
      </c>
      <c r="AT20" s="177">
        <v>-20000</v>
      </c>
      <c r="AU20" s="45"/>
      <c r="AV20" s="75"/>
      <c r="AW20" s="45"/>
      <c r="AX20" s="45"/>
      <c r="AY20" s="45"/>
      <c r="AZ20" s="45"/>
      <c r="BA20" s="45"/>
      <c r="BB20" s="45"/>
      <c r="BC20" s="45"/>
      <c r="BD20" s="45"/>
      <c r="BE20" s="45"/>
    </row>
    <row r="21" spans="1:57" ht="22.5" customHeight="1">
      <c r="A21" s="29" t="str">
        <f>IF($J$40="Italiano","GENERALE:",(IF($J$40="Français","GÉNÉRALE:","GENERAL:")))</f>
        <v>GENERAL:</v>
      </c>
      <c r="B21" s="53"/>
      <c r="C21" s="171">
        <f>IF(B21&lt;&gt;"",(IF(B16="Legendary Linemen",20000,(IF(B16="Reliable Ringers",30000,(IF(B16="Mercenaries",0,40000)))))),0)</f>
        <v>0</v>
      </c>
      <c r="D21" s="269"/>
      <c r="E21" s="249"/>
      <c r="F21" s="171" t="str">
        <f>IF(B16&lt;&gt;"Legendary Linemen","ILEGAL",(IF(D21&lt;&gt;"",50000,0)))</f>
        <v>ILEGAL</v>
      </c>
      <c r="G21" s="269"/>
      <c r="H21" s="249"/>
      <c r="I21" s="171" t="str">
        <f>IF(B16&lt;&gt;"Legendary Linemen","ILEGAL",(IF(G21&lt;&gt;"",80000,0)))</f>
        <v>ILEGAL</v>
      </c>
      <c r="J21" s="269"/>
      <c r="K21" s="249"/>
      <c r="L21" s="171" t="str">
        <f>IF(B16&lt;&gt;"Legendary Linemen","ILEGAL",(IF(J21&lt;&gt;"",110000,0)))</f>
        <v>ILEGAL</v>
      </c>
      <c r="M21" s="269"/>
      <c r="N21" s="249"/>
      <c r="O21" s="171" t="str">
        <f>IF(B16&lt;&gt;"Legendary Linemen","ILEGAL",(IF(M21&lt;&gt;"",140000,0)))</f>
        <v>ILEGAL</v>
      </c>
      <c r="P21" s="269"/>
      <c r="Q21" s="249"/>
      <c r="R21" s="171" t="str">
        <f>IF(B16&lt;&gt;"Legendary Linemen","ILEGAL",(IF(P21&lt;&gt;"",170000,0)))</f>
        <v>ILEGAL</v>
      </c>
      <c r="S21" s="171">
        <f t="shared" ref="S21:S25" si="17">SUM(C21,F21,I21,L21,O21,R21)</f>
        <v>0</v>
      </c>
      <c r="T21" s="240"/>
      <c r="U21" s="45"/>
      <c r="V21" s="162" t="str">
        <f t="shared" ref="V21:W21" si="18">IF($B$16="Stunty Superstar",C47,(IF($B$16="Legendary Linemen",F47,(IF($B$16="Brutal Blockers",I47,(IF($B$16="Reliable Ringers",L47,(IF($B$16="Bona Fide Big Guy",O47,"")))))))))</f>
        <v/>
      </c>
      <c r="W21" s="163" t="str">
        <f t="shared" si="18"/>
        <v/>
      </c>
      <c r="X21" s="160"/>
      <c r="Y21" s="162" t="s">
        <v>335</v>
      </c>
      <c r="Z21" s="45">
        <v>4</v>
      </c>
      <c r="AA21" s="45">
        <v>4</v>
      </c>
      <c r="AB21" s="45">
        <v>4</v>
      </c>
      <c r="AC21" s="45">
        <v>6</v>
      </c>
      <c r="AD21" s="45">
        <v>9</v>
      </c>
      <c r="AE21" s="160" t="str">
        <f>IF(((COUNTIF(AE16,"A"))+(COUNTIF(AE16,"B"))+(COUNTIF(AE16,"H"))+(COUNTIF(AE16,"I"))+(COUNTIF(AE16,"M")))=1,"Loner (5+)","Loner (4+)")</f>
        <v>Loner (4+)</v>
      </c>
      <c r="AF21" s="160" t="str">
        <f>IF(OR(AE16="H",AE16="M"),"Mighty Blow (+2)","")</f>
        <v/>
      </c>
      <c r="AG21" s="160" t="str">
        <f t="shared" ref="AG21:AH21" si="19">""</f>
        <v/>
      </c>
      <c r="AH21" s="160" t="str">
        <f t="shared" si="19"/>
        <v/>
      </c>
      <c r="AI21" s="163">
        <v>70000</v>
      </c>
      <c r="AJ21" s="45"/>
      <c r="AK21" s="16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L21" s="45"/>
      <c r="AM21" s="45"/>
      <c r="AN21" s="45"/>
      <c r="AO21" s="45"/>
      <c r="AP21" s="45"/>
      <c r="AQ21" s="45"/>
      <c r="AR21" s="45"/>
      <c r="AS21" s="45"/>
      <c r="AT21" s="45"/>
      <c r="AU21" s="45"/>
      <c r="AV21" s="75"/>
      <c r="AW21" s="45"/>
      <c r="AX21" s="45"/>
      <c r="AY21" s="45"/>
      <c r="AZ21" s="45"/>
      <c r="BA21" s="45"/>
      <c r="BB21" s="45"/>
      <c r="BC21" s="45"/>
      <c r="BD21" s="45"/>
      <c r="BE21" s="45"/>
    </row>
    <row r="22" spans="1:57" ht="22.5" customHeight="1">
      <c r="A22" s="29" t="str">
        <f>IF($J$40="Italiano","FORZA:",(IF($J$40="Español","FUERZA:",(IF($J$40="Français","FORCE:","STRENGTH:")))))</f>
        <v>STRENGTH:</v>
      </c>
      <c r="B22" s="53"/>
      <c r="C22" s="171">
        <f>IF(B22&lt;&gt;"",(IF(B16="Stunty Superstar",0,(IF(B16="Reliable Ringers",50000,(IF(B16="Mercenaries",0,30000)))))),0)</f>
        <v>0</v>
      </c>
      <c r="D22" s="269"/>
      <c r="E22" s="249"/>
      <c r="F22" s="171" t="str">
        <f>IF($B$3&lt;&gt;"Brutal Blockers",(IF($B$3&lt;&gt;"Bona Fide Big Guy","ILEGAL",(IF(D22&lt;&gt;"",70000,0)))),(IF(D22&lt;&gt;"",70000,0)))</f>
        <v>ILEGAL</v>
      </c>
      <c r="G22" s="269"/>
      <c r="H22" s="249"/>
      <c r="I22" s="171" t="str">
        <f>IF($B$3&lt;&gt;"Brutal Blockers",(IF($B$3&lt;&gt;"Bona Fide Big Guy","ILEGAL",(IF(G22&lt;&gt;"",110000,0)))),(IF(G22&lt;&gt;"",110000,0)))</f>
        <v>ILEGAL</v>
      </c>
      <c r="J22" s="269"/>
      <c r="K22" s="249"/>
      <c r="L22" s="171" t="str">
        <f>IF($B$3&lt;&gt;"Brutal Blockers",(IF($B$3&lt;&gt;"Bona Fide Big Guy","ILEGAL",(IF(J22&lt;&gt;"",150000,0)))),(IF(J22&lt;&gt;"",150000,0)))</f>
        <v>ILEGAL</v>
      </c>
      <c r="M22" s="269"/>
      <c r="N22" s="249"/>
      <c r="O22" s="171" t="str">
        <f>IF($B$3&lt;&gt;"Brutal Blockers",(IF($B$3&lt;&gt;"Bona Fide Big Guy","ILEGAL",(IF(M22&lt;&gt;"",190000,0)))),(IF(M22&lt;&gt;"",190000,0)))</f>
        <v>ILEGAL</v>
      </c>
      <c r="P22" s="269"/>
      <c r="Q22" s="249"/>
      <c r="R22" s="171" t="str">
        <f>IF($B$3&lt;&gt;"Brutal Blockers",(IF($B$3&lt;&gt;"Bona Fide Big Guy","ILEGAL",(IF(P22&lt;&gt;"",230000,0)))),(IF(P22&lt;&gt;"",230000,0)))</f>
        <v>ILEGAL</v>
      </c>
      <c r="S22" s="171">
        <f t="shared" si="17"/>
        <v>0</v>
      </c>
      <c r="T22" s="240"/>
      <c r="U22" s="45"/>
      <c r="V22" s="162" t="str">
        <f t="shared" ref="V22:W22" si="20">IF($B$16="Stunty Superstar",C48,(IF($B$16="Legendary Linemen",F48,(IF($B$16="Brutal Blockers",I48,(IF($B$16="Reliable Ringers",L48,(IF($B$16="Bona Fide Big Guy",O48,"")))))))))</f>
        <v/>
      </c>
      <c r="W22" s="163" t="str">
        <f t="shared" si="20"/>
        <v/>
      </c>
      <c r="X22" s="160"/>
      <c r="Y22" s="162" t="s">
        <v>336</v>
      </c>
      <c r="Z22" s="45">
        <v>6</v>
      </c>
      <c r="AA22" s="45">
        <v>3</v>
      </c>
      <c r="AB22" s="45">
        <v>2</v>
      </c>
      <c r="AC22" s="45">
        <v>3</v>
      </c>
      <c r="AD22" s="45">
        <v>8</v>
      </c>
      <c r="AE22" s="160" t="str">
        <f>IF(((COUNTIF(AE16,"A"))+(COUNTIF(AE16,"B"))+(COUNTIF(AE16,"H"))+(COUNTIF(AE16,"I"))+(COUNTIF(AE16,"M")))=1,"Loner (5+)","Loner (4+)")</f>
        <v>Loner (4+)</v>
      </c>
      <c r="AF22" s="160" t="str">
        <f t="shared" ref="AF22:AH22" si="21">""</f>
        <v/>
      </c>
      <c r="AG22" s="160" t="str">
        <f t="shared" si="21"/>
        <v/>
      </c>
      <c r="AH22" s="160" t="str">
        <f t="shared" si="21"/>
        <v/>
      </c>
      <c r="AI22" s="163">
        <v>70000</v>
      </c>
      <c r="AJ22" s="45"/>
      <c r="AK22" s="45"/>
      <c r="AL22" s="45"/>
      <c r="AM22" s="45"/>
      <c r="AN22" s="45"/>
      <c r="AO22" s="45"/>
      <c r="AP22" s="45"/>
      <c r="AQ22" s="45"/>
      <c r="AR22" s="45"/>
      <c r="AS22" s="45"/>
      <c r="AT22" s="45"/>
      <c r="AU22" s="45"/>
      <c r="AV22" s="75"/>
      <c r="AW22" s="45"/>
      <c r="AX22" s="45"/>
      <c r="AY22" s="45"/>
      <c r="AZ22" s="45"/>
      <c r="BA22" s="45"/>
      <c r="BB22" s="45"/>
      <c r="BC22" s="45"/>
      <c r="BD22" s="45"/>
      <c r="BE22" s="45"/>
    </row>
    <row r="23" spans="1:57" ht="22.5" customHeight="1">
      <c r="A23" s="29" t="str">
        <f>IF($J$40="Italiano","AGILITÀ:",(IF($J$40="Español","AGILIDAD:",(IF($J$40="Deutsch","AGILITÄT:",(IF($J$40="Français","AGILITÉ:","AGILITY:")))))))</f>
        <v>AGILITY:</v>
      </c>
      <c r="B23" s="53"/>
      <c r="C23" s="171">
        <f>IF(B23&lt;&gt;"",(IF(B16="Stunty Superstar",10000,(IF(B16="Brutal Blockers",40000,(IF(OR(B16="Mercenaries",B16="Bona Fide Big Guy"),0,30000)))))),0)</f>
        <v>0</v>
      </c>
      <c r="D23" s="269"/>
      <c r="E23" s="249"/>
      <c r="F23" s="171">
        <f>IF($B$3&lt;&gt;"Stunty Superstar",(IF($B$3&lt;&gt;"Reliable Ringers","ILEGAL",(IF(D23&lt;&gt;"",70000,0)))),(IF(D23&lt;&gt;"",30000,0)))</f>
        <v>0</v>
      </c>
      <c r="G23" s="269"/>
      <c r="H23" s="249"/>
      <c r="I23" s="171">
        <f>IF($B$3&lt;&gt;"Stunty Superstar",(IF($B$3&lt;&gt;"Reliable Ringers","ILEGAL",(IF(G23&lt;&gt;"",110000,0)))),(IF(G23&lt;&gt;"",50000,0)))</f>
        <v>0</v>
      </c>
      <c r="J23" s="269"/>
      <c r="K23" s="249"/>
      <c r="L23" s="171">
        <f>IF($B$3&lt;&gt;"Stunty Superstar",(IF($B$3&lt;&gt;"Reliable Ringers","ILEGAL",(IF(J23&lt;&gt;"",150000,0)))),(IF(J23&lt;&gt;"",70000,0)))</f>
        <v>0</v>
      </c>
      <c r="M23" s="269"/>
      <c r="N23" s="249"/>
      <c r="O23" s="171">
        <f>IF($B$3&lt;&gt;"Stunty Superstar",(IF($B$3&lt;&gt;"Reliable Ringers","ILEGAL",(IF(M23&lt;&gt;"",190000,0)))),(IF(M23&lt;&gt;"",90000,0)))</f>
        <v>0</v>
      </c>
      <c r="P23" s="269"/>
      <c r="Q23" s="249"/>
      <c r="R23" s="171">
        <f>IF($B$3&lt;&gt;"Stunty Superstar",(IF($B$3&lt;&gt;"Reliable Ringers","ILEGAL",(IF(P23&lt;&gt;"",230000,0)))),(IF(P23&lt;&gt;"",110000,0)))</f>
        <v>0</v>
      </c>
      <c r="S23" s="171">
        <f t="shared" si="17"/>
        <v>0</v>
      </c>
      <c r="T23" s="240"/>
      <c r="U23" s="45"/>
      <c r="V23" s="165" t="str">
        <f t="shared" ref="V23:W23" si="22">IF($B$16="Stunty Superstar",C49,(IF($B$16="Legendary Linemen",F49,(IF($B$16="Brutal Blockers",I49,(IF($B$16="Reliable Ringers",L49,(IF($B$16="Bona Fide Big Guy",O49,"")))))))))</f>
        <v/>
      </c>
      <c r="W23" s="177" t="str">
        <f t="shared" si="22"/>
        <v/>
      </c>
      <c r="X23" s="160"/>
      <c r="Y23" s="165" t="s">
        <v>337</v>
      </c>
      <c r="Z23" s="176">
        <v>4</v>
      </c>
      <c r="AA23" s="176">
        <v>5</v>
      </c>
      <c r="AB23" s="176">
        <v>4</v>
      </c>
      <c r="AC23" s="176">
        <v>5</v>
      </c>
      <c r="AD23" s="176">
        <v>9</v>
      </c>
      <c r="AE23" s="166" t="str">
        <f>IF(((COUNTIF(AE16,"A"))+(COUNTIF(AE16,"B"))+(COUNTIF(AE16,"H"))+(COUNTIF(AE16,"I"))+(COUNTIF(AE16,"M")))=1,"Loner (5+)","Loner (4+)")</f>
        <v>Loner (4+)</v>
      </c>
      <c r="AF23" s="166" t="str">
        <f>IF(OR(AE16="J",AE16="K",AE16="L",AE16="M",AE16="N"),"","Bone Head")</f>
        <v>Bone Head</v>
      </c>
      <c r="AG23" s="166" t="str">
        <f>IF(OR(AE16="H",AE16="M"),"Mighty Blow (+2)","Mighty Blow (+1)")</f>
        <v>Mighty Blow (+1)</v>
      </c>
      <c r="AH23" s="166" t="str">
        <f>IF(OR(AE16="K",AE16="L"),"","Throw Team Mate")</f>
        <v>Throw Team Mate</v>
      </c>
      <c r="AI23" s="177">
        <v>130000</v>
      </c>
      <c r="AJ23" s="45"/>
      <c r="AK23" s="45"/>
      <c r="AL23" s="45"/>
      <c r="AM23" s="45"/>
      <c r="AN23" s="45"/>
      <c r="AO23" s="45"/>
      <c r="AP23" s="45"/>
      <c r="AQ23" s="45"/>
      <c r="AR23" s="45"/>
      <c r="AS23" s="45"/>
      <c r="AT23" s="45"/>
      <c r="AU23" s="45"/>
      <c r="AV23" s="75"/>
      <c r="AW23" s="45"/>
      <c r="AX23" s="45"/>
      <c r="AY23" s="45"/>
      <c r="AZ23" s="45"/>
      <c r="BA23" s="45"/>
      <c r="BB23" s="45"/>
      <c r="BC23" s="45"/>
      <c r="BD23" s="45"/>
      <c r="BE23" s="45"/>
    </row>
    <row r="24" spans="1:57" ht="22.5" customHeight="1">
      <c r="A24" s="29" t="str">
        <f>IF($J$40="Español","PASE:",(IF($J$40="Français","PASSER:","PASS:")))</f>
        <v>PASS:</v>
      </c>
      <c r="B24" s="53"/>
      <c r="C24" s="171">
        <f>IF(B24&lt;&gt;"",(IF(B16="Mercenaries",0,(IF(OR(B16="Reliable Ringers",B16="Bona Fide Big Guy"),30000,20000)))),0)</f>
        <v>0</v>
      </c>
      <c r="D24" s="269"/>
      <c r="E24" s="249"/>
      <c r="F24" s="171" t="s">
        <v>338</v>
      </c>
      <c r="G24" s="269"/>
      <c r="H24" s="249"/>
      <c r="I24" s="171" t="s">
        <v>338</v>
      </c>
      <c r="J24" s="269"/>
      <c r="K24" s="249"/>
      <c r="L24" s="171" t="s">
        <v>338</v>
      </c>
      <c r="M24" s="269"/>
      <c r="N24" s="249"/>
      <c r="O24" s="171" t="s">
        <v>338</v>
      </c>
      <c r="P24" s="269"/>
      <c r="Q24" s="249"/>
      <c r="R24" s="171" t="s">
        <v>338</v>
      </c>
      <c r="S24" s="171">
        <f t="shared" si="17"/>
        <v>0</v>
      </c>
      <c r="T24" s="240"/>
      <c r="U24" s="45"/>
      <c r="V24" s="160"/>
      <c r="W24" s="160"/>
      <c r="X24" s="160"/>
      <c r="Y24" s="160"/>
      <c r="Z24" s="160"/>
      <c r="AA24" s="160"/>
      <c r="AB24" s="160"/>
      <c r="AC24" s="160"/>
      <c r="AD24" s="160"/>
      <c r="AE24" s="160"/>
      <c r="AF24" s="160"/>
      <c r="AG24" s="160"/>
      <c r="AH24" s="160"/>
      <c r="AI24" s="160"/>
      <c r="AJ24" s="45"/>
      <c r="AK24" s="45"/>
      <c r="AL24" s="45"/>
      <c r="AM24" s="45"/>
      <c r="AN24" s="45"/>
      <c r="AO24" s="45"/>
      <c r="AP24" s="45"/>
      <c r="AQ24" s="45"/>
      <c r="AR24" s="45"/>
      <c r="AS24" s="45"/>
      <c r="AT24" s="45"/>
      <c r="AU24" s="45"/>
      <c r="AV24" s="75"/>
      <c r="AW24" s="45"/>
      <c r="AX24" s="45"/>
      <c r="AY24" s="45"/>
      <c r="AZ24" s="45"/>
      <c r="BA24" s="45"/>
      <c r="BB24" s="45"/>
      <c r="BC24" s="45"/>
      <c r="BD24" s="45"/>
      <c r="BE24" s="45"/>
    </row>
    <row r="25" spans="1:57" ht="22.5" customHeight="1">
      <c r="A25" s="8" t="str">
        <f>IF($J$40="Italiano","MUTAZIONE:",(IF($J$40="Español","MUTACIÓN:","MUTATION:")))</f>
        <v>MUTATION:</v>
      </c>
      <c r="B25" s="53"/>
      <c r="C25" s="171">
        <f>IF(B16="Stunty Superstar","ILEGAL",(IF(B25&lt;&gt;"",(IF(B16="Mercenaries",0,(IF(OR(B16="Brutal Blockers",B16="Bona Fide Big Guy"),40000,IF(B16="Legendary Linemen",30000,(IF(B25="Big Hand",30000,(IF(B25="Extra Arms",20000,(IF(B25="Two Heads",30000,(IF(B25="Very Long Legs",30000,0))))))))))))),0)))</f>
        <v>0</v>
      </c>
      <c r="D25" s="269"/>
      <c r="E25" s="249"/>
      <c r="F25" s="171" t="str">
        <f>IF(OR($B$3="Stunty Superstar",$B$3="Brutal Blockers",$B$3="Bona Fide Big Guy",$B$3="Mercenaries"),"ILEGAL",(IF(D25&lt;&gt;"",(IF($B$3="Legendary Linemen",70000,(IF(D25="Big Hand",30000,(IF(D25="Extra Arms",20000,(IF(D25="Two Heads",30000,(IF(D25="Very Long Legs",30000,"ILEGAL")))))))))),0)))</f>
        <v>ILEGAL</v>
      </c>
      <c r="G25" s="269"/>
      <c r="H25" s="249"/>
      <c r="I25" s="171" t="str">
        <f>IF(OR($B$3="Stunty Superstar",$B$3="Brutal Blockers",$B$3="Bona Fide Big Guy",$B$3="Mercenaries"),"ILEGAL",(IF(G25&lt;&gt;"",(IF($B$3="Legendary Linemen",110000,(IF(G25="Big Hand",30000,(IF(G25="Extra Arms",20000,(IF(G25="Two Heads",30000,(IF(G25="Very Long Legs",30000,0)))))))))),0)))</f>
        <v>ILEGAL</v>
      </c>
      <c r="J25" s="269"/>
      <c r="K25" s="249"/>
      <c r="L25" s="171" t="str">
        <f>IF(OR($B$3="Stunty Superstar",$B$3="Brutal Blockers",$B$3="Bona Fide Big Guy",$B$3="Mercenaries"),"ILEGAL",(IF(J25&lt;&gt;"",(IF($B$3="Legendary Linemen",150000,(IF(J25="Big Hand",30000,(IF(J25="Extra Arms",20000,(IF(J25="Two Heads",30000,(IF(J25="Very Long Legs",30000,0)))))))))),0)))</f>
        <v>ILEGAL</v>
      </c>
      <c r="M25" s="269"/>
      <c r="N25" s="249"/>
      <c r="O25" s="171" t="str">
        <f>IF(B16&lt;&gt;"Legendary Linemen","ILEGAL",(IF(M25&lt;&gt;"",190000,0)))</f>
        <v>ILEGAL</v>
      </c>
      <c r="P25" s="269"/>
      <c r="Q25" s="249"/>
      <c r="R25" s="171" t="str">
        <f>IF(B16&lt;&gt;"Legendary Linemen","ILEGAL",(IF(P25&lt;&gt;"",230000,0)))</f>
        <v>ILEGAL</v>
      </c>
      <c r="S25" s="171">
        <f t="shared" si="17"/>
        <v>0</v>
      </c>
      <c r="T25" s="240"/>
      <c r="U25" s="45"/>
      <c r="V25" s="38" t="s">
        <v>333</v>
      </c>
      <c r="W25" s="178">
        <f>SUM(Y25:AI25)</f>
        <v>0</v>
      </c>
      <c r="X25" s="178"/>
      <c r="Y25" s="178">
        <f>IF(K19="ILEGAL",0,K19)</f>
        <v>0</v>
      </c>
      <c r="Z25" s="178">
        <f>IF(M19="ILEGAL",0,M19)</f>
        <v>0</v>
      </c>
      <c r="AA25" s="178">
        <f>IF(O19="ILEGAL",0,O19)</f>
        <v>0</v>
      </c>
      <c r="AB25" s="178">
        <f>IF(Q19="ILEGAL",0,Q19)</f>
        <v>0</v>
      </c>
      <c r="AC25" s="178">
        <f>IF(S19="ILEGAL",0,S19)</f>
        <v>0</v>
      </c>
      <c r="AD25" s="178">
        <f>I19</f>
        <v>0</v>
      </c>
      <c r="AE25" s="178">
        <f>S21</f>
        <v>0</v>
      </c>
      <c r="AF25" s="178">
        <f>S22</f>
        <v>0</v>
      </c>
      <c r="AG25" s="178">
        <f>S23</f>
        <v>0</v>
      </c>
      <c r="AH25" s="178">
        <f>S24</f>
        <v>0</v>
      </c>
      <c r="AI25" s="56">
        <f>S25</f>
        <v>0</v>
      </c>
      <c r="AJ25" s="45"/>
      <c r="AK25" s="45"/>
      <c r="AL25" s="45"/>
      <c r="AM25" s="45"/>
      <c r="AN25" s="45"/>
      <c r="AO25" s="45"/>
      <c r="AP25" s="45"/>
      <c r="AQ25" s="45"/>
      <c r="AR25" s="45"/>
      <c r="AS25" s="45"/>
      <c r="AT25" s="45"/>
      <c r="AU25" s="45"/>
      <c r="AV25" s="75"/>
      <c r="AW25" s="45"/>
      <c r="AX25" s="45"/>
      <c r="AY25" s="45"/>
      <c r="AZ25" s="45"/>
      <c r="BA25" s="45"/>
      <c r="BB25" s="45"/>
      <c r="BC25" s="45"/>
      <c r="BD25" s="45"/>
      <c r="BE25" s="45"/>
    </row>
    <row r="26" spans="1:57" ht="15" customHeight="1">
      <c r="A26" s="179"/>
      <c r="B26" s="180"/>
      <c r="C26" s="180"/>
      <c r="D26" s="180"/>
      <c r="E26" s="180"/>
      <c r="F26" s="180"/>
      <c r="G26" s="180"/>
      <c r="H26" s="180"/>
      <c r="I26" s="180"/>
      <c r="J26" s="180"/>
      <c r="K26" s="180"/>
      <c r="L26" s="180"/>
      <c r="M26" s="180"/>
      <c r="N26" s="180"/>
      <c r="O26" s="180"/>
      <c r="P26" s="180"/>
      <c r="Q26" s="180"/>
      <c r="R26" s="180"/>
      <c r="S26" s="180"/>
      <c r="T26" s="240"/>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75"/>
      <c r="AW26" s="45"/>
      <c r="AX26" s="45"/>
      <c r="AY26" s="45"/>
      <c r="AZ26" s="45"/>
      <c r="BA26" s="45"/>
      <c r="BB26" s="45"/>
      <c r="BC26" s="45"/>
      <c r="BD26" s="45"/>
      <c r="BE26" s="45"/>
    </row>
    <row r="27" spans="1:57" ht="21.75" customHeight="1">
      <c r="A27" s="304" t="str">
        <f>IF(Roster!$J$25="Italiano","MERCENARIO 3",(IF(Roster!$J$25="Español","MERCENARIO 3",(IF(Roster!$J$25="Français","MERCENAIRE 3","MERCENARY 3")))))</f>
        <v>MERCENARIO 3</v>
      </c>
      <c r="B27" s="252"/>
      <c r="C27" s="252"/>
      <c r="D27" s="252"/>
      <c r="E27" s="252"/>
      <c r="F27" s="252"/>
      <c r="G27" s="252"/>
      <c r="H27" s="252"/>
      <c r="I27" s="252"/>
      <c r="J27" s="252"/>
      <c r="K27" s="252"/>
      <c r="L27" s="252"/>
      <c r="M27" s="252"/>
      <c r="N27" s="252"/>
      <c r="O27" s="252"/>
      <c r="P27" s="252"/>
      <c r="Q27" s="252"/>
      <c r="R27" s="252"/>
      <c r="S27" s="253"/>
      <c r="T27" s="240"/>
      <c r="U27" s="2"/>
      <c r="V27" s="2"/>
      <c r="W27" s="157"/>
      <c r="X27" s="157"/>
      <c r="Y27" s="157"/>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MERCENARIO 3</v>
      </c>
      <c r="B28" s="8" t="str">
        <f>IF(Roster!$J$25="Italiano","TIPO",(IF(Roster!$J$25="Español","TIPO",(IF(Roster!$J$25="Deutsch","POSITION",(IF(Roster!$J$25="Français","POSTE","TYPE")))))))</f>
        <v>TIPO</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275" t="str">
        <f>IF(Roster!$J$25="Italiano","ABILITÀ",(IF(Roster!$J$25="Español","HABILIDADES",(IF(Roster!$J$25="Deutsch","FERTIGKEITEN",(IF(Roster!$J$25="Français","COMPÉTENCES","SKILLS")))))))</f>
        <v>ABILITÀ</v>
      </c>
      <c r="I28" s="248"/>
      <c r="J28" s="248"/>
      <c r="K28" s="248"/>
      <c r="L28" s="248"/>
      <c r="M28" s="248"/>
      <c r="N28" s="248"/>
      <c r="O28" s="248"/>
      <c r="P28" s="248"/>
      <c r="Q28" s="248"/>
      <c r="R28" s="249"/>
      <c r="S28" s="8" t="str">
        <f>IF(Roster!$J$25="Italiano","COSTO",(IF(Roster!$J$25="Español","PRECIO",(IF(Roster!$J$25="Deutsch","WERT",(IF(Roster!$J$25="Français","VALEUR","COST")))))))</f>
        <v>COSTO</v>
      </c>
      <c r="T28" s="240"/>
      <c r="U28" s="45"/>
      <c r="V28" s="158" t="s">
        <v>322</v>
      </c>
      <c r="W28" s="159" t="s">
        <v>234</v>
      </c>
      <c r="X28" s="160"/>
      <c r="Y28" s="158" t="s">
        <v>323</v>
      </c>
      <c r="Z28" s="161"/>
      <c r="AA28" s="161"/>
      <c r="AB28" s="159"/>
      <c r="AC28" s="160"/>
      <c r="AD28" s="160"/>
      <c r="AE28" s="160"/>
      <c r="AF28" s="158" t="s">
        <v>324</v>
      </c>
      <c r="AG28" s="161"/>
      <c r="AH28" s="161"/>
      <c r="AI28" s="159"/>
      <c r="AJ28" s="45"/>
      <c r="AK28" s="350" t="s">
        <v>325</v>
      </c>
      <c r="AL28" s="284"/>
      <c r="AM28" s="284"/>
      <c r="AN28" s="284"/>
      <c r="AO28" s="285"/>
      <c r="AP28" s="350" t="s">
        <v>326</v>
      </c>
      <c r="AQ28" s="284"/>
      <c r="AR28" s="284"/>
      <c r="AS28" s="284"/>
      <c r="AT28" s="285"/>
      <c r="AU28" s="45"/>
      <c r="AV28" s="45"/>
      <c r="AW28" s="45"/>
      <c r="AX28" s="45"/>
      <c r="AY28" s="45"/>
      <c r="AZ28" s="45"/>
      <c r="BA28" s="45"/>
      <c r="BB28" s="45"/>
      <c r="BC28" s="45"/>
      <c r="BD28" s="45"/>
      <c r="BE28" s="45"/>
    </row>
    <row r="29" spans="1:57" ht="30" customHeight="1">
      <c r="A29" s="53"/>
      <c r="B29" s="53" t="s">
        <v>336</v>
      </c>
      <c r="C29" s="53">
        <f>IF((VLOOKUP(B29,Y31:AD36,2,FALSE))+J32+(IF(AE29="G",-2,0))+(IF(OR(AE29="O",AE29="N"),-1,0))=0,"",(VLOOKUP(B29,Y31:AD36,2,FALSE))+J32+(IF(AE29="G",-2,0))+(IF(OR(AE29="O",AE29="N"),-1,0)))</f>
        <v>6</v>
      </c>
      <c r="D29" s="53">
        <f>IF((VLOOKUP(B29,Y31:AD36,3,FALSE))+L32+(IF(AE29="G",3,0))+(IF(OR(AE29="O",AE29="N"),2,0))=0,"",(VLOOKUP(B29,Y31:AD36,3,FALSE))+L32+(IF(AE29="G",3,0))+(IF(OR(AE29="O",AE29="N"),2,0)))</f>
        <v>3</v>
      </c>
      <c r="E29" s="53" t="str">
        <f>IF((VLOOKUP(B29,Y31:AD36,4,FALSE)+N32+(IF(AE29="J",1,0)))=0,"",(VLOOKUP(B29,Y31:AD36,4,FALSE)+N32+(IF(AE29="J",1,0))&amp;"+"))</f>
        <v>2+</v>
      </c>
      <c r="F29" s="53" t="str">
        <f>IF((VLOOKUP(B29,Y31:AD36,5,FALSE)+P32)=0,"",(VLOOKUP(B29,Y31:AD36,5,FALSE)+P32&amp;"+"))</f>
        <v>3+</v>
      </c>
      <c r="G29" s="53" t="str">
        <f>IF((VLOOKUP(B29,Y31:AD36,6,FALSE)+R32)=0,"",(VLOOKUP(B29,Y31:AD36,6,FALSE)+R32&amp;"+"))</f>
        <v>8+</v>
      </c>
      <c r="H29" s="247" t="str">
        <f>Y29&amp;(IF(Z29&lt;&gt;"",", ",""))&amp;Z29&amp;(IF(AA29&lt;&gt;"",", ",""))&amp;AA29&amp;(IF(AB29&lt;&gt;"",", ",""))&amp;AB29&amp;(IF(AF29&lt;&gt;"",", ",""))&amp;AF29&amp;(IF(AG29&lt;&gt;"",", ",""))&amp;AG29&amp;(IF(AH29&lt;&gt;"",", ",""))&amp;AH29&amp;(IF(AI29&lt;&gt;"",", ",""))&amp;AI29&amp;AK34</f>
        <v>Loner (4+)</v>
      </c>
      <c r="I29" s="248"/>
      <c r="J29" s="248"/>
      <c r="K29" s="248"/>
      <c r="L29" s="248"/>
      <c r="M29" s="248"/>
      <c r="N29" s="248"/>
      <c r="O29" s="248"/>
      <c r="P29" s="248"/>
      <c r="Q29" s="248"/>
      <c r="R29" s="249"/>
      <c r="S29" s="53">
        <f>(VLOOKUP(B29,Y31:AI36,11,FALSE))+W38</f>
        <v>70000</v>
      </c>
      <c r="T29" s="240"/>
      <c r="U29" s="45"/>
      <c r="V29" s="162"/>
      <c r="W29" s="163">
        <v>0</v>
      </c>
      <c r="X29" s="164"/>
      <c r="Y29" s="165" t="str">
        <f>VLOOKUP(B29,Y31:AH36,7,FALSE)</f>
        <v>Loner (4+)</v>
      </c>
      <c r="Z29" s="166" t="str">
        <f>VLOOKUP(B29,Y31:AH36,8,FALSE)</f>
        <v/>
      </c>
      <c r="AA29" s="166" t="str">
        <f>VLOOKUP(B29,Y31:AH36,9,FALSE)</f>
        <v/>
      </c>
      <c r="AB29" s="167" t="str">
        <f>VLOOKUP(B29,Y31:AH36,10,FALSE)</f>
        <v/>
      </c>
      <c r="AC29" s="160"/>
      <c r="AD29" s="160"/>
      <c r="AE29" s="160" t="str">
        <f>IFERROR((VLOOKUP(A32,R41:W55,2,FALSE)),"")</f>
        <v/>
      </c>
      <c r="AF29" s="165" t="str">
        <f>IFERROR((VLOOKUP(A32,R41:W55,3,FALSE)),"")</f>
        <v/>
      </c>
      <c r="AG29" s="166" t="str">
        <f>IFERROR((VLOOKUP(A32,R41:W55,4,FALSE)),"")</f>
        <v/>
      </c>
      <c r="AH29" s="166" t="str">
        <f>IFERROR((VLOOKUP(A32,R41:W55,5,FALSE)),"")</f>
        <v/>
      </c>
      <c r="AI29" s="167" t="str">
        <f>IFERROR((VLOOKUP(A32,R41:W55,6,FALSE)),"")</f>
        <v/>
      </c>
      <c r="AJ29" s="45"/>
      <c r="AK29" s="168">
        <v>0</v>
      </c>
      <c r="AL29" s="45">
        <v>0</v>
      </c>
      <c r="AM29" s="45">
        <v>0</v>
      </c>
      <c r="AN29" s="45">
        <v>0</v>
      </c>
      <c r="AO29" s="163">
        <v>0</v>
      </c>
      <c r="AP29" s="168">
        <v>0</v>
      </c>
      <c r="AQ29" s="45">
        <v>0</v>
      </c>
      <c r="AR29" s="45">
        <v>0</v>
      </c>
      <c r="AS29" s="45">
        <v>0</v>
      </c>
      <c r="AT29" s="163">
        <v>0</v>
      </c>
      <c r="AU29" s="45"/>
      <c r="AV29" s="45"/>
      <c r="AW29" s="45"/>
      <c r="AX29" s="45"/>
      <c r="AY29" s="45"/>
      <c r="AZ29" s="45"/>
      <c r="BA29" s="45"/>
      <c r="BB29" s="45"/>
      <c r="BC29" s="45"/>
      <c r="BD29" s="45"/>
      <c r="BE29" s="45"/>
    </row>
    <row r="30" spans="1:57" ht="22.5" customHeight="1">
      <c r="A30" s="351" t="str">
        <f>IF(BC8="Italiano","AVANZAMIENTO GIOCATORI",(IF(BC8="Español","MEJORAS DEL JUGADORE",(IF(BC8="Deutsch","SPIELERVERBESSERUNGEN",(IF(BC8="Français","AMÉLIORATIONS DE JOUEUR","PLAYER UPGRADES")))))))</f>
        <v>PLAYER UPGRADES</v>
      </c>
      <c r="B30" s="248"/>
      <c r="C30" s="248"/>
      <c r="D30" s="248"/>
      <c r="E30" s="248"/>
      <c r="F30" s="248"/>
      <c r="G30" s="248"/>
      <c r="H30" s="248"/>
      <c r="I30" s="248"/>
      <c r="J30" s="248"/>
      <c r="K30" s="248"/>
      <c r="L30" s="248"/>
      <c r="M30" s="248"/>
      <c r="N30" s="248"/>
      <c r="O30" s="248"/>
      <c r="P30" s="248"/>
      <c r="Q30" s="248"/>
      <c r="R30" s="248"/>
      <c r="S30" s="263"/>
      <c r="T30" s="240"/>
      <c r="U30" s="45"/>
      <c r="V30" s="162" t="str">
        <f t="shared" ref="V30:W30" si="23">IF($B$29="Stunty Superstar",C43,(IF($B$29="Legendary Linemen",F43,(IF($B$29="Brutal Blockers",I43,(IF($B$29="Reliable Ringers",L43,(IF($B$29="Bona Fide Big Guy",O43,"")))))))))</f>
        <v>Hypnotic Gaze, Loner (5+)</v>
      </c>
      <c r="W30" s="163">
        <f t="shared" si="23"/>
        <v>70000</v>
      </c>
      <c r="X30" s="160"/>
      <c r="Y30" s="160"/>
      <c r="Z30" s="160"/>
      <c r="AA30" s="160"/>
      <c r="AB30" s="160"/>
      <c r="AC30" s="160"/>
      <c r="AD30" s="160"/>
      <c r="AE30" s="160"/>
      <c r="AF30" s="160"/>
      <c r="AG30" s="160"/>
      <c r="AH30" s="160"/>
      <c r="AI30" s="160"/>
      <c r="AJ30" s="45"/>
      <c r="AK30" s="168">
        <v>1</v>
      </c>
      <c r="AL30" s="45">
        <v>0</v>
      </c>
      <c r="AM30" s="45">
        <f>IF(B29="Legendary Linemen",0,-1)</f>
        <v>-1</v>
      </c>
      <c r="AN30" s="45">
        <f>IF(B29="Brutal Blockers",0,-1)</f>
        <v>-1</v>
      </c>
      <c r="AO30" s="163">
        <v>1</v>
      </c>
      <c r="AP30" s="168">
        <f>IF(OR(B29="Legendary Linemen",B29="Bona Fide Big Guy"),20000,30000)</f>
        <v>30000</v>
      </c>
      <c r="AQ30" s="45">
        <v>0</v>
      </c>
      <c r="AR30" s="45">
        <f>IF(OR(B29="Stunty Superstar",B29="Bona Fide Big Guy"),40000,(IF(B29="Legendary Linemen",0,50000)))</f>
        <v>50000</v>
      </c>
      <c r="AS30" s="45">
        <f>IF(B29="Brutal Blockers",0,30000)</f>
        <v>30000</v>
      </c>
      <c r="AT30" s="163">
        <f>IF(B29="Stunty Superstar",30000,(IF(B29="Reliable Ringers",40000,20000)))</f>
        <v>40000</v>
      </c>
      <c r="AU30" s="45"/>
      <c r="AV30" s="45"/>
      <c r="AW30" s="45"/>
      <c r="AX30" s="45"/>
      <c r="AY30" s="45"/>
      <c r="AZ30" s="45"/>
      <c r="BA30" s="45"/>
      <c r="BB30" s="45"/>
      <c r="BC30" s="45"/>
      <c r="BD30" s="45"/>
      <c r="BE30" s="45"/>
    </row>
    <row r="31" spans="1:57" ht="22.5" customHeight="1">
      <c r="A31" s="275" t="s">
        <v>328</v>
      </c>
      <c r="B31" s="248"/>
      <c r="C31" s="248"/>
      <c r="D31" s="248"/>
      <c r="E31" s="248"/>
      <c r="F31" s="248"/>
      <c r="G31" s="248"/>
      <c r="H31" s="249"/>
      <c r="I31" s="8" t="str">
        <f>IF(Roster!$J$25="Italiano","COSTO",(IF(Roster!$J$25="Español","PRECIO",(IF(Roster!$J$25="Deutsch","WERT",(IF(Roster!$J$25="Français","VALEUR","COST")))))))</f>
        <v>COSTO</v>
      </c>
      <c r="J31" s="8" t="str">
        <f>IF(Roster!$J$25="Español","MO",(IF(Roster!$J$25="Deutsch","BE",(IF(Roster!$J$25="Français","M","MA")))))</f>
        <v>MA</v>
      </c>
      <c r="K31" s="8" t="str">
        <f>IF(Roster!$J$25="Italiano","COSTO",(IF(Roster!$J$25="Español","PRECIO",(IF(Roster!$J$25="Deutsch","WERT",(IF(Roster!$J$25="Français","VALEUR","COST")))))))</f>
        <v>COSTO</v>
      </c>
      <c r="L31" s="8" t="str">
        <f>IF(Roster!$J$25="Español","FU",(IF(Roster!$J$25="Français","F","ST")))</f>
        <v>ST</v>
      </c>
      <c r="M31" s="8" t="str">
        <f>IF(Roster!$J$25="Italiano","COSTO",(IF(Roster!$J$25="Español","PRECIO",(IF(Roster!$J$25="Deutsch","WERT",(IF(Roster!$J$25="Français","VALEUR","COST")))))))</f>
        <v>COSTO</v>
      </c>
      <c r="N31" s="8" t="str">
        <f>IF(Roster!$J$25="Deutsch","GE","AG")</f>
        <v>AG</v>
      </c>
      <c r="O31" s="8" t="str">
        <f>IF(Roster!$J$25="Italiano","COSTO",(IF(Roster!$J$25="Español","PRECIO",(IF(Roster!$J$25="Deutsch","WERT",(IF(Roster!$J$25="Français","VALEUR","COST")))))))</f>
        <v>COSTO</v>
      </c>
      <c r="P31" s="8" t="str">
        <f>IF(Roster!$J$25="Deutsch","WG",(IF(Roster!$J$25="Français","CP","PA")))</f>
        <v>PA</v>
      </c>
      <c r="Q31" s="8" t="str">
        <f>IF(Roster!$J$25="Italiano","COSTO",(IF(Roster!$J$25="Español","PRECIO",(IF(Roster!$J$25="Deutsch","WERT",(IF(Roster!$J$25="Français","VALEUR","COST")))))))</f>
        <v>COSTO</v>
      </c>
      <c r="R31" s="8" t="str">
        <f>IF(Roster!$J$25="Español","AR",(IF(Roster!$J$25="Deutsch","RW",(IF(Roster!$J$25="Français","AR","AV")))))</f>
        <v>AV</v>
      </c>
      <c r="S31" s="8" t="str">
        <f>IF(Roster!$J$25="Italiano","COSTO",(IF(Roster!$J$25="Español","PRECIO",(IF(Roster!$J$25="Deutsch","WERT",(IF(Roster!$J$25="Français","VALEUR","COST")))))))</f>
        <v>COSTO</v>
      </c>
      <c r="T31" s="240"/>
      <c r="U31" s="181"/>
      <c r="V31" s="162" t="str">
        <f t="shared" ref="V31:W31" si="24">IF($B$29="Stunty Superstar",C44,(IF($B$29="Legendary Linemen",F44,(IF($B$29="Brutal Blockers",I44,(IF($B$29="Reliable Ringers",L44,(IF($B$29="Bona Fide Big Guy",O44,"")))))))))</f>
        <v>Stab, Secret Weapon</v>
      </c>
      <c r="W31" s="163">
        <f t="shared" si="24"/>
        <v>20000</v>
      </c>
      <c r="X31" s="160"/>
      <c r="Y31" s="158" t="s">
        <v>329</v>
      </c>
      <c r="Z31" s="169">
        <v>0</v>
      </c>
      <c r="AA31" s="169">
        <v>0</v>
      </c>
      <c r="AB31" s="169">
        <v>0</v>
      </c>
      <c r="AC31" s="169">
        <v>0</v>
      </c>
      <c r="AD31" s="169">
        <v>0</v>
      </c>
      <c r="AE31" s="161" t="str">
        <f t="shared" ref="AE31:AH31" si="25">""</f>
        <v/>
      </c>
      <c r="AF31" s="161" t="str">
        <f t="shared" si="25"/>
        <v/>
      </c>
      <c r="AG31" s="161" t="str">
        <f t="shared" si="25"/>
        <v/>
      </c>
      <c r="AH31" s="161" t="str">
        <f t="shared" si="25"/>
        <v/>
      </c>
      <c r="AI31" s="170">
        <v>0</v>
      </c>
      <c r="AJ31" s="45"/>
      <c r="AK31" s="168">
        <v>2</v>
      </c>
      <c r="AL31" s="45">
        <v>0</v>
      </c>
      <c r="AM31" s="45">
        <f>IF(B29="Legendary Linemen",0,-2)</f>
        <v>-2</v>
      </c>
      <c r="AN31" s="45">
        <f>IF(B29="Brutal Blockers",0,-2)</f>
        <v>-2</v>
      </c>
      <c r="AO31" s="163">
        <v>2</v>
      </c>
      <c r="AP31" s="168">
        <f>IF(OR(B29="Stunty Superstar",B29="Reliable Ringers"),48000,(IF(B29="Legendary Linemen",40000,50000)))</f>
        <v>48000</v>
      </c>
      <c r="AQ31" s="45">
        <v>0</v>
      </c>
      <c r="AR31" s="45">
        <f>IF(OR(B29="Stunty Superstar",B29="Bona Fide Big Guy"),80000,(IF(B29="Legendary Linemen",0,100000)))</f>
        <v>100000</v>
      </c>
      <c r="AS31" s="45">
        <f>IF(B29="Brutal Blockers",0,48000)</f>
        <v>48000</v>
      </c>
      <c r="AT31" s="163">
        <f>IF(B29="Stunty Superstar",48000,(IF(B29="Reliable Ringers",80000,40000)))</f>
        <v>80000</v>
      </c>
      <c r="AU31" s="45"/>
      <c r="AV31" s="45"/>
      <c r="AW31" s="45"/>
      <c r="AX31" s="45"/>
      <c r="AY31" s="45"/>
      <c r="AZ31" s="45"/>
      <c r="BA31" s="45"/>
      <c r="BB31" s="45"/>
      <c r="BC31" s="45"/>
      <c r="BD31" s="45"/>
      <c r="BE31" s="45"/>
    </row>
    <row r="32" spans="1:57" ht="22.5" customHeight="1">
      <c r="A32" s="247"/>
      <c r="B32" s="248"/>
      <c r="C32" s="248"/>
      <c r="D32" s="248"/>
      <c r="E32" s="248"/>
      <c r="F32" s="248"/>
      <c r="G32" s="248"/>
      <c r="H32" s="249"/>
      <c r="I32" s="171">
        <f>IFERROR((VLOOKUP(A32,V30:W36,2,FALSE)),0)</f>
        <v>0</v>
      </c>
      <c r="J32" s="53">
        <v>0</v>
      </c>
      <c r="K32" s="171">
        <f>IFERROR((VLOOKUP(J32,AK29:AT33,6,FALSE)),"ILEGAL")</f>
        <v>0</v>
      </c>
      <c r="L32" s="53">
        <v>0</v>
      </c>
      <c r="M32" s="171">
        <f>IFERROR((VLOOKUP(L32,AL29:AT33,6,FALSE)),"ILEGAL")</f>
        <v>0</v>
      </c>
      <c r="N32" s="53">
        <v>0</v>
      </c>
      <c r="O32" s="171">
        <f>IFERROR((VLOOKUP(N32,AM29:AT33,6,FALSE)),"ILEGAL")</f>
        <v>0</v>
      </c>
      <c r="P32" s="53">
        <v>0</v>
      </c>
      <c r="Q32" s="171">
        <f>IFERROR((VLOOKUP(P32,AN29:AT33,6,FALSE)),"ILEGAL")</f>
        <v>0</v>
      </c>
      <c r="R32" s="53">
        <v>0</v>
      </c>
      <c r="S32" s="171">
        <f>IFERROR((VLOOKUP(R32,AO29:AT33,6,FALSE)),"ILEGAL")</f>
        <v>0</v>
      </c>
      <c r="T32" s="240"/>
      <c r="U32" s="45"/>
      <c r="V32" s="162" t="str">
        <f t="shared" ref="V32:W32" si="26">IF($B$29="Stunty Superstar",C45,(IF($B$29="Legendary Linemen",F45,(IF($B$29="Brutal Blockers",I45,(IF($B$29="Reliable Ringers",L45,(IF($B$29="Bona Fide Big Guy",O45,"")))))))))</f>
        <v/>
      </c>
      <c r="W32" s="163">
        <f t="shared" si="26"/>
        <v>0</v>
      </c>
      <c r="X32" s="160"/>
      <c r="Y32" s="162" t="s">
        <v>327</v>
      </c>
      <c r="Z32" s="45">
        <v>5</v>
      </c>
      <c r="AA32" s="45">
        <v>2</v>
      </c>
      <c r="AB32" s="45">
        <v>3</v>
      </c>
      <c r="AC32" s="45">
        <v>4</v>
      </c>
      <c r="AD32" s="45">
        <v>6</v>
      </c>
      <c r="AE32" s="160" t="str">
        <f>IF(((COUNTIF(AE29,"A"))+(COUNTIF(AE29,"B"))+(COUNTIF(AE29,"H"))+(COUNTIF(AE29,"I"))+(COUNTIF(AE29,"M")))=1,"Loner (5+)","Loner (4+)")</f>
        <v>Loner (4+)</v>
      </c>
      <c r="AF32" s="160" t="s">
        <v>330</v>
      </c>
      <c r="AG32" s="160" t="s">
        <v>331</v>
      </c>
      <c r="AH32" s="160" t="s">
        <v>332</v>
      </c>
      <c r="AI32" s="163">
        <v>30000</v>
      </c>
      <c r="AJ32" s="45"/>
      <c r="AK32" s="168">
        <v>-1</v>
      </c>
      <c r="AL32" s="45">
        <v>-1</v>
      </c>
      <c r="AM32" s="45">
        <v>1</v>
      </c>
      <c r="AN32" s="45">
        <v>1</v>
      </c>
      <c r="AO32" s="163">
        <v>-1</v>
      </c>
      <c r="AP32" s="168">
        <v>-10000</v>
      </c>
      <c r="AQ32" s="45">
        <v>-10000</v>
      </c>
      <c r="AR32" s="45">
        <v>-10000</v>
      </c>
      <c r="AS32" s="45">
        <v>-10000</v>
      </c>
      <c r="AT32" s="163">
        <v>-10000</v>
      </c>
      <c r="AU32" s="45"/>
      <c r="AV32" s="45"/>
      <c r="AW32" s="45"/>
      <c r="AX32" s="45"/>
      <c r="AY32" s="45"/>
      <c r="AZ32" s="45"/>
      <c r="BA32" s="45"/>
      <c r="BB32" s="45"/>
      <c r="BC32" s="45"/>
      <c r="BD32" s="45"/>
      <c r="BE32" s="45"/>
    </row>
    <row r="33" spans="1:57" ht="22.5" customHeight="1">
      <c r="A33" s="172" t="str">
        <f>IF(Roster!$J$25="Italiano","TIPO",(IF(Roster!$J$25="Español","TIPO",(IF(Roster!$J$25="Deutsch","POSITION",(IF(Roster!$J$25="Français","POSTE","TYPE")))))))</f>
        <v>TIPO</v>
      </c>
      <c r="B33" s="173" t="str">
        <f>IF($J$40="Italiano","AVANZAMENTO 1",(IF($J$40="Español","MEJORA 1",(IF($J$40="Deutsch","VERBES-SERUNG 1",(IF($J$40="Français","AMÉLIORATION 1","UPGRADE 1")))))))</f>
        <v>UPGRADE 1</v>
      </c>
      <c r="C33" s="174" t="str">
        <f>IF(Roster!$J$25="Italiano","COSTO",(IF(Roster!$J$25="Español","PRECIO",(IF(Roster!$J$25="Deutsch","WERT",(IF(Roster!$J$25="Français","VALEUR","COST")))))))</f>
        <v>COSTO</v>
      </c>
      <c r="D33" s="291" t="str">
        <f>IF($J$40="Italiano","AVANZAMENTO 2",(IF($J$40="Español","MEJORA 2",(IF($J$40="Deutsch","VERBES-SERUNG 2",(IF($J$40="Français","AMÉLIORATION 2","UPGRADE 2")))))))</f>
        <v>UPGRADE 2</v>
      </c>
      <c r="E33" s="249"/>
      <c r="F33" s="174" t="str">
        <f>IF(Roster!$J$25="Italiano","COSTO",(IF(Roster!$J$25="Español","PRECIO",(IF(Roster!$J$25="Deutsch","WERT",(IF(Roster!$J$25="Français","VALEUR","COST")))))))</f>
        <v>COSTO</v>
      </c>
      <c r="G33" s="291" t="str">
        <f>IF($J$40="Italiano","AVANZAMENTO 3",(IF($J$40="Español","MEJORA 3",(IF($J$40="Deutsch","VERBES-SERUNG 3",(IF($J$40="Français","AMÉLIORATION 3","UPGRADE 3")))))))</f>
        <v>UPGRADE 3</v>
      </c>
      <c r="H33" s="249"/>
      <c r="I33" s="8" t="str">
        <f>IF(Roster!$J$25="Italiano","COSTO",(IF(Roster!$J$25="Español","PRECIO",(IF(Roster!$J$25="Deutsch","WERT",(IF(Roster!$J$25="Français","VALEUR","COST")))))))</f>
        <v>COSTO</v>
      </c>
      <c r="J33" s="291" t="str">
        <f>IF($J$40="Italiano","AVANZAMENTO 4",(IF($J$40="Español","MEJORA 4",(IF($J$40="Deutsch","VERBES-SERUNG 4",(IF($J$40="Français","AMÉLIORATION 4","UPGRADE 4")))))))</f>
        <v>UPGRADE 4</v>
      </c>
      <c r="K33" s="249"/>
      <c r="L33" s="8" t="str">
        <f>IF(Roster!$J$25="Italiano","COSTO",(IF(Roster!$J$25="Español","PRECIO",(IF(Roster!$J$25="Deutsch","WERT",(IF(Roster!$J$25="Français","VALEUR","COST")))))))</f>
        <v>COSTO</v>
      </c>
      <c r="M33" s="291" t="str">
        <f>IF($J$40="Italiano","AVANZAMENTO 5",(IF($J$40="Español","MEJORA 5",(IF($J$40="Deutsch","VERBES-SERUNG 5",(IF($J$40="Français","AMÉLIORATION 5","UPGRADE 5")))))))</f>
        <v>UPGRADE 5</v>
      </c>
      <c r="N33" s="249"/>
      <c r="O33" s="8" t="str">
        <f>IF(Roster!$J$25="Italiano","COSTO",(IF(Roster!$J$25="Español","PRECIO",(IF(Roster!$J$25="Deutsch","WERT",(IF(Roster!$J$25="Français","VALEUR","COST")))))))</f>
        <v>COSTO</v>
      </c>
      <c r="P33" s="291" t="str">
        <f>IF($J$40="Italiano","AVANZAMENTO 6",(IF($J$40="Español","MEJORA 6",(IF($J$40="Deutsch","VERBES-SERUNG 6",(IF($J$40="Français","AMÉLIORATION 6","UPGRADE 6")))))))</f>
        <v>UPGRADE 6</v>
      </c>
      <c r="Q33" s="249"/>
      <c r="R33" s="8" t="str">
        <f>IF(Roster!$J$25="Italiano","COSTO",(IF(Roster!$J$25="Español","PRECIO",(IF(Roster!$J$25="Deutsch","WERT",(IF(Roster!$J$25="Français","VALEUR","COST")))))))</f>
        <v>COSTO</v>
      </c>
      <c r="S33" s="8" t="s">
        <v>333</v>
      </c>
      <c r="T33" s="240"/>
      <c r="U33" s="45"/>
      <c r="V33" s="162" t="str">
        <f t="shared" ref="V33:W33" si="27">IF($B$29="Stunty Superstar",C46,(IF($B$29="Legendary Linemen",F46,(IF($B$29="Brutal Blockers",I46,(IF($B$29="Reliable Ringers",L46,(IF($B$29="Bona Fide Big Guy",O46,"")))))))))</f>
        <v/>
      </c>
      <c r="W33" s="163">
        <f t="shared" si="27"/>
        <v>0</v>
      </c>
      <c r="X33" s="160"/>
      <c r="Y33" s="162" t="s">
        <v>334</v>
      </c>
      <c r="Z33" s="45">
        <v>6</v>
      </c>
      <c r="AA33" s="45">
        <v>3</v>
      </c>
      <c r="AB33" s="45">
        <v>3</v>
      </c>
      <c r="AC33" s="45">
        <v>4</v>
      </c>
      <c r="AD33" s="45">
        <v>9</v>
      </c>
      <c r="AE33" s="160" t="str">
        <f>IF(((COUNTIF(AE29,"A"))+(COUNTIF(AE29,"B"))+(COUNTIF(AE29,"H"))+(COUNTIF(AE29,"I"))+(COUNTIF(AE29,"M")))=1,"Loner (5+)","Loner (4+)")</f>
        <v>Loner (4+)</v>
      </c>
      <c r="AF33" s="160" t="str">
        <f t="shared" ref="AF33:AH33" si="28">""</f>
        <v/>
      </c>
      <c r="AG33" s="160" t="str">
        <f t="shared" si="28"/>
        <v/>
      </c>
      <c r="AH33" s="160" t="str">
        <f t="shared" si="28"/>
        <v/>
      </c>
      <c r="AI33" s="163">
        <v>50000</v>
      </c>
      <c r="AJ33" s="45"/>
      <c r="AK33" s="175">
        <v>-2</v>
      </c>
      <c r="AL33" s="176">
        <f>IF(B29="Stunty Superstar",0,-2)</f>
        <v>-2</v>
      </c>
      <c r="AM33" s="176">
        <v>2</v>
      </c>
      <c r="AN33" s="176">
        <v>2</v>
      </c>
      <c r="AO33" s="177">
        <v>-2</v>
      </c>
      <c r="AP33" s="175">
        <v>-20000</v>
      </c>
      <c r="AQ33" s="176">
        <v>-20000</v>
      </c>
      <c r="AR33" s="176">
        <v>-20000</v>
      </c>
      <c r="AS33" s="176">
        <v>-20000</v>
      </c>
      <c r="AT33" s="177">
        <v>-20000</v>
      </c>
      <c r="AU33" s="45"/>
      <c r="AV33" s="45"/>
      <c r="AW33" s="45"/>
      <c r="AX33" s="45"/>
      <c r="AY33" s="45"/>
      <c r="AZ33" s="45"/>
      <c r="BA33" s="45"/>
      <c r="BB33" s="45"/>
      <c r="BC33" s="45"/>
      <c r="BD33" s="45"/>
      <c r="BE33" s="45"/>
    </row>
    <row r="34" spans="1:57" ht="22.5" customHeight="1">
      <c r="A34" s="29" t="str">
        <f>IF($J$40="Italiano","GENERALE:",(IF($J$40="Français","GÉNÉRALE:","GENERAL:")))</f>
        <v>GENERAL:</v>
      </c>
      <c r="B34" s="53"/>
      <c r="C34" s="171">
        <f>IF(B34&lt;&gt;"",(IF(B29="Legendary Linemen",20000,(IF(B29="Reliable Ringers",30000,(IF(B29="Mercenaries",0,40000)))))),0)</f>
        <v>0</v>
      </c>
      <c r="D34" s="269"/>
      <c r="E34" s="249"/>
      <c r="F34" s="171" t="str">
        <f>IF(B29&lt;&gt;"Legendary Linemen","ILEGAL",(IF(D34&lt;&gt;"",50000,0)))</f>
        <v>ILEGAL</v>
      </c>
      <c r="G34" s="269"/>
      <c r="H34" s="249"/>
      <c r="I34" s="171" t="str">
        <f>IF(B29&lt;&gt;"Legendary Linemen","ILEGAL",(IF(G34&lt;&gt;"",80000,0)))</f>
        <v>ILEGAL</v>
      </c>
      <c r="J34" s="269"/>
      <c r="K34" s="249"/>
      <c r="L34" s="171" t="str">
        <f>IF(B29&lt;&gt;"Legendary Linemen","ILEGAL",(IF(J34&lt;&gt;"",110000,0)))</f>
        <v>ILEGAL</v>
      </c>
      <c r="M34" s="269"/>
      <c r="N34" s="249"/>
      <c r="O34" s="171" t="str">
        <f>IF(B29&lt;&gt;"Legendary Linemen","ILEGAL",(IF(M34&lt;&gt;"",140000,0)))</f>
        <v>ILEGAL</v>
      </c>
      <c r="P34" s="269"/>
      <c r="Q34" s="249"/>
      <c r="R34" s="171" t="str">
        <f>IF(B29&lt;&gt;"Legendary Linemen","ILEGAL",(IF(P34&lt;&gt;"",170000,0)))</f>
        <v>ILEGAL</v>
      </c>
      <c r="S34" s="171">
        <f t="shared" ref="S34:S38" si="29">SUM(C34,F34,I34,L34,O34,R34)</f>
        <v>0</v>
      </c>
      <c r="T34" s="240"/>
      <c r="U34" s="45"/>
      <c r="V34" s="162" t="str">
        <f t="shared" ref="V34:W34" si="30">IF($B$29="Stunty Superstar",C47,(IF($B$29="Legendary Linemen",F47,(IF($B$29="Brutal Blockers",I47,(IF($B$29="Reliable Ringers",L47,(IF($B$29="Bona Fide Big Guy",O47,"")))))))))</f>
        <v/>
      </c>
      <c r="W34" s="163">
        <f t="shared" si="30"/>
        <v>0</v>
      </c>
      <c r="X34" s="160"/>
      <c r="Y34" s="162" t="s">
        <v>335</v>
      </c>
      <c r="Z34" s="45">
        <v>4</v>
      </c>
      <c r="AA34" s="45">
        <v>4</v>
      </c>
      <c r="AB34" s="45">
        <v>4</v>
      </c>
      <c r="AC34" s="45">
        <v>6</v>
      </c>
      <c r="AD34" s="45">
        <v>9</v>
      </c>
      <c r="AE34" s="160" t="str">
        <f>IF(((COUNTIF(AE29,"A"))+(COUNTIF(AE29,"B"))+(COUNTIF(AE29,"H"))+(COUNTIF(AE29,"I"))+(COUNTIF(AE29,"M")))=1,"Loner (5+)","Loner (4+)")</f>
        <v>Loner (4+)</v>
      </c>
      <c r="AF34" s="160" t="str">
        <f>IF(OR(AE29="H",AE29="M"),"Mighty Blow (+2)","")</f>
        <v/>
      </c>
      <c r="AG34" s="160" t="str">
        <f t="shared" ref="AG34:AH34" si="31">""</f>
        <v/>
      </c>
      <c r="AH34" s="160" t="str">
        <f t="shared" si="31"/>
        <v/>
      </c>
      <c r="AI34" s="163">
        <v>70000</v>
      </c>
      <c r="AJ34" s="45"/>
      <c r="AK34" s="16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L34" s="45"/>
      <c r="AM34" s="45"/>
      <c r="AN34" s="45"/>
      <c r="AO34" s="45"/>
      <c r="AP34" s="45"/>
      <c r="AQ34" s="45"/>
      <c r="AR34" s="45"/>
      <c r="AS34" s="45"/>
      <c r="AT34" s="45"/>
      <c r="AU34" s="45"/>
      <c r="AV34" s="45"/>
      <c r="AW34" s="45"/>
      <c r="AX34" s="45"/>
      <c r="AY34" s="45"/>
      <c r="AZ34" s="45"/>
      <c r="BA34" s="45"/>
      <c r="BB34" s="45"/>
      <c r="BC34" s="45"/>
      <c r="BD34" s="45"/>
      <c r="BE34" s="45"/>
    </row>
    <row r="35" spans="1:57" ht="22.5" customHeight="1">
      <c r="A35" s="29" t="str">
        <f>IF($J$40="Italiano","FORZA:",(IF($J$40="Español","FUERZA:",(IF($J$40="Français","FORCE:","STRENGTH:")))))</f>
        <v>STRENGTH:</v>
      </c>
      <c r="B35" s="53"/>
      <c r="C35" s="171">
        <f>IF(B35&lt;&gt;"",(IF(B29="Stunty Superstar",0,(IF(B29="Reliable Ringers",50000,(IF(B29="Mercenaries",0,30000)))))),0)</f>
        <v>0</v>
      </c>
      <c r="D35" s="269"/>
      <c r="E35" s="249"/>
      <c r="F35" s="171" t="str">
        <f>IF($B$3&lt;&gt;"Brutal Blockers",(IF($B$3&lt;&gt;"Bona Fide Big Guy","ILEGAL",(IF(D35&lt;&gt;"",70000,0)))),(IF(D35&lt;&gt;"",70000,0)))</f>
        <v>ILEGAL</v>
      </c>
      <c r="G35" s="269"/>
      <c r="H35" s="249"/>
      <c r="I35" s="171" t="str">
        <f>IF($B$3&lt;&gt;"Brutal Blockers",(IF($B$3&lt;&gt;"Bona Fide Big Guy","ILEGAL",(IF(G35&lt;&gt;"",110000,0)))),(IF(G35&lt;&gt;"",110000,0)))</f>
        <v>ILEGAL</v>
      </c>
      <c r="J35" s="269"/>
      <c r="K35" s="249"/>
      <c r="L35" s="171" t="str">
        <f>IF($B$3&lt;&gt;"Brutal Blockers",(IF($B$3&lt;&gt;"Bona Fide Big Guy","ILEGAL",(IF(J35&lt;&gt;"",150000,0)))),(IF(J35&lt;&gt;"",150000,0)))</f>
        <v>ILEGAL</v>
      </c>
      <c r="M35" s="269"/>
      <c r="N35" s="249"/>
      <c r="O35" s="171" t="str">
        <f>IF($B$3&lt;&gt;"Brutal Blockers",(IF($B$3&lt;&gt;"Bona Fide Big Guy","ILEGAL",(IF(M35&lt;&gt;"",190000,0)))),(IF(M35&lt;&gt;"",190000,0)))</f>
        <v>ILEGAL</v>
      </c>
      <c r="P35" s="269"/>
      <c r="Q35" s="249"/>
      <c r="R35" s="171" t="str">
        <f>IF($B$3&lt;&gt;"Brutal Blockers",(IF($B$3&lt;&gt;"Bona Fide Big Guy","ILEGAL",(IF(P35&lt;&gt;"",230000,0)))),(IF(P35&lt;&gt;"",230000,0)))</f>
        <v>ILEGAL</v>
      </c>
      <c r="S35" s="171">
        <f t="shared" si="29"/>
        <v>0</v>
      </c>
      <c r="T35" s="240"/>
      <c r="U35" s="45"/>
      <c r="V35" s="162" t="str">
        <f t="shared" ref="V35:W35" si="32">IF($B$29="Stunty Superstar",C48,(IF($B$29="Legendary Linemen",F48,(IF($B$29="Brutal Blockers",I48,(IF($B$29="Reliable Ringers",L48,(IF($B$29="Bona Fide Big Guy",O48,"")))))))))</f>
        <v/>
      </c>
      <c r="W35" s="163">
        <f t="shared" si="32"/>
        <v>0</v>
      </c>
      <c r="X35" s="160"/>
      <c r="Y35" s="162" t="s">
        <v>336</v>
      </c>
      <c r="Z35" s="45">
        <v>6</v>
      </c>
      <c r="AA35" s="45">
        <v>3</v>
      </c>
      <c r="AB35" s="45">
        <v>2</v>
      </c>
      <c r="AC35" s="45">
        <v>3</v>
      </c>
      <c r="AD35" s="45">
        <v>8</v>
      </c>
      <c r="AE35" s="160" t="str">
        <f>IF(((COUNTIF(AE29,"A"))+(COUNTIF(AE29,"B"))+(COUNTIF(AE29,"H"))+(COUNTIF(AE29,"I"))+(COUNTIF(AE29,"M")))=1,"Loner (5+)","Loner (4+)")</f>
        <v>Loner (4+)</v>
      </c>
      <c r="AF35" s="160" t="str">
        <f t="shared" ref="AF35:AH35" si="33">""</f>
        <v/>
      </c>
      <c r="AG35" s="160" t="str">
        <f t="shared" si="33"/>
        <v/>
      </c>
      <c r="AH35" s="160" t="str">
        <f t="shared" si="33"/>
        <v/>
      </c>
      <c r="AI35" s="163">
        <v>70000</v>
      </c>
      <c r="AJ35" s="45"/>
      <c r="AK35" s="45"/>
      <c r="AL35" s="45"/>
      <c r="AM35" s="45"/>
      <c r="AN35" s="45"/>
      <c r="AO35" s="45"/>
      <c r="AP35" s="45"/>
      <c r="AQ35" s="45"/>
      <c r="AR35" s="45"/>
      <c r="AS35" s="45"/>
      <c r="AT35" s="45"/>
      <c r="AU35" s="45"/>
      <c r="AV35" s="45"/>
      <c r="AW35" s="45"/>
      <c r="AX35" s="45"/>
      <c r="AY35" s="45"/>
      <c r="AZ35" s="45"/>
      <c r="BA35" s="45"/>
      <c r="BB35" s="45"/>
      <c r="BC35" s="45"/>
      <c r="BD35" s="45"/>
      <c r="BE35" s="45"/>
    </row>
    <row r="36" spans="1:57" ht="22.5" customHeight="1">
      <c r="A36" s="29" t="str">
        <f>IF($J$40="Italiano","AGILITÀ:",(IF($J$40="Español","AGILIDAD:",(IF($J$40="Deutsch","AGILITÄT:",(IF($J$40="Français","AGILITÉ:","AGILITY:")))))))</f>
        <v>AGILITY:</v>
      </c>
      <c r="B36" s="53"/>
      <c r="C36" s="171">
        <f>IF(B36&lt;&gt;"",(IF(B29="Stunty Superstar",10000,(IF(B29="Brutal Blockers",40000,(IF(OR(B29="Mercenaries",B29="Bona Fide Big Guy"),0,30000)))))),0)</f>
        <v>0</v>
      </c>
      <c r="D36" s="269"/>
      <c r="E36" s="249"/>
      <c r="F36" s="171">
        <f>IF($B$3&lt;&gt;"Stunty Superstar",(IF($B$3&lt;&gt;"Reliable Ringers","ILEGAL",(IF(D36&lt;&gt;"",70000,0)))),(IF(D36&lt;&gt;"",30000,0)))</f>
        <v>0</v>
      </c>
      <c r="G36" s="269"/>
      <c r="H36" s="249"/>
      <c r="I36" s="171">
        <f>IF($B$3&lt;&gt;"Stunty Superstar",(IF($B$3&lt;&gt;"Reliable Ringers","ILEGAL",(IF(G36&lt;&gt;"",110000,0)))),(IF(G36&lt;&gt;"",50000,0)))</f>
        <v>0</v>
      </c>
      <c r="J36" s="269"/>
      <c r="K36" s="249"/>
      <c r="L36" s="171">
        <f>IF($B$3&lt;&gt;"Stunty Superstar",(IF($B$3&lt;&gt;"Reliable Ringers","ILEGAL",(IF(J36&lt;&gt;"",150000,0)))),(IF(J36&lt;&gt;"",70000,0)))</f>
        <v>0</v>
      </c>
      <c r="M36" s="269"/>
      <c r="N36" s="249"/>
      <c r="O36" s="171">
        <f>IF($B$3&lt;&gt;"Stunty Superstar",(IF($B$3&lt;&gt;"Reliable Ringers","ILEGAL",(IF(M36&lt;&gt;"",190000,0)))),(IF(M36&lt;&gt;"",90000,0)))</f>
        <v>0</v>
      </c>
      <c r="P36" s="269"/>
      <c r="Q36" s="249"/>
      <c r="R36" s="171">
        <f>IF($B$3&lt;&gt;"Stunty Superstar",(IF($B$3&lt;&gt;"Reliable Ringers","ILEGAL",(IF(P36&lt;&gt;"",230000,0)))),(IF(P36&lt;&gt;"",110000,0)))</f>
        <v>0</v>
      </c>
      <c r="S36" s="171">
        <f t="shared" si="29"/>
        <v>0</v>
      </c>
      <c r="T36" s="240"/>
      <c r="U36" s="45"/>
      <c r="V36" s="165" t="str">
        <f t="shared" ref="V36:W36" si="34">IF($B$29="Stunty Superstar",C49,(IF($B$29="Legendary Linemen",F49,(IF($B$29="Brutal Blockers",I49,(IF($B$29="Reliable Ringers",L49,(IF($B$29="Bona Fide Big Guy",O49,"")))))))))</f>
        <v/>
      </c>
      <c r="W36" s="177">
        <f t="shared" si="34"/>
        <v>0</v>
      </c>
      <c r="X36" s="160"/>
      <c r="Y36" s="165" t="s">
        <v>337</v>
      </c>
      <c r="Z36" s="176">
        <v>4</v>
      </c>
      <c r="AA36" s="176">
        <v>5</v>
      </c>
      <c r="AB36" s="176">
        <v>4</v>
      </c>
      <c r="AC36" s="176">
        <v>5</v>
      </c>
      <c r="AD36" s="176">
        <v>9</v>
      </c>
      <c r="AE36" s="166" t="str">
        <f>IF(((COUNTIF(AE29,"A"))+(COUNTIF(AE29,"B"))+(COUNTIF(AE29,"H"))+(COUNTIF(AE29,"I"))+(COUNTIF(AE29,"M")))=1,"Loner (5+)","Loner (4+)")</f>
        <v>Loner (4+)</v>
      </c>
      <c r="AF36" s="166" t="str">
        <f>IF(OR(AE29="J",AE29="K",AE29="L",AE29="M",AE29="N"),"","Bone Head")</f>
        <v>Bone Head</v>
      </c>
      <c r="AG36" s="166" t="str">
        <f>IF(OR(AE29="H",AE29="M"),"Mighty Blow (+2)","Mighty Blow (+1)")</f>
        <v>Mighty Blow (+1)</v>
      </c>
      <c r="AH36" s="166" t="str">
        <f>IF(OR(AE29="K",AE29="L"),"","Throw Team Mate")</f>
        <v>Throw Team Mate</v>
      </c>
      <c r="AI36" s="177">
        <v>130000</v>
      </c>
      <c r="AJ36" s="45"/>
      <c r="AK36" s="45"/>
      <c r="AL36" s="45"/>
      <c r="AM36" s="45"/>
      <c r="AN36" s="45"/>
      <c r="AO36" s="45"/>
      <c r="AP36" s="45"/>
      <c r="AQ36" s="45"/>
      <c r="AR36" s="45"/>
      <c r="AS36" s="45"/>
      <c r="AT36" s="45"/>
      <c r="AU36" s="45"/>
      <c r="AV36" s="45"/>
      <c r="AW36" s="45"/>
      <c r="AX36" s="45"/>
      <c r="AY36" s="45"/>
      <c r="AZ36" s="45"/>
      <c r="BA36" s="45"/>
      <c r="BB36" s="45"/>
      <c r="BC36" s="45"/>
      <c r="BD36" s="45"/>
      <c r="BE36" s="45"/>
    </row>
    <row r="37" spans="1:57" ht="22.5" customHeight="1">
      <c r="A37" s="29" t="str">
        <f>IF($J$40="Español","PASE:",(IF($J$40="Français","PASSER:","PASS:")))</f>
        <v>PASS:</v>
      </c>
      <c r="B37" s="53"/>
      <c r="C37" s="171">
        <f>IF(B37&lt;&gt;"",(IF(B29="Mercenaries",0,(IF(OR(B29="Reliable Ringers",B29="Bona Fide Big Guy"),30000,20000)))),0)</f>
        <v>0</v>
      </c>
      <c r="D37" s="269"/>
      <c r="E37" s="249"/>
      <c r="F37" s="171" t="s">
        <v>338</v>
      </c>
      <c r="G37" s="269"/>
      <c r="H37" s="249"/>
      <c r="I37" s="171" t="s">
        <v>338</v>
      </c>
      <c r="J37" s="269"/>
      <c r="K37" s="249"/>
      <c r="L37" s="171" t="s">
        <v>338</v>
      </c>
      <c r="M37" s="269"/>
      <c r="N37" s="249"/>
      <c r="O37" s="171" t="s">
        <v>338</v>
      </c>
      <c r="P37" s="269"/>
      <c r="Q37" s="249"/>
      <c r="R37" s="171" t="s">
        <v>338</v>
      </c>
      <c r="S37" s="171">
        <f t="shared" si="29"/>
        <v>0</v>
      </c>
      <c r="T37" s="240"/>
      <c r="U37" s="45"/>
      <c r="V37" s="160"/>
      <c r="W37" s="160"/>
      <c r="X37" s="160"/>
      <c r="Y37" s="160"/>
      <c r="Z37" s="160"/>
      <c r="AA37" s="160"/>
      <c r="AB37" s="160"/>
      <c r="AC37" s="160"/>
      <c r="AD37" s="160"/>
      <c r="AE37" s="160"/>
      <c r="AF37" s="160"/>
      <c r="AG37" s="160"/>
      <c r="AH37" s="160"/>
      <c r="AI37" s="160"/>
      <c r="AJ37" s="45"/>
      <c r="AK37" s="45"/>
      <c r="AL37" s="45"/>
      <c r="AM37" s="45"/>
      <c r="AN37" s="45"/>
      <c r="AO37" s="45"/>
      <c r="AP37" s="45"/>
      <c r="AQ37" s="45"/>
      <c r="AR37" s="45"/>
      <c r="AS37" s="45"/>
      <c r="AT37" s="45"/>
      <c r="AU37" s="45"/>
      <c r="AV37" s="45"/>
      <c r="AW37" s="45"/>
      <c r="AX37" s="45"/>
      <c r="AY37" s="45"/>
      <c r="AZ37" s="45"/>
      <c r="BA37" s="45"/>
      <c r="BB37" s="45"/>
      <c r="BC37" s="45"/>
      <c r="BD37" s="45"/>
      <c r="BE37" s="45"/>
    </row>
    <row r="38" spans="1:57" ht="22.5" customHeight="1">
      <c r="A38" s="8" t="str">
        <f>IF($J$40="Italiano","MUTAZIONE:",(IF($J$40="Español","MUTACIÓN:","MUTATION:")))</f>
        <v>MUTATION:</v>
      </c>
      <c r="B38" s="53"/>
      <c r="C38" s="171">
        <f>IF(B29="Stunty Superstar","ILEGAL",(IF(B38&lt;&gt;"",(IF(B29="Mercenaries",0,(IF(OR(B29="Brutal Blockers",B29="Bona Fide Big Guy"),40000,IF(B29="Legendary Linemen",30000,(IF(B38="Big Hand",30000,(IF(B38="Extra Arms",20000,(IF(B38="Two Heads",30000,(IF(B38="Very Long Legs",30000,0))))))))))))),0)))</f>
        <v>0</v>
      </c>
      <c r="D38" s="269"/>
      <c r="E38" s="249"/>
      <c r="F38" s="171" t="str">
        <f>IF(OR($B$3="Stunty Superstar",$B$3="Brutal Blockers",$B$3="Bona Fide Big Guy",$B$3="Mercenaries"),"ILEGAL",(IF(D38&lt;&gt;"",(IF($B$3="Legendary Linemen",70000,(IF(D38="Big Hand",30000,(IF(D38="Extra Arms",20000,(IF(D38="Two Heads",30000,(IF(D38="Very Long Legs",30000,"ILEGAL")))))))))),0)))</f>
        <v>ILEGAL</v>
      </c>
      <c r="G38" s="269"/>
      <c r="H38" s="249"/>
      <c r="I38" s="171" t="str">
        <f>IF(OR($B$3="Stunty Superstar",$B$3="Brutal Blockers",$B$3="Bona Fide Big Guy",$B$3="Mercenaries"),"ILEGAL",(IF(G38&lt;&gt;"",(IF($B$3="Legendary Linemen",110000,(IF(G38="Big Hand",30000,(IF(G38="Extra Arms",20000,(IF(G38="Two Heads",30000,(IF(G38="Very Long Legs",30000,0)))))))))),0)))</f>
        <v>ILEGAL</v>
      </c>
      <c r="J38" s="269"/>
      <c r="K38" s="249"/>
      <c r="L38" s="171" t="str">
        <f>IF(OR($B$3="Stunty Superstar",$B$3="Brutal Blockers",$B$3="Bona Fide Big Guy",$B$3="Mercenaries"),"ILEGAL",(IF(J38&lt;&gt;"",(IF($B$3="Legendary Linemen",150000,(IF(J38="Big Hand",30000,(IF(J38="Extra Arms",20000,(IF(J38="Two Heads",30000,(IF(J38="Very Long Legs",30000,0)))))))))),0)))</f>
        <v>ILEGAL</v>
      </c>
      <c r="M38" s="269"/>
      <c r="N38" s="249"/>
      <c r="O38" s="171" t="str">
        <f>IF(B29&lt;&gt;"Legendary Linemen","ILEGAL",(IF(M38&lt;&gt;"",190000,0)))</f>
        <v>ILEGAL</v>
      </c>
      <c r="P38" s="269"/>
      <c r="Q38" s="249"/>
      <c r="R38" s="171" t="str">
        <f>IF(B29&lt;&gt;"Legendary Linemen","ILEGAL",(IF(P38&lt;&gt;"",230000,0)))</f>
        <v>ILEGAL</v>
      </c>
      <c r="S38" s="171">
        <f t="shared" si="29"/>
        <v>0</v>
      </c>
      <c r="T38" s="241"/>
      <c r="U38" s="45"/>
      <c r="V38" s="38" t="s">
        <v>333</v>
      </c>
      <c r="W38" s="178">
        <f>SUM(Y38:AI38)</f>
        <v>0</v>
      </c>
      <c r="X38" s="178"/>
      <c r="Y38" s="178">
        <f>IF(K32="ILEGAL",0,K32)</f>
        <v>0</v>
      </c>
      <c r="Z38" s="178">
        <f>IF(M32="ILEGAL",0,M32)</f>
        <v>0</v>
      </c>
      <c r="AA38" s="178">
        <f>IF(O32="ILEGAL",0,O32)</f>
        <v>0</v>
      </c>
      <c r="AB38" s="178">
        <f>IF(Q32="ILEGAL",0,Q32)</f>
        <v>0</v>
      </c>
      <c r="AC38" s="178">
        <f>IF(S32="ILEGAL",0,S32)</f>
        <v>0</v>
      </c>
      <c r="AD38" s="178">
        <f>I32</f>
        <v>0</v>
      </c>
      <c r="AE38" s="178">
        <f>S34</f>
        <v>0</v>
      </c>
      <c r="AF38" s="178">
        <f>S35</f>
        <v>0</v>
      </c>
      <c r="AG38" s="178">
        <f>S36</f>
        <v>0</v>
      </c>
      <c r="AH38" s="178">
        <f>S37</f>
        <v>0</v>
      </c>
      <c r="AI38" s="56">
        <f>S38</f>
        <v>0</v>
      </c>
      <c r="AJ38" s="45"/>
      <c r="AK38" s="45"/>
      <c r="AL38" s="45"/>
      <c r="AM38" s="45"/>
      <c r="AN38" s="45"/>
      <c r="AO38" s="45"/>
      <c r="AP38" s="45"/>
      <c r="AQ38" s="45"/>
      <c r="AR38" s="45"/>
      <c r="AS38" s="45"/>
      <c r="AT38" s="45"/>
      <c r="AU38" s="45"/>
      <c r="AV38" s="45"/>
      <c r="AW38" s="45"/>
      <c r="AX38" s="45"/>
      <c r="AY38" s="45"/>
      <c r="AZ38" s="45"/>
      <c r="BA38" s="45"/>
      <c r="BB38" s="45"/>
      <c r="BC38" s="45"/>
      <c r="BD38" s="45"/>
      <c r="BE38" s="45"/>
    </row>
    <row r="39" spans="1:57" ht="15" customHeight="1">
      <c r="A39" s="349"/>
      <c r="B39" s="243"/>
      <c r="C39" s="243"/>
      <c r="D39" s="243"/>
      <c r="E39" s="243"/>
      <c r="F39" s="243"/>
      <c r="G39" s="243"/>
      <c r="H39" s="243"/>
      <c r="I39" s="243"/>
      <c r="J39" s="243"/>
      <c r="K39" s="243"/>
      <c r="L39" s="243"/>
      <c r="M39" s="243"/>
      <c r="N39" s="243"/>
      <c r="O39" s="243"/>
      <c r="P39" s="243"/>
      <c r="Q39" s="243"/>
      <c r="R39" s="243"/>
      <c r="S39" s="243"/>
      <c r="T39" s="244"/>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48" t="s">
        <v>339</v>
      </c>
      <c r="D41" s="285"/>
      <c r="E41" s="2"/>
      <c r="F41" s="348" t="s">
        <v>340</v>
      </c>
      <c r="G41" s="285"/>
      <c r="H41" s="2"/>
      <c r="I41" s="348" t="s">
        <v>341</v>
      </c>
      <c r="J41" s="285"/>
      <c r="K41" s="2"/>
      <c r="L41" s="348" t="s">
        <v>342</v>
      </c>
      <c r="M41" s="285"/>
      <c r="N41" s="2"/>
      <c r="O41" s="348" t="s">
        <v>343</v>
      </c>
      <c r="P41" s="285"/>
      <c r="Q41" s="2"/>
      <c r="R41" s="160" t="s">
        <v>344</v>
      </c>
      <c r="S41" s="160" t="s">
        <v>225</v>
      </c>
      <c r="T41" s="160" t="s">
        <v>345</v>
      </c>
      <c r="U41" s="160" t="s">
        <v>346</v>
      </c>
      <c r="V41" s="160" t="str">
        <f t="shared" ref="V41:X41" si="35">""</f>
        <v/>
      </c>
      <c r="W41" s="160" t="str">
        <f t="shared" si="35"/>
        <v/>
      </c>
      <c r="X41" s="160"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2"/>
      <c r="C42" s="162"/>
      <c r="D42" s="163">
        <v>0</v>
      </c>
      <c r="E42" s="45"/>
      <c r="F42" s="162"/>
      <c r="G42" s="163">
        <v>0</v>
      </c>
      <c r="H42" s="45"/>
      <c r="I42" s="162"/>
      <c r="J42" s="163">
        <v>0</v>
      </c>
      <c r="K42" s="45"/>
      <c r="L42" s="162"/>
      <c r="M42" s="163">
        <v>0</v>
      </c>
      <c r="N42" s="45"/>
      <c r="O42" s="162"/>
      <c r="P42" s="163">
        <v>0</v>
      </c>
      <c r="Q42" s="2"/>
      <c r="R42" s="160" t="s">
        <v>347</v>
      </c>
      <c r="S42" s="160" t="s">
        <v>348</v>
      </c>
      <c r="T42" s="160" t="s">
        <v>349</v>
      </c>
      <c r="U42" s="160" t="s">
        <v>346</v>
      </c>
      <c r="V42" s="160" t="str">
        <f t="shared" ref="V42:X42" si="36">""</f>
        <v/>
      </c>
      <c r="W42" s="160" t="str">
        <f t="shared" si="36"/>
        <v/>
      </c>
      <c r="X42" s="160"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3"/>
      <c r="C43" s="162" t="str">
        <f>IF(Roster!BU2&lt;&gt;"SylvanianSpotlight",(IF(Roster!BU2&lt;&gt;"ElvenKingdomsLeague",(IF(Roster!BU2&lt;&gt;"Favouredof","Dirty Player (+1), Sneaky Git, Loner (5+)","")),"")),"")</f>
        <v>Dirty Player (+1), Sneaky Git, Loner (5+)</v>
      </c>
      <c r="D43" s="163">
        <v>50000</v>
      </c>
      <c r="E43" s="45"/>
      <c r="F43" s="162" t="s">
        <v>344</v>
      </c>
      <c r="G43" s="163">
        <v>70000</v>
      </c>
      <c r="H43" s="45"/>
      <c r="I43" s="162" t="str">
        <f>IF(Roster!BU2&lt;&gt;"Favouredof",(IF(Roster!BU2&lt;&gt;"ElvenKingdomsLeague",(IF(Roster!BU2&lt;&gt;"SylvanianSpotlight",(IF(Roster!BU2&lt;&gt;"UnderworldChallenge","Dirty Player (+1), Sneaky Git, Loner (5+)","")),"")),"")),"")</f>
        <v/>
      </c>
      <c r="J43" s="163">
        <v>70000</v>
      </c>
      <c r="K43" s="45"/>
      <c r="L43" s="162"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163">
        <v>70000</v>
      </c>
      <c r="N43" s="45"/>
      <c r="O43" s="162" t="s">
        <v>350</v>
      </c>
      <c r="P43" s="163">
        <v>-10000</v>
      </c>
      <c r="Q43" s="2"/>
      <c r="R43" s="160" t="s">
        <v>351</v>
      </c>
      <c r="S43" s="160" t="s">
        <v>352</v>
      </c>
      <c r="T43" s="160" t="s">
        <v>353</v>
      </c>
      <c r="U43" s="160" t="s">
        <v>354</v>
      </c>
      <c r="V43" s="160" t="str">
        <f t="shared" ref="V43:X43" si="37">""</f>
        <v/>
      </c>
      <c r="W43" s="160" t="str">
        <f t="shared" si="37"/>
        <v/>
      </c>
      <c r="X43" s="160"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3"/>
      <c r="C44" s="16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Dirty Player (+2), Sneaky Git, Loner (5+)</v>
      </c>
      <c r="D44" s="163">
        <v>80000</v>
      </c>
      <c r="E44" s="65"/>
      <c r="F44" s="162" t="str">
        <f>IF(Roster!BU2&lt;&gt;"LustrianSuperleague",(IF(Roster!BU2&lt;&gt;"ElvenKingdomsLeague","Dirty Player (+2), Sneaky Git, Loner (5+)","")),"")</f>
        <v>Dirty Player (+2), Sneaky Git, Loner (5+)</v>
      </c>
      <c r="G44" s="163">
        <v>90000</v>
      </c>
      <c r="H44" s="65"/>
      <c r="I44" s="16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163">
        <v>100000</v>
      </c>
      <c r="K44" s="65"/>
      <c r="L44" s="16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Stab, Secret Weapon</v>
      </c>
      <c r="M44" s="163">
        <v>20000</v>
      </c>
      <c r="N44" s="65"/>
      <c r="O44" s="162" t="str">
        <f>IF(Roster!BU2&lt;&gt;"LustrianSuperleague",(IF(Roster!BU2&lt;&gt;"ElvenKingdomsLeague",(IF(Roster!BU2&lt;&gt;"SylvanianSpotlight","Frenzy, Unchannelled Fury, Horns, -Throw Team Mate, -Bone Head","")),"")),"")</f>
        <v>Frenzy, Unchannelled Fury, Horns, -Throw Team Mate, -Bone Head</v>
      </c>
      <c r="P44" s="163">
        <v>20000</v>
      </c>
      <c r="Q44" s="2"/>
      <c r="R44" s="160" t="s">
        <v>355</v>
      </c>
      <c r="S44" s="160" t="s">
        <v>356</v>
      </c>
      <c r="T44" s="160" t="s">
        <v>357</v>
      </c>
      <c r="U44" s="160" t="s">
        <v>354</v>
      </c>
      <c r="V44" s="160" t="str">
        <f t="shared" ref="V44:X44" si="38">""</f>
        <v/>
      </c>
      <c r="W44" s="160" t="str">
        <f t="shared" si="38"/>
        <v/>
      </c>
      <c r="X44" s="160"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3"/>
      <c r="C45" s="162" t="str">
        <f>IF(Roster!BU2&lt;&gt;"LustrianSuperleague",(IF(Roster!BU2&lt;&gt;"ElvenKingdomsLeague",(IF(Roster!BU2&lt;&gt;"Favouredof","Bombardier, Secret Weapon","")),"")),"")</f>
        <v>Bombardier, Secret Weapon</v>
      </c>
      <c r="D45" s="163">
        <v>40000</v>
      </c>
      <c r="E45" s="45"/>
      <c r="F45" s="162" t="str">
        <f>IF(Roster!BU2&lt;&gt;"LustrianSuperleague",(IF(Roster!BU2&lt;&gt;"ElvenKingdomsLeague","Bombardier, Secret Weapon","")),"")</f>
        <v>Bombardier, Secret Weapon</v>
      </c>
      <c r="G45" s="163">
        <v>40000</v>
      </c>
      <c r="H45" s="45"/>
      <c r="I45" s="162" t="str">
        <f>IF(Roster!BU2&lt;&gt;"ElvenKingdomsLeague",(IF(Roster!BU2&lt;&gt;"UnderworldChallenge","Mighty Blow (+2), Loner (5+)","")),"")</f>
        <v/>
      </c>
      <c r="J45" s="163">
        <v>70000</v>
      </c>
      <c r="K45" s="45"/>
      <c r="L45" s="162" t="str">
        <f t="shared" ref="L45:L49" si="39">""</f>
        <v/>
      </c>
      <c r="M45" s="163">
        <v>0</v>
      </c>
      <c r="N45" s="45"/>
      <c r="O45" s="162"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163">
        <v>20000</v>
      </c>
      <c r="Q45" s="2"/>
      <c r="R45" s="160" t="s">
        <v>358</v>
      </c>
      <c r="S45" s="160" t="s">
        <v>359</v>
      </c>
      <c r="T45" s="160" t="s">
        <v>360</v>
      </c>
      <c r="U45" s="160" t="s">
        <v>361</v>
      </c>
      <c r="V45" s="160" t="s">
        <v>354</v>
      </c>
      <c r="W45" s="160" t="str">
        <f t="shared" ref="W45:X45" si="40">""</f>
        <v/>
      </c>
      <c r="X45" s="160"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3"/>
      <c r="C46" s="162" t="str">
        <f>IF(Roster!BU2&lt;&gt;"ElvenKingdomsLeague",(IF(Roster!BU2&lt;&gt;"Favouredof","Stab, Secret Weapon","")),"")</f>
        <v>Stab, Secret Weapon</v>
      </c>
      <c r="D46" s="163">
        <v>20000</v>
      </c>
      <c r="E46" s="45"/>
      <c r="F46" s="162" t="str">
        <f>IF(Roster!BU2&lt;&gt;"Favouredof","Stab, Secret Weapon","")</f>
        <v>Stab, Secret Weapon</v>
      </c>
      <c r="G46" s="163">
        <v>20000</v>
      </c>
      <c r="H46" s="45"/>
      <c r="I46" s="162" t="str">
        <f>IF(Roster!BU2&lt;&gt;"ElvenKingdomsLeague",(IF(Roster!BU2&lt;&gt;"Favouredof","Stab, Secret Weapon","")),"")</f>
        <v>Stab, Secret Weapon</v>
      </c>
      <c r="J46" s="163">
        <v>20000</v>
      </c>
      <c r="K46" s="45"/>
      <c r="L46" s="162" t="str">
        <f t="shared" si="39"/>
        <v/>
      </c>
      <c r="M46" s="163">
        <v>0</v>
      </c>
      <c r="N46" s="45"/>
      <c r="O46" s="162" t="s">
        <v>362</v>
      </c>
      <c r="P46" s="163">
        <v>50000</v>
      </c>
      <c r="Q46" s="2"/>
      <c r="R46" s="160" t="s">
        <v>363</v>
      </c>
      <c r="S46" s="160" t="s">
        <v>364</v>
      </c>
      <c r="T46" s="160" t="s">
        <v>363</v>
      </c>
      <c r="U46" s="160" t="str">
        <f t="shared" ref="U46:X46" si="41">""</f>
        <v/>
      </c>
      <c r="V46" s="160" t="str">
        <f t="shared" si="41"/>
        <v/>
      </c>
      <c r="W46" s="160" t="str">
        <f t="shared" si="41"/>
        <v/>
      </c>
      <c r="X46" s="160"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3"/>
      <c r="C47" s="162" t="str">
        <f>IF(Roster!BU2&lt;&gt;"ElvenKingdomsLeague",(IF(Roster!BU2&lt;&gt;"Favouredof","Chainsaw, No Hands, Secret Weapon","")),"")</f>
        <v>Chainsaw, No Hands, Secret Weapon</v>
      </c>
      <c r="D47" s="163">
        <v>70000</v>
      </c>
      <c r="E47" s="45"/>
      <c r="F47" s="162" t="s">
        <v>358</v>
      </c>
      <c r="G47" s="163">
        <v>70000</v>
      </c>
      <c r="H47" s="45"/>
      <c r="I47" s="162"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163">
        <v>90000</v>
      </c>
      <c r="K47" s="45"/>
      <c r="L47" s="162" t="str">
        <f t="shared" si="39"/>
        <v/>
      </c>
      <c r="M47" s="163">
        <v>0</v>
      </c>
      <c r="N47" s="45"/>
      <c r="O47" s="162" t="str">
        <f>IF(Roster!BU2&lt;&gt;"SylvanianSpotlight",(IF(Roster!BU2&lt;&gt;"ElvenKingdomsLeague","Ball &amp; Chain, No hands, Really Stupid, Secret Weapon, +2ST, -Bone Head, -1MA","")),"")</f>
        <v>Ball &amp; Chain, No hands, Really Stupid, Secret Weapon, +2ST, -Bone Head, -1MA</v>
      </c>
      <c r="P47" s="163">
        <v>80000</v>
      </c>
      <c r="Q47" s="2"/>
      <c r="R47" s="160" t="s">
        <v>365</v>
      </c>
      <c r="S47" s="160" t="s">
        <v>224</v>
      </c>
      <c r="T47" s="160" t="s">
        <v>366</v>
      </c>
      <c r="U47" s="160" t="s">
        <v>354</v>
      </c>
      <c r="V47" s="160" t="s">
        <v>361</v>
      </c>
      <c r="W47" s="160" t="str">
        <f t="shared" ref="W47:W48" si="42">""</f>
        <v/>
      </c>
      <c r="X47" s="160"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3"/>
      <c r="C48" s="162" t="str">
        <f>IF(Roster!BU2&lt;&gt;"OldWorldClassic",(IF(Roster!BU2&lt;&gt;"ElvenKingdomsLeague",(IF(Roster!BU2&lt;&gt;"Favouredof",(IF(Roster!BU2&lt;&gt;"OldWorldClassicWorldsEdgeSuperleague","Pogo Stick","")),"")),"")),"")</f>
        <v>Pogo Stick</v>
      </c>
      <c r="D48" s="163">
        <v>50000</v>
      </c>
      <c r="E48" s="65"/>
      <c r="F48" s="162" t="str">
        <f t="shared" ref="F48:F49" si="43">""</f>
        <v/>
      </c>
      <c r="G48" s="163">
        <v>0</v>
      </c>
      <c r="H48" s="65"/>
      <c r="I48" s="16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163">
        <v>70000</v>
      </c>
      <c r="K48" s="65"/>
      <c r="L48" s="162" t="str">
        <f t="shared" si="39"/>
        <v/>
      </c>
      <c r="M48" s="163">
        <v>0</v>
      </c>
      <c r="N48" s="65"/>
      <c r="O48" s="162" t="str">
        <f t="shared" ref="O48:O49" si="44">""</f>
        <v/>
      </c>
      <c r="P48" s="163">
        <v>0</v>
      </c>
      <c r="Q48" s="2"/>
      <c r="R48" s="160" t="s">
        <v>367</v>
      </c>
      <c r="S48" s="160" t="s">
        <v>368</v>
      </c>
      <c r="T48" s="160" t="s">
        <v>366</v>
      </c>
      <c r="U48" s="160" t="s">
        <v>354</v>
      </c>
      <c r="V48" s="160" t="s">
        <v>361</v>
      </c>
      <c r="W48" s="160" t="str">
        <f t="shared" si="42"/>
        <v/>
      </c>
      <c r="X48" s="160"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3"/>
      <c r="C49" s="165"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177">
        <v>70000</v>
      </c>
      <c r="E49" s="65"/>
      <c r="F49" s="165" t="str">
        <f t="shared" si="43"/>
        <v/>
      </c>
      <c r="G49" s="177">
        <v>0</v>
      </c>
      <c r="H49" s="65"/>
      <c r="I49" s="165" t="str">
        <f>""</f>
        <v/>
      </c>
      <c r="J49" s="177">
        <v>0</v>
      </c>
      <c r="K49" s="65"/>
      <c r="L49" s="165" t="str">
        <f t="shared" si="39"/>
        <v/>
      </c>
      <c r="M49" s="177">
        <v>0</v>
      </c>
      <c r="N49" s="65"/>
      <c r="O49" s="165" t="str">
        <f t="shared" si="44"/>
        <v/>
      </c>
      <c r="P49" s="177">
        <v>0</v>
      </c>
      <c r="Q49" s="2"/>
      <c r="R49" s="160" t="s">
        <v>369</v>
      </c>
      <c r="S49" s="160" t="s">
        <v>370</v>
      </c>
      <c r="T49" s="160" t="str">
        <f t="shared" ref="T49:X49" si="45">""</f>
        <v/>
      </c>
      <c r="U49" s="160" t="str">
        <f t="shared" si="45"/>
        <v/>
      </c>
      <c r="V49" s="160" t="str">
        <f t="shared" si="45"/>
        <v/>
      </c>
      <c r="W49" s="160" t="str">
        <f t="shared" si="45"/>
        <v/>
      </c>
      <c r="X49" s="160"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5"/>
      <c r="E50" s="45"/>
      <c r="F50" s="45"/>
      <c r="G50" s="45"/>
      <c r="H50" s="45"/>
      <c r="I50" s="2"/>
      <c r="J50" s="2"/>
      <c r="K50" s="2"/>
      <c r="L50" s="2"/>
      <c r="M50" s="2"/>
      <c r="N50" s="2"/>
      <c r="O50" s="2"/>
      <c r="P50" s="2"/>
      <c r="Q50" s="2"/>
      <c r="R50" s="160" t="s">
        <v>371</v>
      </c>
      <c r="S50" s="160" t="s">
        <v>372</v>
      </c>
      <c r="T50" s="160" t="s">
        <v>373</v>
      </c>
      <c r="U50" s="160" t="str">
        <f t="shared" ref="U50:X50" si="46">""</f>
        <v/>
      </c>
      <c r="V50" s="160" t="str">
        <f t="shared" si="46"/>
        <v/>
      </c>
      <c r="W50" s="160" t="str">
        <f t="shared" si="46"/>
        <v/>
      </c>
      <c r="X50" s="160"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5"/>
      <c r="R51" s="160" t="s">
        <v>350</v>
      </c>
      <c r="S51" s="160" t="s">
        <v>374</v>
      </c>
      <c r="T51" s="160" t="s">
        <v>375</v>
      </c>
      <c r="U51" s="160" t="s">
        <v>376</v>
      </c>
      <c r="V51" s="160" t="s">
        <v>377</v>
      </c>
      <c r="W51" s="160" t="s">
        <v>378</v>
      </c>
      <c r="X51" s="160"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5"/>
      <c r="R52" s="160" t="s">
        <v>379</v>
      </c>
      <c r="S52" s="160" t="s">
        <v>380</v>
      </c>
      <c r="T52" s="160" t="s">
        <v>381</v>
      </c>
      <c r="U52" s="160" t="s">
        <v>382</v>
      </c>
      <c r="V52" s="160" t="s">
        <v>383</v>
      </c>
      <c r="W52" s="160" t="str">
        <f>""</f>
        <v/>
      </c>
      <c r="X52" s="160"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5"/>
      <c r="R53" s="160" t="s">
        <v>384</v>
      </c>
      <c r="S53" s="160" t="s">
        <v>385</v>
      </c>
      <c r="T53" s="160" t="s">
        <v>381</v>
      </c>
      <c r="U53" s="160" t="s">
        <v>386</v>
      </c>
      <c r="V53" s="160" t="s">
        <v>387</v>
      </c>
      <c r="W53" s="160" t="s">
        <v>388</v>
      </c>
      <c r="X53" s="160"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5"/>
      <c r="R54" s="160" t="s">
        <v>362</v>
      </c>
      <c r="S54" s="160" t="s">
        <v>228</v>
      </c>
      <c r="T54" s="160" t="str">
        <f t="shared" ref="T54:W54" si="48">""</f>
        <v/>
      </c>
      <c r="U54" s="160" t="str">
        <f t="shared" si="48"/>
        <v/>
      </c>
      <c r="V54" s="160" t="str">
        <f t="shared" si="48"/>
        <v/>
      </c>
      <c r="W54" s="160" t="str">
        <f t="shared" si="48"/>
        <v/>
      </c>
      <c r="X54" s="160"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0" t="s">
        <v>389</v>
      </c>
      <c r="S55" s="160" t="s">
        <v>390</v>
      </c>
      <c r="T55" s="160" t="s">
        <v>366</v>
      </c>
      <c r="U55" s="160" t="s">
        <v>391</v>
      </c>
      <c r="V55" s="160" t="s">
        <v>377</v>
      </c>
      <c r="W55" s="160" t="s">
        <v>354</v>
      </c>
      <c r="X55" s="160"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57" t="str">
        <f>""</f>
        <v/>
      </c>
      <c r="T56" s="2"/>
      <c r="U56" s="160"/>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57" t="str">
        <f>""</f>
        <v/>
      </c>
      <c r="W57" s="157"/>
      <c r="X57" s="157"/>
      <c r="Y57" s="157"/>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0"/>
      <c r="V58" s="2"/>
      <c r="W58" s="157"/>
      <c r="X58" s="157"/>
      <c r="Y58" s="157"/>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57"/>
      <c r="X59" s="157"/>
      <c r="Y59" s="157"/>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customHeight="1">
      <c r="A60" s="2"/>
      <c r="B60" s="2"/>
      <c r="C60" s="2"/>
      <c r="D60" s="2"/>
      <c r="E60" s="2"/>
      <c r="F60" s="2"/>
      <c r="G60" s="2"/>
      <c r="H60" s="2"/>
      <c r="I60" s="2"/>
      <c r="J60" s="2"/>
      <c r="K60" s="2"/>
      <c r="L60" s="2"/>
      <c r="M60" s="2"/>
      <c r="N60" s="2"/>
      <c r="O60" s="2"/>
      <c r="P60" s="2"/>
      <c r="Q60" s="2"/>
      <c r="R60" s="2"/>
      <c r="S60" s="2"/>
      <c r="T60" s="2"/>
      <c r="U60" s="2"/>
      <c r="V60" s="2"/>
      <c r="W60" s="157"/>
      <c r="X60" s="157"/>
      <c r="Y60" s="157"/>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57"/>
      <c r="X61" s="157"/>
      <c r="Y61" s="157"/>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57"/>
      <c r="X62" s="157"/>
      <c r="Y62" s="157"/>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57"/>
      <c r="X63" s="157"/>
      <c r="Y63" s="157"/>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57"/>
      <c r="X64" s="157"/>
      <c r="Y64" s="157"/>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customHeight="1">
      <c r="A65" s="2"/>
      <c r="B65" s="2"/>
      <c r="C65" s="2"/>
      <c r="D65" s="2"/>
      <c r="E65" s="2"/>
      <c r="F65" s="2"/>
      <c r="G65" s="2"/>
      <c r="H65" s="2"/>
      <c r="I65" s="2"/>
      <c r="J65" s="2"/>
      <c r="K65" s="2"/>
      <c r="L65" s="2"/>
      <c r="M65" s="2"/>
      <c r="N65" s="2"/>
      <c r="O65" s="2"/>
      <c r="P65" s="2"/>
      <c r="Q65" s="2"/>
      <c r="R65" s="2"/>
      <c r="S65" s="2"/>
      <c r="T65" s="2"/>
      <c r="U65" s="2"/>
      <c r="V65" s="2"/>
      <c r="W65" s="157"/>
      <c r="X65" s="157"/>
      <c r="Y65" s="157"/>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57"/>
      <c r="X66" s="157"/>
      <c r="Y66" s="157"/>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57"/>
      <c r="X67" s="157"/>
      <c r="Y67" s="157"/>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57"/>
      <c r="X68" s="157"/>
      <c r="Y68" s="157"/>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57"/>
      <c r="X69" s="157"/>
      <c r="Y69" s="157"/>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57"/>
      <c r="X70" s="157"/>
      <c r="Y70" s="157"/>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customHeight="1">
      <c r="A71" s="2"/>
      <c r="B71" s="2"/>
      <c r="C71" s="2"/>
      <c r="D71" s="2"/>
      <c r="E71" s="2"/>
      <c r="F71" s="2"/>
      <c r="G71" s="2"/>
      <c r="H71" s="2"/>
      <c r="I71" s="2"/>
      <c r="J71" s="2"/>
      <c r="K71" s="2"/>
      <c r="L71" s="2"/>
      <c r="M71" s="2"/>
      <c r="N71" s="2"/>
      <c r="O71" s="2"/>
      <c r="P71" s="2"/>
      <c r="Q71" s="2"/>
      <c r="R71" s="2"/>
      <c r="S71" s="2"/>
      <c r="T71" s="2"/>
      <c r="U71" s="2"/>
      <c r="V71" s="2"/>
      <c r="W71" s="157"/>
      <c r="X71" s="157"/>
      <c r="Y71" s="157"/>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customHeight="1">
      <c r="A72" s="2"/>
      <c r="B72" s="2"/>
      <c r="C72" s="2"/>
      <c r="D72" s="2"/>
      <c r="E72" s="2"/>
      <c r="F72" s="2"/>
      <c r="G72" s="2"/>
      <c r="H72" s="2"/>
      <c r="I72" s="2"/>
      <c r="J72" s="2"/>
      <c r="K72" s="2"/>
      <c r="L72" s="2"/>
      <c r="M72" s="2"/>
      <c r="N72" s="2"/>
      <c r="O72" s="2"/>
      <c r="P72" s="2"/>
      <c r="Q72" s="2"/>
      <c r="R72" s="2"/>
      <c r="S72" s="2"/>
      <c r="T72" s="2"/>
      <c r="U72" s="2"/>
      <c r="V72" s="2"/>
      <c r="W72" s="157"/>
      <c r="X72" s="157"/>
      <c r="Y72" s="157"/>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customHeight="1">
      <c r="A73" s="2"/>
      <c r="B73" s="2"/>
      <c r="C73" s="2"/>
      <c r="D73" s="2"/>
      <c r="E73" s="2"/>
      <c r="F73" s="2"/>
      <c r="G73" s="2"/>
      <c r="H73" s="2"/>
      <c r="I73" s="2"/>
      <c r="J73" s="2"/>
      <c r="K73" s="2"/>
      <c r="L73" s="2"/>
      <c r="M73" s="2"/>
      <c r="N73" s="2"/>
      <c r="O73" s="2"/>
      <c r="P73" s="2"/>
      <c r="Q73" s="2"/>
      <c r="R73" s="2"/>
      <c r="S73" s="2"/>
      <c r="T73" s="2"/>
      <c r="U73" s="2"/>
      <c r="V73" s="2"/>
      <c r="W73" s="157"/>
      <c r="X73" s="157"/>
      <c r="Y73" s="157"/>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customHeight="1">
      <c r="A74" s="2"/>
      <c r="B74" s="2"/>
      <c r="C74" s="2"/>
      <c r="D74" s="2"/>
      <c r="E74" s="2"/>
      <c r="F74" s="2"/>
      <c r="G74" s="2"/>
      <c r="H74" s="2"/>
      <c r="I74" s="2"/>
      <c r="J74" s="2"/>
      <c r="K74" s="2"/>
      <c r="L74" s="2"/>
      <c r="M74" s="2"/>
      <c r="N74" s="2"/>
      <c r="O74" s="2"/>
      <c r="P74" s="2"/>
      <c r="Q74" s="2"/>
      <c r="R74" s="2"/>
      <c r="S74" s="2"/>
      <c r="T74" s="2"/>
      <c r="U74" s="2"/>
      <c r="V74" s="2"/>
      <c r="W74" s="157"/>
      <c r="X74" s="157"/>
      <c r="Y74" s="157"/>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customHeight="1">
      <c r="A75" s="2"/>
      <c r="B75" s="2"/>
      <c r="C75" s="2"/>
      <c r="D75" s="2"/>
      <c r="E75" s="2"/>
      <c r="F75" s="2"/>
      <c r="G75" s="2"/>
      <c r="H75" s="2"/>
      <c r="I75" s="2"/>
      <c r="J75" s="2"/>
      <c r="K75" s="2"/>
      <c r="L75" s="2"/>
      <c r="M75" s="2"/>
      <c r="N75" s="2"/>
      <c r="O75" s="2"/>
      <c r="P75" s="2"/>
      <c r="Q75" s="2"/>
      <c r="R75" s="2"/>
      <c r="S75" s="2"/>
      <c r="T75" s="2"/>
      <c r="U75" s="2"/>
      <c r="V75" s="2"/>
      <c r="W75" s="157"/>
      <c r="X75" s="157"/>
      <c r="Y75" s="157"/>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customHeight="1">
      <c r="A76" s="2"/>
      <c r="B76" s="2"/>
      <c r="C76" s="2"/>
      <c r="D76" s="2"/>
      <c r="E76" s="2"/>
      <c r="F76" s="2"/>
      <c r="G76" s="2"/>
      <c r="H76" s="2"/>
      <c r="I76" s="2"/>
      <c r="J76" s="2"/>
      <c r="K76" s="2"/>
      <c r="L76" s="2"/>
      <c r="M76" s="2"/>
      <c r="N76" s="2"/>
      <c r="O76" s="2"/>
      <c r="P76" s="2"/>
      <c r="Q76" s="2"/>
      <c r="R76" s="2"/>
      <c r="S76" s="2"/>
      <c r="T76" s="2"/>
      <c r="U76" s="2"/>
      <c r="V76" s="2"/>
      <c r="W76" s="157"/>
      <c r="X76" s="157"/>
      <c r="Y76" s="157"/>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customHeight="1">
      <c r="A77" s="2"/>
      <c r="B77" s="2"/>
      <c r="C77" s="2"/>
      <c r="D77" s="2"/>
      <c r="E77" s="2"/>
      <c r="F77" s="2"/>
      <c r="G77" s="2"/>
      <c r="H77" s="2"/>
      <c r="I77" s="2"/>
      <c r="J77" s="2"/>
      <c r="K77" s="2"/>
      <c r="L77" s="2"/>
      <c r="M77" s="2"/>
      <c r="N77" s="2"/>
      <c r="O77" s="2"/>
      <c r="P77" s="2"/>
      <c r="Q77" s="2"/>
      <c r="R77" s="2"/>
      <c r="S77" s="2"/>
      <c r="T77" s="2"/>
      <c r="U77" s="2"/>
      <c r="V77" s="2"/>
      <c r="W77" s="157"/>
      <c r="X77" s="157"/>
      <c r="Y77" s="157"/>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customHeight="1">
      <c r="A78" s="2"/>
      <c r="B78" s="2"/>
      <c r="C78" s="2"/>
      <c r="D78" s="2"/>
      <c r="E78" s="2"/>
      <c r="F78" s="2"/>
      <c r="G78" s="2"/>
      <c r="H78" s="2"/>
      <c r="I78" s="2"/>
      <c r="J78" s="2"/>
      <c r="K78" s="2"/>
      <c r="L78" s="2"/>
      <c r="M78" s="2"/>
      <c r="N78" s="2"/>
      <c r="O78" s="2"/>
      <c r="P78" s="2"/>
      <c r="Q78" s="2"/>
      <c r="R78" s="2"/>
      <c r="S78" s="2"/>
      <c r="T78" s="2"/>
      <c r="U78" s="2"/>
      <c r="V78" s="2"/>
      <c r="W78" s="157"/>
      <c r="X78" s="157"/>
      <c r="Y78" s="157"/>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customHeight="1">
      <c r="A79" s="2"/>
      <c r="B79" s="2"/>
      <c r="C79" s="2"/>
      <c r="D79" s="2"/>
      <c r="E79" s="2"/>
      <c r="F79" s="2"/>
      <c r="G79" s="2"/>
      <c r="H79" s="2"/>
      <c r="I79" s="2"/>
      <c r="J79" s="2"/>
      <c r="K79" s="2"/>
      <c r="L79" s="2"/>
      <c r="M79" s="2"/>
      <c r="N79" s="2"/>
      <c r="O79" s="2"/>
      <c r="P79" s="2"/>
      <c r="Q79" s="2"/>
      <c r="R79" s="2"/>
      <c r="S79" s="2"/>
      <c r="T79" s="2"/>
      <c r="U79" s="2"/>
      <c r="V79" s="2"/>
      <c r="W79" s="157"/>
      <c r="X79" s="157"/>
      <c r="Y79" s="157"/>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customHeight="1">
      <c r="A80" s="2"/>
      <c r="B80" s="2"/>
      <c r="C80" s="2"/>
      <c r="D80" s="2"/>
      <c r="E80" s="2"/>
      <c r="F80" s="2"/>
      <c r="G80" s="2"/>
      <c r="H80" s="2"/>
      <c r="I80" s="2"/>
      <c r="J80" s="2"/>
      <c r="K80" s="2"/>
      <c r="L80" s="2"/>
      <c r="M80" s="2"/>
      <c r="N80" s="2"/>
      <c r="O80" s="2"/>
      <c r="P80" s="2"/>
      <c r="Q80" s="2"/>
      <c r="R80" s="2"/>
      <c r="S80" s="2"/>
      <c r="T80" s="2"/>
      <c r="U80" s="2"/>
      <c r="V80" s="2"/>
      <c r="W80" s="157"/>
      <c r="X80" s="157"/>
      <c r="Y80" s="157"/>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customHeight="1">
      <c r="A81" s="2"/>
      <c r="B81" s="2"/>
      <c r="C81" s="2"/>
      <c r="D81" s="2"/>
      <c r="E81" s="2"/>
      <c r="F81" s="2"/>
      <c r="G81" s="2"/>
      <c r="H81" s="2"/>
      <c r="I81" s="2"/>
      <c r="J81" s="2"/>
      <c r="K81" s="2"/>
      <c r="L81" s="2"/>
      <c r="M81" s="2"/>
      <c r="N81" s="2"/>
      <c r="O81" s="2"/>
      <c r="P81" s="2"/>
      <c r="Q81" s="2"/>
      <c r="R81" s="2"/>
      <c r="S81" s="2"/>
      <c r="T81" s="2"/>
      <c r="U81" s="2"/>
      <c r="V81" s="2"/>
      <c r="W81" s="157"/>
      <c r="X81" s="157"/>
      <c r="Y81" s="157"/>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customHeight="1">
      <c r="A82" s="2"/>
      <c r="B82" s="2"/>
      <c r="C82" s="2"/>
      <c r="D82" s="2"/>
      <c r="E82" s="2"/>
      <c r="F82" s="2"/>
      <c r="G82" s="2"/>
      <c r="H82" s="2"/>
      <c r="I82" s="2"/>
      <c r="J82" s="2"/>
      <c r="K82" s="2"/>
      <c r="L82" s="2"/>
      <c r="M82" s="2"/>
      <c r="N82" s="2"/>
      <c r="O82" s="2"/>
      <c r="P82" s="2"/>
      <c r="Q82" s="2"/>
      <c r="R82" s="2"/>
      <c r="S82" s="2"/>
      <c r="T82" s="2"/>
      <c r="U82" s="2"/>
      <c r="V82" s="2"/>
      <c r="W82" s="157"/>
      <c r="X82" s="157"/>
      <c r="Y82" s="157"/>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customHeight="1">
      <c r="A83" s="2"/>
      <c r="B83" s="2"/>
      <c r="C83" s="2"/>
      <c r="D83" s="2"/>
      <c r="E83" s="2"/>
      <c r="F83" s="2"/>
      <c r="G83" s="2"/>
      <c r="H83" s="2"/>
      <c r="I83" s="2"/>
      <c r="J83" s="2"/>
      <c r="K83" s="2"/>
      <c r="L83" s="2"/>
      <c r="M83" s="2"/>
      <c r="N83" s="2"/>
      <c r="O83" s="2"/>
      <c r="P83" s="2"/>
      <c r="Q83" s="2"/>
      <c r="R83" s="2"/>
      <c r="S83" s="2"/>
      <c r="T83" s="2"/>
      <c r="U83" s="2"/>
      <c r="V83" s="2"/>
      <c r="W83" s="157"/>
      <c r="X83" s="157"/>
      <c r="Y83" s="157"/>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customHeight="1">
      <c r="A84" s="2"/>
      <c r="B84" s="2"/>
      <c r="C84" s="2"/>
      <c r="D84" s="2"/>
      <c r="E84" s="2"/>
      <c r="F84" s="2"/>
      <c r="G84" s="2"/>
      <c r="H84" s="2"/>
      <c r="I84" s="2"/>
      <c r="J84" s="2"/>
      <c r="K84" s="2"/>
      <c r="L84" s="2"/>
      <c r="M84" s="2"/>
      <c r="N84" s="2"/>
      <c r="O84" s="2"/>
      <c r="P84" s="2"/>
      <c r="Q84" s="2"/>
      <c r="R84" s="2"/>
      <c r="S84" s="2"/>
      <c r="T84" s="2"/>
      <c r="U84" s="2"/>
      <c r="V84" s="2"/>
      <c r="W84" s="157"/>
      <c r="X84" s="157"/>
      <c r="Y84" s="157"/>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customHeight="1">
      <c r="A85" s="2"/>
      <c r="B85" s="2"/>
      <c r="C85" s="2"/>
      <c r="D85" s="2"/>
      <c r="E85" s="2"/>
      <c r="F85" s="2"/>
      <c r="G85" s="2"/>
      <c r="H85" s="2"/>
      <c r="I85" s="2"/>
      <c r="J85" s="2"/>
      <c r="K85" s="2"/>
      <c r="L85" s="2"/>
      <c r="M85" s="2"/>
      <c r="N85" s="2"/>
      <c r="O85" s="2"/>
      <c r="P85" s="2"/>
      <c r="Q85" s="2"/>
      <c r="R85" s="2"/>
      <c r="S85" s="2"/>
      <c r="T85" s="2"/>
      <c r="U85" s="2"/>
      <c r="V85" s="2"/>
      <c r="W85" s="157"/>
      <c r="X85" s="157"/>
      <c r="Y85" s="157"/>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customHeight="1">
      <c r="A86" s="2"/>
      <c r="B86" s="2"/>
      <c r="C86" s="2"/>
      <c r="D86" s="2"/>
      <c r="E86" s="2"/>
      <c r="F86" s="2"/>
      <c r="G86" s="2"/>
      <c r="H86" s="2"/>
      <c r="I86" s="2"/>
      <c r="J86" s="2"/>
      <c r="K86" s="2"/>
      <c r="L86" s="2"/>
      <c r="M86" s="2"/>
      <c r="N86" s="2"/>
      <c r="O86" s="2"/>
      <c r="P86" s="2"/>
      <c r="Q86" s="2"/>
      <c r="R86" s="2"/>
      <c r="S86" s="2"/>
      <c r="T86" s="2"/>
      <c r="U86" s="2"/>
      <c r="V86" s="2"/>
      <c r="W86" s="157"/>
      <c r="X86" s="157"/>
      <c r="Y86" s="157"/>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customHeight="1">
      <c r="A87" s="2"/>
      <c r="B87" s="2"/>
      <c r="C87" s="2"/>
      <c r="D87" s="2"/>
      <c r="E87" s="2"/>
      <c r="F87" s="2"/>
      <c r="G87" s="2"/>
      <c r="H87" s="2"/>
      <c r="I87" s="2"/>
      <c r="J87" s="2"/>
      <c r="K87" s="2"/>
      <c r="L87" s="2"/>
      <c r="M87" s="2"/>
      <c r="N87" s="2"/>
      <c r="O87" s="2"/>
      <c r="P87" s="2"/>
      <c r="Q87" s="2"/>
      <c r="R87" s="2"/>
      <c r="S87" s="2"/>
      <c r="T87" s="2"/>
      <c r="U87" s="2"/>
      <c r="V87" s="2"/>
      <c r="W87" s="157"/>
      <c r="X87" s="157"/>
      <c r="Y87" s="157"/>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customHeight="1">
      <c r="A88" s="2"/>
      <c r="B88" s="2"/>
      <c r="C88" s="2"/>
      <c r="D88" s="2"/>
      <c r="E88" s="2"/>
      <c r="F88" s="2"/>
      <c r="G88" s="2"/>
      <c r="H88" s="2"/>
      <c r="I88" s="2"/>
      <c r="J88" s="2"/>
      <c r="K88" s="2"/>
      <c r="L88" s="2"/>
      <c r="M88" s="2"/>
      <c r="N88" s="2"/>
      <c r="O88" s="2"/>
      <c r="P88" s="2"/>
      <c r="Q88" s="2"/>
      <c r="R88" s="2"/>
      <c r="S88" s="2"/>
      <c r="T88" s="2"/>
      <c r="U88" s="2"/>
      <c r="V88" s="2"/>
      <c r="W88" s="157"/>
      <c r="X88" s="157"/>
      <c r="Y88" s="157"/>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customHeight="1">
      <c r="A89" s="2"/>
      <c r="B89" s="2"/>
      <c r="C89" s="2"/>
      <c r="D89" s="2"/>
      <c r="E89" s="2"/>
      <c r="F89" s="2"/>
      <c r="G89" s="2"/>
      <c r="H89" s="2"/>
      <c r="I89" s="2"/>
      <c r="J89" s="2"/>
      <c r="K89" s="2"/>
      <c r="L89" s="2"/>
      <c r="M89" s="2"/>
      <c r="N89" s="2"/>
      <c r="O89" s="2"/>
      <c r="P89" s="2"/>
      <c r="Q89" s="2"/>
      <c r="R89" s="2"/>
      <c r="S89" s="2"/>
      <c r="T89" s="2"/>
      <c r="U89" s="2"/>
      <c r="V89" s="2"/>
      <c r="W89" s="157"/>
      <c r="X89" s="157"/>
      <c r="Y89" s="157"/>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customHeight="1">
      <c r="A90" s="2"/>
      <c r="B90" s="2"/>
      <c r="C90" s="2"/>
      <c r="D90" s="2"/>
      <c r="E90" s="2"/>
      <c r="F90" s="2"/>
      <c r="G90" s="2"/>
      <c r="H90" s="2"/>
      <c r="I90" s="2"/>
      <c r="J90" s="2"/>
      <c r="K90" s="2"/>
      <c r="L90" s="2"/>
      <c r="M90" s="2"/>
      <c r="N90" s="2"/>
      <c r="O90" s="2"/>
      <c r="P90" s="2"/>
      <c r="Q90" s="2"/>
      <c r="R90" s="2"/>
      <c r="S90" s="2"/>
      <c r="T90" s="2"/>
      <c r="U90" s="2"/>
      <c r="V90" s="2"/>
      <c r="W90" s="157"/>
      <c r="X90" s="157"/>
      <c r="Y90" s="157"/>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customHeight="1">
      <c r="A91" s="2"/>
      <c r="B91" s="2"/>
      <c r="C91" s="2"/>
      <c r="D91" s="2"/>
      <c r="E91" s="2"/>
      <c r="F91" s="2"/>
      <c r="G91" s="2"/>
      <c r="H91" s="2"/>
      <c r="I91" s="2"/>
      <c r="J91" s="2"/>
      <c r="K91" s="2"/>
      <c r="L91" s="2"/>
      <c r="M91" s="2"/>
      <c r="N91" s="2"/>
      <c r="O91" s="2"/>
      <c r="P91" s="2"/>
      <c r="Q91" s="2"/>
      <c r="R91" s="2"/>
      <c r="S91" s="2"/>
      <c r="T91" s="2"/>
      <c r="U91" s="2"/>
      <c r="V91" s="2"/>
      <c r="W91" s="157"/>
      <c r="X91" s="157"/>
      <c r="Y91" s="157"/>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customHeight="1">
      <c r="A92" s="2"/>
      <c r="B92" s="2"/>
      <c r="C92" s="2"/>
      <c r="D92" s="2"/>
      <c r="E92" s="2"/>
      <c r="F92" s="2"/>
      <c r="G92" s="2"/>
      <c r="H92" s="2"/>
      <c r="I92" s="2"/>
      <c r="J92" s="2"/>
      <c r="K92" s="2"/>
      <c r="L92" s="2"/>
      <c r="M92" s="2"/>
      <c r="N92" s="2"/>
      <c r="O92" s="2"/>
      <c r="P92" s="2"/>
      <c r="Q92" s="2"/>
      <c r="R92" s="2"/>
      <c r="S92" s="2"/>
      <c r="T92" s="2"/>
      <c r="U92" s="2"/>
      <c r="V92" s="2"/>
      <c r="W92" s="157"/>
      <c r="X92" s="157"/>
      <c r="Y92" s="157"/>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customHeight="1">
      <c r="A93" s="2"/>
      <c r="B93" s="2"/>
      <c r="C93" s="2"/>
      <c r="D93" s="2"/>
      <c r="E93" s="2"/>
      <c r="F93" s="2"/>
      <c r="G93" s="2"/>
      <c r="H93" s="2"/>
      <c r="I93" s="2"/>
      <c r="J93" s="2"/>
      <c r="K93" s="2"/>
      <c r="L93" s="2"/>
      <c r="M93" s="2"/>
      <c r="N93" s="2"/>
      <c r="O93" s="2"/>
      <c r="P93" s="2"/>
      <c r="Q93" s="2"/>
      <c r="R93" s="2"/>
      <c r="S93" s="2"/>
      <c r="T93" s="2"/>
      <c r="U93" s="2"/>
      <c r="V93" s="2"/>
      <c r="W93" s="157"/>
      <c r="X93" s="157"/>
      <c r="Y93" s="157"/>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customHeight="1">
      <c r="A94" s="2"/>
      <c r="B94" s="2"/>
      <c r="C94" s="2"/>
      <c r="D94" s="2"/>
      <c r="E94" s="2"/>
      <c r="F94" s="2"/>
      <c r="G94" s="2"/>
      <c r="H94" s="2"/>
      <c r="I94" s="2"/>
      <c r="J94" s="2"/>
      <c r="K94" s="2"/>
      <c r="L94" s="2"/>
      <c r="M94" s="2"/>
      <c r="N94" s="2"/>
      <c r="O94" s="2"/>
      <c r="P94" s="2"/>
      <c r="Q94" s="2"/>
      <c r="R94" s="2"/>
      <c r="S94" s="2"/>
      <c r="T94" s="2"/>
      <c r="U94" s="2"/>
      <c r="V94" s="2"/>
      <c r="W94" s="157"/>
      <c r="X94" s="157"/>
      <c r="Y94" s="157"/>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customHeight="1">
      <c r="A95" s="2"/>
      <c r="B95" s="2"/>
      <c r="C95" s="2"/>
      <c r="D95" s="2"/>
      <c r="E95" s="2"/>
      <c r="F95" s="2"/>
      <c r="G95" s="2"/>
      <c r="H95" s="2"/>
      <c r="I95" s="2"/>
      <c r="J95" s="2"/>
      <c r="K95" s="2"/>
      <c r="L95" s="2"/>
      <c r="M95" s="2"/>
      <c r="N95" s="2"/>
      <c r="O95" s="2"/>
      <c r="P95" s="2"/>
      <c r="Q95" s="2"/>
      <c r="R95" s="2"/>
      <c r="S95" s="2"/>
      <c r="T95" s="2"/>
      <c r="U95" s="2"/>
      <c r="V95" s="2"/>
      <c r="W95" s="157"/>
      <c r="X95" s="157"/>
      <c r="Y95" s="157"/>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customHeight="1">
      <c r="A96" s="2"/>
      <c r="B96" s="2"/>
      <c r="C96" s="2"/>
      <c r="D96" s="2"/>
      <c r="E96" s="2"/>
      <c r="F96" s="2"/>
      <c r="G96" s="2"/>
      <c r="H96" s="2"/>
      <c r="I96" s="2"/>
      <c r="J96" s="2"/>
      <c r="K96" s="2"/>
      <c r="L96" s="2"/>
      <c r="M96" s="2"/>
      <c r="N96" s="2"/>
      <c r="O96" s="2"/>
      <c r="P96" s="2"/>
      <c r="Q96" s="2"/>
      <c r="R96" s="2"/>
      <c r="S96" s="2"/>
      <c r="T96" s="2"/>
      <c r="U96" s="2"/>
      <c r="V96" s="2"/>
      <c r="W96" s="157"/>
      <c r="X96" s="157"/>
      <c r="Y96" s="157"/>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customHeight="1">
      <c r="A97" s="2"/>
      <c r="B97" s="2"/>
      <c r="C97" s="2"/>
      <c r="D97" s="2"/>
      <c r="E97" s="2"/>
      <c r="F97" s="2"/>
      <c r="G97" s="2"/>
      <c r="H97" s="2"/>
      <c r="I97" s="2"/>
      <c r="J97" s="2"/>
      <c r="K97" s="2"/>
      <c r="L97" s="2"/>
      <c r="M97" s="2"/>
      <c r="N97" s="2"/>
      <c r="O97" s="2"/>
      <c r="P97" s="2"/>
      <c r="Q97" s="2"/>
      <c r="R97" s="2"/>
      <c r="S97" s="2"/>
      <c r="T97" s="2"/>
      <c r="U97" s="2"/>
      <c r="V97" s="2"/>
      <c r="W97" s="157"/>
      <c r="X97" s="157"/>
      <c r="Y97" s="157"/>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customHeight="1">
      <c r="A98" s="2"/>
      <c r="B98" s="2"/>
      <c r="C98" s="2"/>
      <c r="D98" s="2"/>
      <c r="E98" s="2"/>
      <c r="F98" s="2"/>
      <c r="G98" s="2"/>
      <c r="H98" s="2"/>
      <c r="I98" s="2"/>
      <c r="J98" s="2"/>
      <c r="K98" s="2"/>
      <c r="L98" s="2"/>
      <c r="M98" s="2"/>
      <c r="N98" s="2"/>
      <c r="O98" s="2"/>
      <c r="P98" s="2"/>
      <c r="Q98" s="2"/>
      <c r="R98" s="2"/>
      <c r="S98" s="2"/>
      <c r="T98" s="2"/>
      <c r="U98" s="2"/>
      <c r="V98" s="2"/>
      <c r="W98" s="157"/>
      <c r="X98" s="157"/>
      <c r="Y98" s="157"/>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customHeight="1">
      <c r="A99" s="2"/>
      <c r="B99" s="2"/>
      <c r="C99" s="2"/>
      <c r="D99" s="2"/>
      <c r="E99" s="2"/>
      <c r="F99" s="2"/>
      <c r="G99" s="2"/>
      <c r="H99" s="2"/>
      <c r="I99" s="2"/>
      <c r="J99" s="2"/>
      <c r="K99" s="2"/>
      <c r="L99" s="2"/>
      <c r="M99" s="2"/>
      <c r="N99" s="2"/>
      <c r="O99" s="2"/>
      <c r="P99" s="2"/>
      <c r="Q99" s="2"/>
      <c r="R99" s="2"/>
      <c r="S99" s="2"/>
      <c r="T99" s="2"/>
      <c r="U99" s="2"/>
      <c r="V99" s="2"/>
      <c r="W99" s="157"/>
      <c r="X99" s="157"/>
      <c r="Y99" s="157"/>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customHeight="1">
      <c r="A100" s="2"/>
      <c r="B100" s="2"/>
      <c r="C100" s="2"/>
      <c r="D100" s="2"/>
      <c r="E100" s="2"/>
      <c r="F100" s="2"/>
      <c r="G100" s="2"/>
      <c r="H100" s="2"/>
      <c r="I100" s="2"/>
      <c r="J100" s="2"/>
      <c r="K100" s="2"/>
      <c r="L100" s="2"/>
      <c r="M100" s="2"/>
      <c r="N100" s="2"/>
      <c r="O100" s="2"/>
      <c r="P100" s="2"/>
      <c r="Q100" s="2"/>
      <c r="R100" s="2"/>
      <c r="S100" s="2"/>
      <c r="T100" s="2"/>
      <c r="U100" s="2"/>
      <c r="V100" s="2"/>
      <c r="W100" s="157"/>
      <c r="X100" s="157"/>
      <c r="Y100" s="157"/>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customHeight="1">
      <c r="A101" s="2"/>
      <c r="B101" s="2"/>
      <c r="C101" s="2"/>
      <c r="D101" s="2"/>
      <c r="E101" s="2"/>
      <c r="F101" s="2"/>
      <c r="G101" s="2"/>
      <c r="H101" s="2"/>
      <c r="I101" s="2"/>
      <c r="J101" s="2"/>
      <c r="K101" s="2"/>
      <c r="L101" s="2"/>
      <c r="M101" s="2"/>
      <c r="N101" s="2"/>
      <c r="O101" s="2"/>
      <c r="P101" s="2"/>
      <c r="Q101" s="2"/>
      <c r="R101" s="2"/>
      <c r="S101" s="2"/>
      <c r="T101" s="2"/>
      <c r="U101" s="2"/>
      <c r="V101" s="2"/>
      <c r="W101" s="157"/>
      <c r="X101" s="157"/>
      <c r="Y101" s="157"/>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customHeight="1">
      <c r="A102" s="2"/>
      <c r="B102" s="2"/>
      <c r="C102" s="2"/>
      <c r="D102" s="2"/>
      <c r="E102" s="2"/>
      <c r="F102" s="2"/>
      <c r="G102" s="2"/>
      <c r="H102" s="2"/>
      <c r="I102" s="2"/>
      <c r="J102" s="2"/>
      <c r="K102" s="2"/>
      <c r="L102" s="2"/>
      <c r="M102" s="2"/>
      <c r="N102" s="2"/>
      <c r="O102" s="2"/>
      <c r="P102" s="2"/>
      <c r="Q102" s="2"/>
      <c r="R102" s="2"/>
      <c r="S102" s="2"/>
      <c r="T102" s="2"/>
      <c r="U102" s="2"/>
      <c r="V102" s="2"/>
      <c r="W102" s="157"/>
      <c r="X102" s="157"/>
      <c r="Y102" s="157"/>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customHeight="1">
      <c r="A103" s="2"/>
      <c r="B103" s="2"/>
      <c r="C103" s="2"/>
      <c r="D103" s="2"/>
      <c r="E103" s="2"/>
      <c r="F103" s="2"/>
      <c r="G103" s="2"/>
      <c r="H103" s="2"/>
      <c r="I103" s="2"/>
      <c r="J103" s="2"/>
      <c r="K103" s="2"/>
      <c r="L103" s="2"/>
      <c r="M103" s="2"/>
      <c r="N103" s="2"/>
      <c r="O103" s="2"/>
      <c r="P103" s="2"/>
      <c r="Q103" s="2"/>
      <c r="R103" s="2"/>
      <c r="S103" s="2"/>
      <c r="T103" s="2"/>
      <c r="U103" s="2"/>
      <c r="V103" s="2"/>
      <c r="W103" s="157"/>
      <c r="X103" s="157"/>
      <c r="Y103" s="157"/>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customHeight="1">
      <c r="A104" s="2"/>
      <c r="B104" s="2"/>
      <c r="C104" s="2"/>
      <c r="D104" s="2"/>
      <c r="E104" s="2"/>
      <c r="F104" s="2"/>
      <c r="G104" s="2"/>
      <c r="H104" s="2"/>
      <c r="I104" s="2"/>
      <c r="J104" s="2"/>
      <c r="K104" s="2"/>
      <c r="L104" s="2"/>
      <c r="M104" s="2"/>
      <c r="N104" s="2"/>
      <c r="O104" s="2"/>
      <c r="P104" s="2"/>
      <c r="Q104" s="2"/>
      <c r="R104" s="2"/>
      <c r="S104" s="2"/>
      <c r="T104" s="2"/>
      <c r="U104" s="2"/>
      <c r="V104" s="2"/>
      <c r="W104" s="157"/>
      <c r="X104" s="157"/>
      <c r="Y104" s="157"/>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customHeight="1">
      <c r="A105" s="2"/>
      <c r="B105" s="2"/>
      <c r="C105" s="2"/>
      <c r="D105" s="2"/>
      <c r="E105" s="2"/>
      <c r="F105" s="2"/>
      <c r="G105" s="2"/>
      <c r="H105" s="2"/>
      <c r="I105" s="2"/>
      <c r="J105" s="2"/>
      <c r="K105" s="2"/>
      <c r="L105" s="2"/>
      <c r="M105" s="2"/>
      <c r="N105" s="2"/>
      <c r="O105" s="2"/>
      <c r="P105" s="2"/>
      <c r="Q105" s="2"/>
      <c r="R105" s="2"/>
      <c r="S105" s="2"/>
      <c r="T105" s="2"/>
      <c r="U105" s="2"/>
      <c r="V105" s="2"/>
      <c r="W105" s="157"/>
      <c r="X105" s="157"/>
      <c r="Y105" s="157"/>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customHeight="1">
      <c r="A106" s="2"/>
      <c r="B106" s="2"/>
      <c r="C106" s="2"/>
      <c r="D106" s="2"/>
      <c r="E106" s="2"/>
      <c r="F106" s="2"/>
      <c r="G106" s="2"/>
      <c r="H106" s="2"/>
      <c r="I106" s="2"/>
      <c r="J106" s="2"/>
      <c r="K106" s="2"/>
      <c r="L106" s="2"/>
      <c r="M106" s="2"/>
      <c r="N106" s="2"/>
      <c r="O106" s="2"/>
      <c r="P106" s="2"/>
      <c r="Q106" s="2"/>
      <c r="R106" s="2"/>
      <c r="S106" s="2"/>
      <c r="T106" s="2"/>
      <c r="U106" s="2"/>
      <c r="V106" s="2"/>
      <c r="W106" s="157"/>
      <c r="X106" s="157"/>
      <c r="Y106" s="157"/>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customHeight="1">
      <c r="A107" s="2"/>
      <c r="B107" s="2"/>
      <c r="C107" s="2"/>
      <c r="D107" s="2"/>
      <c r="E107" s="2"/>
      <c r="F107" s="2"/>
      <c r="G107" s="2"/>
      <c r="H107" s="2"/>
      <c r="I107" s="2"/>
      <c r="J107" s="2"/>
      <c r="K107" s="2"/>
      <c r="L107" s="2"/>
      <c r="M107" s="2"/>
      <c r="N107" s="2"/>
      <c r="O107" s="2"/>
      <c r="P107" s="2"/>
      <c r="Q107" s="2"/>
      <c r="R107" s="2"/>
      <c r="S107" s="2"/>
      <c r="T107" s="2"/>
      <c r="U107" s="2"/>
      <c r="V107" s="2"/>
      <c r="W107" s="157"/>
      <c r="X107" s="157"/>
      <c r="Y107" s="157"/>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customHeight="1">
      <c r="A108" s="2"/>
      <c r="B108" s="2"/>
      <c r="C108" s="2"/>
      <c r="D108" s="2"/>
      <c r="E108" s="2"/>
      <c r="F108" s="2"/>
      <c r="G108" s="2"/>
      <c r="H108" s="2"/>
      <c r="I108" s="2"/>
      <c r="J108" s="2"/>
      <c r="K108" s="2"/>
      <c r="L108" s="2"/>
      <c r="M108" s="2"/>
      <c r="N108" s="2"/>
      <c r="O108" s="2"/>
      <c r="P108" s="2"/>
      <c r="Q108" s="2"/>
      <c r="R108" s="2"/>
      <c r="S108" s="2"/>
      <c r="T108" s="2"/>
      <c r="U108" s="2"/>
      <c r="V108" s="2"/>
      <c r="W108" s="157"/>
      <c r="X108" s="157"/>
      <c r="Y108" s="157"/>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customHeight="1">
      <c r="A109" s="2"/>
      <c r="B109" s="2"/>
      <c r="C109" s="2"/>
      <c r="D109" s="2"/>
      <c r="E109" s="2"/>
      <c r="F109" s="2"/>
      <c r="G109" s="2"/>
      <c r="H109" s="2"/>
      <c r="I109" s="2"/>
      <c r="J109" s="2"/>
      <c r="K109" s="2"/>
      <c r="L109" s="2"/>
      <c r="M109" s="2"/>
      <c r="N109" s="2"/>
      <c r="O109" s="2"/>
      <c r="P109" s="2"/>
      <c r="Q109" s="2"/>
      <c r="R109" s="2"/>
      <c r="S109" s="2"/>
      <c r="T109" s="2"/>
      <c r="U109" s="2"/>
      <c r="V109" s="2"/>
      <c r="W109" s="157"/>
      <c r="X109" s="157"/>
      <c r="Y109" s="157"/>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customHeight="1">
      <c r="A110" s="2"/>
      <c r="B110" s="2"/>
      <c r="C110" s="2"/>
      <c r="D110" s="2"/>
      <c r="E110" s="2"/>
      <c r="F110" s="2"/>
      <c r="G110" s="2"/>
      <c r="H110" s="2"/>
      <c r="I110" s="2"/>
      <c r="J110" s="2"/>
      <c r="K110" s="2"/>
      <c r="L110" s="2"/>
      <c r="M110" s="2"/>
      <c r="N110" s="2"/>
      <c r="O110" s="2"/>
      <c r="P110" s="2"/>
      <c r="Q110" s="2"/>
      <c r="R110" s="2"/>
      <c r="S110" s="2"/>
      <c r="T110" s="2"/>
      <c r="U110" s="2"/>
      <c r="V110" s="2"/>
      <c r="W110" s="157"/>
      <c r="X110" s="157"/>
      <c r="Y110" s="157"/>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customHeight="1">
      <c r="A111" s="2"/>
      <c r="B111" s="2"/>
      <c r="C111" s="2"/>
      <c r="D111" s="2"/>
      <c r="E111" s="2"/>
      <c r="F111" s="2"/>
      <c r="G111" s="2"/>
      <c r="H111" s="2"/>
      <c r="I111" s="2"/>
      <c r="J111" s="2"/>
      <c r="K111" s="2"/>
      <c r="L111" s="2"/>
      <c r="M111" s="2"/>
      <c r="N111" s="2"/>
      <c r="O111" s="2"/>
      <c r="P111" s="2"/>
      <c r="Q111" s="2"/>
      <c r="R111" s="2"/>
      <c r="S111" s="2"/>
      <c r="T111" s="2"/>
      <c r="U111" s="2"/>
      <c r="V111" s="2"/>
      <c r="W111" s="157"/>
      <c r="X111" s="157"/>
      <c r="Y111" s="157"/>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customHeight="1">
      <c r="A112" s="2"/>
      <c r="B112" s="2"/>
      <c r="C112" s="2"/>
      <c r="D112" s="2"/>
      <c r="E112" s="2"/>
      <c r="F112" s="2"/>
      <c r="G112" s="2"/>
      <c r="H112" s="2"/>
      <c r="I112" s="2"/>
      <c r="J112" s="2"/>
      <c r="K112" s="2"/>
      <c r="L112" s="2"/>
      <c r="M112" s="2"/>
      <c r="N112" s="2"/>
      <c r="O112" s="2"/>
      <c r="P112" s="2"/>
      <c r="Q112" s="2"/>
      <c r="R112" s="2"/>
      <c r="S112" s="2"/>
      <c r="T112" s="2"/>
      <c r="U112" s="2"/>
      <c r="V112" s="2"/>
      <c r="W112" s="157"/>
      <c r="X112" s="157"/>
      <c r="Y112" s="157"/>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customHeight="1">
      <c r="A113" s="2"/>
      <c r="B113" s="2"/>
      <c r="C113" s="2"/>
      <c r="D113" s="2"/>
      <c r="E113" s="2"/>
      <c r="F113" s="2"/>
      <c r="G113" s="2"/>
      <c r="H113" s="2"/>
      <c r="I113" s="2"/>
      <c r="J113" s="2"/>
      <c r="K113" s="2"/>
      <c r="L113" s="2"/>
      <c r="M113" s="2"/>
      <c r="N113" s="2"/>
      <c r="O113" s="2"/>
      <c r="P113" s="2"/>
      <c r="Q113" s="2"/>
      <c r="R113" s="2"/>
      <c r="S113" s="2"/>
      <c r="T113" s="2"/>
      <c r="U113" s="2"/>
      <c r="V113" s="2"/>
      <c r="W113" s="157"/>
      <c r="X113" s="157"/>
      <c r="Y113" s="157"/>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customHeight="1">
      <c r="A114" s="2"/>
      <c r="B114" s="2"/>
      <c r="C114" s="2"/>
      <c r="D114" s="2"/>
      <c r="E114" s="2"/>
      <c r="F114" s="2"/>
      <c r="G114" s="2"/>
      <c r="H114" s="2"/>
      <c r="I114" s="2"/>
      <c r="J114" s="2"/>
      <c r="K114" s="2"/>
      <c r="L114" s="2"/>
      <c r="M114" s="2"/>
      <c r="N114" s="2"/>
      <c r="O114" s="2"/>
      <c r="P114" s="2"/>
      <c r="Q114" s="2"/>
      <c r="R114" s="2"/>
      <c r="S114" s="2"/>
      <c r="T114" s="2"/>
      <c r="U114" s="2"/>
      <c r="V114" s="2"/>
      <c r="W114" s="157"/>
      <c r="X114" s="157"/>
      <c r="Y114" s="157"/>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customHeight="1">
      <c r="A115" s="2"/>
      <c r="B115" s="2"/>
      <c r="C115" s="2"/>
      <c r="D115" s="2"/>
      <c r="E115" s="2"/>
      <c r="F115" s="2"/>
      <c r="G115" s="2"/>
      <c r="H115" s="2"/>
      <c r="I115" s="2"/>
      <c r="J115" s="2"/>
      <c r="K115" s="2"/>
      <c r="L115" s="2"/>
      <c r="M115" s="2"/>
      <c r="N115" s="2"/>
      <c r="O115" s="2"/>
      <c r="P115" s="2"/>
      <c r="Q115" s="2"/>
      <c r="R115" s="2"/>
      <c r="S115" s="2"/>
      <c r="T115" s="2"/>
      <c r="U115" s="2"/>
      <c r="V115" s="2"/>
      <c r="W115" s="157"/>
      <c r="X115" s="157"/>
      <c r="Y115" s="157"/>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customHeight="1">
      <c r="A116" s="2"/>
      <c r="B116" s="2"/>
      <c r="C116" s="2"/>
      <c r="D116" s="2"/>
      <c r="E116" s="2"/>
      <c r="F116" s="2"/>
      <c r="G116" s="2"/>
      <c r="H116" s="2"/>
      <c r="I116" s="2"/>
      <c r="J116" s="2"/>
      <c r="K116" s="2"/>
      <c r="L116" s="2"/>
      <c r="M116" s="2"/>
      <c r="N116" s="2"/>
      <c r="O116" s="2"/>
      <c r="P116" s="2"/>
      <c r="Q116" s="2"/>
      <c r="R116" s="2"/>
      <c r="S116" s="2"/>
      <c r="T116" s="2"/>
      <c r="U116" s="2"/>
      <c r="V116" s="2"/>
      <c r="W116" s="157"/>
      <c r="X116" s="157"/>
      <c r="Y116" s="157"/>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customHeight="1">
      <c r="A117" s="2"/>
      <c r="B117" s="2"/>
      <c r="C117" s="2"/>
      <c r="D117" s="2"/>
      <c r="E117" s="2"/>
      <c r="F117" s="2"/>
      <c r="G117" s="2"/>
      <c r="H117" s="2"/>
      <c r="I117" s="2"/>
      <c r="J117" s="2"/>
      <c r="K117" s="2"/>
      <c r="L117" s="2"/>
      <c r="M117" s="2"/>
      <c r="N117" s="2"/>
      <c r="O117" s="2"/>
      <c r="P117" s="2"/>
      <c r="Q117" s="2"/>
      <c r="R117" s="2"/>
      <c r="S117" s="2"/>
      <c r="T117" s="2"/>
      <c r="U117" s="2"/>
      <c r="V117" s="2"/>
      <c r="W117" s="157"/>
      <c r="X117" s="157"/>
      <c r="Y117" s="157"/>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customHeight="1">
      <c r="A118" s="2"/>
      <c r="B118" s="2"/>
      <c r="C118" s="2"/>
      <c r="D118" s="2"/>
      <c r="E118" s="2"/>
      <c r="F118" s="2"/>
      <c r="G118" s="2"/>
      <c r="H118" s="2"/>
      <c r="I118" s="2"/>
      <c r="J118" s="2"/>
      <c r="K118" s="2"/>
      <c r="L118" s="2"/>
      <c r="M118" s="2"/>
      <c r="N118" s="2"/>
      <c r="O118" s="2"/>
      <c r="P118" s="2"/>
      <c r="Q118" s="2"/>
      <c r="R118" s="2"/>
      <c r="S118" s="2"/>
      <c r="T118" s="2"/>
      <c r="U118" s="2"/>
      <c r="V118" s="2"/>
      <c r="W118" s="157"/>
      <c r="X118" s="157"/>
      <c r="Y118" s="157"/>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customHeight="1">
      <c r="A119" s="2"/>
      <c r="B119" s="2"/>
      <c r="C119" s="2"/>
      <c r="D119" s="2"/>
      <c r="E119" s="2"/>
      <c r="F119" s="2"/>
      <c r="G119" s="2"/>
      <c r="H119" s="2"/>
      <c r="I119" s="2"/>
      <c r="J119" s="2"/>
      <c r="K119" s="2"/>
      <c r="L119" s="2"/>
      <c r="M119" s="2"/>
      <c r="N119" s="2"/>
      <c r="O119" s="2"/>
      <c r="P119" s="2"/>
      <c r="Q119" s="2"/>
      <c r="R119" s="2"/>
      <c r="S119" s="2"/>
      <c r="T119" s="2"/>
      <c r="U119" s="2"/>
      <c r="V119" s="2"/>
      <c r="W119" s="157"/>
      <c r="X119" s="157"/>
      <c r="Y119" s="157"/>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customHeight="1">
      <c r="A120" s="2"/>
      <c r="B120" s="2"/>
      <c r="C120" s="2"/>
      <c r="D120" s="2"/>
      <c r="E120" s="2"/>
      <c r="F120" s="2"/>
      <c r="G120" s="2"/>
      <c r="H120" s="2"/>
      <c r="I120" s="2"/>
      <c r="J120" s="2"/>
      <c r="K120" s="2"/>
      <c r="L120" s="2"/>
      <c r="M120" s="2"/>
      <c r="N120" s="2"/>
      <c r="O120" s="2"/>
      <c r="P120" s="2"/>
      <c r="Q120" s="2"/>
      <c r="R120" s="2"/>
      <c r="S120" s="2"/>
      <c r="T120" s="2"/>
      <c r="U120" s="2"/>
      <c r="V120" s="2"/>
      <c r="W120" s="157"/>
      <c r="X120" s="157"/>
      <c r="Y120" s="157"/>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customHeight="1">
      <c r="A121" s="2"/>
      <c r="B121" s="2"/>
      <c r="C121" s="2"/>
      <c r="D121" s="2"/>
      <c r="E121" s="2"/>
      <c r="F121" s="2"/>
      <c r="G121" s="2"/>
      <c r="H121" s="2"/>
      <c r="I121" s="2"/>
      <c r="J121" s="2"/>
      <c r="K121" s="2"/>
      <c r="L121" s="2"/>
      <c r="M121" s="2"/>
      <c r="N121" s="2"/>
      <c r="O121" s="2"/>
      <c r="P121" s="2"/>
      <c r="Q121" s="2"/>
      <c r="R121" s="2"/>
      <c r="S121" s="2"/>
      <c r="T121" s="2"/>
      <c r="U121" s="2"/>
      <c r="V121" s="2"/>
      <c r="W121" s="157"/>
      <c r="X121" s="157"/>
      <c r="Y121" s="157"/>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customHeight="1">
      <c r="A122" s="2"/>
      <c r="B122" s="2"/>
      <c r="C122" s="2"/>
      <c r="D122" s="2"/>
      <c r="E122" s="2"/>
      <c r="F122" s="2"/>
      <c r="G122" s="2"/>
      <c r="H122" s="2"/>
      <c r="I122" s="2"/>
      <c r="J122" s="2"/>
      <c r="K122" s="2"/>
      <c r="L122" s="2"/>
      <c r="M122" s="2"/>
      <c r="N122" s="2"/>
      <c r="O122" s="2"/>
      <c r="P122" s="2"/>
      <c r="Q122" s="2"/>
      <c r="R122" s="2"/>
      <c r="S122" s="2"/>
      <c r="T122" s="2"/>
      <c r="U122" s="2"/>
      <c r="V122" s="2"/>
      <c r="W122" s="157"/>
      <c r="X122" s="157"/>
      <c r="Y122" s="157"/>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customHeight="1">
      <c r="A123" s="2"/>
      <c r="B123" s="2"/>
      <c r="C123" s="2"/>
      <c r="D123" s="2"/>
      <c r="E123" s="2"/>
      <c r="F123" s="2"/>
      <c r="G123" s="2"/>
      <c r="H123" s="2"/>
      <c r="I123" s="2"/>
      <c r="J123" s="2"/>
      <c r="K123" s="2"/>
      <c r="L123" s="2"/>
      <c r="M123" s="2"/>
      <c r="N123" s="2"/>
      <c r="O123" s="2"/>
      <c r="P123" s="2"/>
      <c r="Q123" s="2"/>
      <c r="R123" s="2"/>
      <c r="S123" s="2"/>
      <c r="T123" s="2"/>
      <c r="U123" s="2"/>
      <c r="V123" s="2"/>
      <c r="W123" s="157"/>
      <c r="X123" s="157"/>
      <c r="Y123" s="157"/>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customHeight="1">
      <c r="A124" s="2"/>
      <c r="B124" s="2"/>
      <c r="C124" s="2"/>
      <c r="D124" s="2"/>
      <c r="E124" s="2"/>
      <c r="F124" s="2"/>
      <c r="G124" s="2"/>
      <c r="H124" s="2"/>
      <c r="I124" s="2"/>
      <c r="J124" s="2"/>
      <c r="K124" s="2"/>
      <c r="L124" s="2"/>
      <c r="M124" s="2"/>
      <c r="N124" s="2"/>
      <c r="O124" s="2"/>
      <c r="P124" s="2"/>
      <c r="Q124" s="2"/>
      <c r="R124" s="2"/>
      <c r="S124" s="2"/>
      <c r="T124" s="2"/>
      <c r="U124" s="2"/>
      <c r="V124" s="2"/>
      <c r="W124" s="157"/>
      <c r="X124" s="157"/>
      <c r="Y124" s="157"/>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customHeight="1">
      <c r="A125" s="2"/>
      <c r="B125" s="2"/>
      <c r="C125" s="2"/>
      <c r="D125" s="2"/>
      <c r="E125" s="2"/>
      <c r="F125" s="2"/>
      <c r="G125" s="2"/>
      <c r="H125" s="2"/>
      <c r="I125" s="2"/>
      <c r="J125" s="2"/>
      <c r="K125" s="2"/>
      <c r="L125" s="2"/>
      <c r="M125" s="2"/>
      <c r="N125" s="2"/>
      <c r="O125" s="2"/>
      <c r="P125" s="2"/>
      <c r="Q125" s="2"/>
      <c r="R125" s="2"/>
      <c r="S125" s="2"/>
      <c r="T125" s="2"/>
      <c r="U125" s="2"/>
      <c r="V125" s="2"/>
      <c r="W125" s="157"/>
      <c r="X125" s="157"/>
      <c r="Y125" s="157"/>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customHeight="1">
      <c r="A126" s="2"/>
      <c r="B126" s="2"/>
      <c r="C126" s="2"/>
      <c r="D126" s="2"/>
      <c r="E126" s="2"/>
      <c r="F126" s="2"/>
      <c r="G126" s="2"/>
      <c r="H126" s="2"/>
      <c r="I126" s="2"/>
      <c r="J126" s="2"/>
      <c r="K126" s="2"/>
      <c r="L126" s="2"/>
      <c r="M126" s="2"/>
      <c r="N126" s="2"/>
      <c r="O126" s="2"/>
      <c r="P126" s="2"/>
      <c r="Q126" s="2"/>
      <c r="R126" s="2"/>
      <c r="S126" s="2"/>
      <c r="T126" s="2"/>
      <c r="U126" s="2"/>
      <c r="V126" s="2"/>
      <c r="W126" s="157"/>
      <c r="X126" s="157"/>
      <c r="Y126" s="157"/>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customHeight="1">
      <c r="A127" s="2"/>
      <c r="B127" s="2"/>
      <c r="C127" s="2"/>
      <c r="D127" s="2"/>
      <c r="E127" s="2"/>
      <c r="F127" s="2"/>
      <c r="G127" s="2"/>
      <c r="H127" s="2"/>
      <c r="I127" s="2"/>
      <c r="J127" s="2"/>
      <c r="K127" s="2"/>
      <c r="L127" s="2"/>
      <c r="M127" s="2"/>
      <c r="N127" s="2"/>
      <c r="O127" s="2"/>
      <c r="P127" s="2"/>
      <c r="Q127" s="2"/>
      <c r="R127" s="2"/>
      <c r="S127" s="2"/>
      <c r="T127" s="2"/>
      <c r="U127" s="2"/>
      <c r="V127" s="2"/>
      <c r="W127" s="157"/>
      <c r="X127" s="157"/>
      <c r="Y127" s="157"/>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customHeight="1">
      <c r="A128" s="2"/>
      <c r="B128" s="2"/>
      <c r="C128" s="2"/>
      <c r="D128" s="2"/>
      <c r="E128" s="2"/>
      <c r="F128" s="2"/>
      <c r="G128" s="2"/>
      <c r="H128" s="2"/>
      <c r="I128" s="2"/>
      <c r="J128" s="2"/>
      <c r="K128" s="2"/>
      <c r="L128" s="2"/>
      <c r="M128" s="2"/>
      <c r="N128" s="2"/>
      <c r="O128" s="2"/>
      <c r="P128" s="2"/>
      <c r="Q128" s="2"/>
      <c r="R128" s="2"/>
      <c r="S128" s="2"/>
      <c r="T128" s="2"/>
      <c r="U128" s="2"/>
      <c r="V128" s="2"/>
      <c r="W128" s="157"/>
      <c r="X128" s="157"/>
      <c r="Y128" s="157"/>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customHeight="1">
      <c r="A129" s="2"/>
      <c r="B129" s="2"/>
      <c r="C129" s="2"/>
      <c r="D129" s="2"/>
      <c r="E129" s="2"/>
      <c r="F129" s="2"/>
      <c r="G129" s="2"/>
      <c r="H129" s="2"/>
      <c r="I129" s="2"/>
      <c r="J129" s="2"/>
      <c r="K129" s="2"/>
      <c r="L129" s="2"/>
      <c r="M129" s="2"/>
      <c r="N129" s="2"/>
      <c r="O129" s="2"/>
      <c r="P129" s="2"/>
      <c r="Q129" s="2"/>
      <c r="R129" s="2"/>
      <c r="S129" s="2"/>
      <c r="T129" s="2"/>
      <c r="U129" s="2"/>
      <c r="V129" s="2"/>
      <c r="W129" s="157"/>
      <c r="X129" s="157"/>
      <c r="Y129" s="157"/>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customHeight="1">
      <c r="A130" s="2"/>
      <c r="B130" s="2"/>
      <c r="C130" s="2"/>
      <c r="D130" s="2"/>
      <c r="E130" s="2"/>
      <c r="F130" s="2"/>
      <c r="G130" s="2"/>
      <c r="H130" s="2"/>
      <c r="I130" s="2"/>
      <c r="J130" s="2"/>
      <c r="K130" s="2"/>
      <c r="L130" s="2"/>
      <c r="M130" s="2"/>
      <c r="N130" s="2"/>
      <c r="O130" s="2"/>
      <c r="P130" s="2"/>
      <c r="Q130" s="2"/>
      <c r="R130" s="2"/>
      <c r="S130" s="2"/>
      <c r="T130" s="2"/>
      <c r="U130" s="2"/>
      <c r="V130" s="2"/>
      <c r="W130" s="157"/>
      <c r="X130" s="157"/>
      <c r="Y130" s="157"/>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customHeight="1">
      <c r="A131" s="2"/>
      <c r="B131" s="2"/>
      <c r="C131" s="2"/>
      <c r="D131" s="2"/>
      <c r="E131" s="2"/>
      <c r="F131" s="2"/>
      <c r="G131" s="2"/>
      <c r="H131" s="2"/>
      <c r="I131" s="2"/>
      <c r="J131" s="2"/>
      <c r="K131" s="2"/>
      <c r="L131" s="2"/>
      <c r="M131" s="2"/>
      <c r="N131" s="2"/>
      <c r="O131" s="2"/>
      <c r="P131" s="2"/>
      <c r="Q131" s="2"/>
      <c r="R131" s="2"/>
      <c r="S131" s="2"/>
      <c r="T131" s="2"/>
      <c r="U131" s="2"/>
      <c r="V131" s="2"/>
      <c r="W131" s="157"/>
      <c r="X131" s="157"/>
      <c r="Y131" s="157"/>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customHeight="1">
      <c r="A132" s="2"/>
      <c r="B132" s="2"/>
      <c r="C132" s="2"/>
      <c r="D132" s="2"/>
      <c r="E132" s="2"/>
      <c r="F132" s="2"/>
      <c r="G132" s="2"/>
      <c r="H132" s="2"/>
      <c r="I132" s="2"/>
      <c r="J132" s="2"/>
      <c r="K132" s="2"/>
      <c r="L132" s="2"/>
      <c r="M132" s="2"/>
      <c r="N132" s="2"/>
      <c r="O132" s="2"/>
      <c r="P132" s="2"/>
      <c r="Q132" s="2"/>
      <c r="R132" s="2"/>
      <c r="S132" s="2"/>
      <c r="T132" s="2"/>
      <c r="U132" s="2"/>
      <c r="V132" s="2"/>
      <c r="W132" s="157"/>
      <c r="X132" s="157"/>
      <c r="Y132" s="157"/>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customHeight="1">
      <c r="A133" s="2"/>
      <c r="B133" s="2"/>
      <c r="C133" s="2"/>
      <c r="D133" s="2"/>
      <c r="E133" s="2"/>
      <c r="F133" s="2"/>
      <c r="G133" s="2"/>
      <c r="H133" s="2"/>
      <c r="I133" s="2"/>
      <c r="J133" s="2"/>
      <c r="K133" s="2"/>
      <c r="L133" s="2"/>
      <c r="M133" s="2"/>
      <c r="N133" s="2"/>
      <c r="O133" s="2"/>
      <c r="P133" s="2"/>
      <c r="Q133" s="2"/>
      <c r="R133" s="2"/>
      <c r="S133" s="2"/>
      <c r="T133" s="2"/>
      <c r="U133" s="2"/>
      <c r="V133" s="2"/>
      <c r="W133" s="157"/>
      <c r="X133" s="157"/>
      <c r="Y133" s="157"/>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customHeight="1">
      <c r="A134" s="2"/>
      <c r="B134" s="2"/>
      <c r="C134" s="2"/>
      <c r="D134" s="2"/>
      <c r="E134" s="2"/>
      <c r="F134" s="2"/>
      <c r="G134" s="2"/>
      <c r="H134" s="2"/>
      <c r="I134" s="2"/>
      <c r="J134" s="2"/>
      <c r="K134" s="2"/>
      <c r="L134" s="2"/>
      <c r="M134" s="2"/>
      <c r="N134" s="2"/>
      <c r="O134" s="2"/>
      <c r="P134" s="2"/>
      <c r="Q134" s="2"/>
      <c r="R134" s="2"/>
      <c r="S134" s="2"/>
      <c r="T134" s="2"/>
      <c r="U134" s="2"/>
      <c r="V134" s="2"/>
      <c r="W134" s="157"/>
      <c r="X134" s="157"/>
      <c r="Y134" s="157"/>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customHeight="1">
      <c r="A135" s="2"/>
      <c r="B135" s="2"/>
      <c r="C135" s="2"/>
      <c r="D135" s="2"/>
      <c r="E135" s="2"/>
      <c r="F135" s="2"/>
      <c r="G135" s="2"/>
      <c r="H135" s="2"/>
      <c r="I135" s="2"/>
      <c r="J135" s="2"/>
      <c r="K135" s="2"/>
      <c r="L135" s="2"/>
      <c r="M135" s="2"/>
      <c r="N135" s="2"/>
      <c r="O135" s="2"/>
      <c r="P135" s="2"/>
      <c r="Q135" s="2"/>
      <c r="R135" s="2"/>
      <c r="S135" s="2"/>
      <c r="T135" s="2"/>
      <c r="U135" s="2"/>
      <c r="V135" s="2"/>
      <c r="W135" s="157"/>
      <c r="X135" s="157"/>
      <c r="Y135" s="157"/>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customHeight="1">
      <c r="A136" s="2"/>
      <c r="B136" s="2"/>
      <c r="C136" s="2"/>
      <c r="D136" s="2"/>
      <c r="E136" s="2"/>
      <c r="F136" s="2"/>
      <c r="G136" s="2"/>
      <c r="H136" s="2"/>
      <c r="I136" s="2"/>
      <c r="J136" s="2"/>
      <c r="K136" s="2"/>
      <c r="L136" s="2"/>
      <c r="M136" s="2"/>
      <c r="N136" s="2"/>
      <c r="O136" s="2"/>
      <c r="P136" s="2"/>
      <c r="Q136" s="2"/>
      <c r="R136" s="2"/>
      <c r="S136" s="2"/>
      <c r="T136" s="2"/>
      <c r="U136" s="2"/>
      <c r="V136" s="2"/>
      <c r="W136" s="157"/>
      <c r="X136" s="157"/>
      <c r="Y136" s="157"/>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customHeight="1">
      <c r="A137" s="2"/>
      <c r="B137" s="2"/>
      <c r="C137" s="2"/>
      <c r="D137" s="2"/>
      <c r="E137" s="2"/>
      <c r="F137" s="2"/>
      <c r="G137" s="2"/>
      <c r="H137" s="2"/>
      <c r="I137" s="2"/>
      <c r="J137" s="2"/>
      <c r="K137" s="2"/>
      <c r="L137" s="2"/>
      <c r="M137" s="2"/>
      <c r="N137" s="2"/>
      <c r="O137" s="2"/>
      <c r="P137" s="2"/>
      <c r="Q137" s="2"/>
      <c r="R137" s="2"/>
      <c r="S137" s="2"/>
      <c r="T137" s="2"/>
      <c r="U137" s="2"/>
      <c r="V137" s="2"/>
      <c r="W137" s="157"/>
      <c r="X137" s="157"/>
      <c r="Y137" s="157"/>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customHeight="1">
      <c r="A138" s="2"/>
      <c r="B138" s="2"/>
      <c r="C138" s="2"/>
      <c r="D138" s="2"/>
      <c r="E138" s="2"/>
      <c r="F138" s="2"/>
      <c r="G138" s="2"/>
      <c r="H138" s="2"/>
      <c r="I138" s="2"/>
      <c r="J138" s="2"/>
      <c r="K138" s="2"/>
      <c r="L138" s="2"/>
      <c r="M138" s="2"/>
      <c r="N138" s="2"/>
      <c r="O138" s="2"/>
      <c r="P138" s="2"/>
      <c r="Q138" s="2"/>
      <c r="R138" s="2"/>
      <c r="S138" s="2"/>
      <c r="T138" s="2"/>
      <c r="U138" s="2"/>
      <c r="V138" s="2"/>
      <c r="W138" s="157"/>
      <c r="X138" s="157"/>
      <c r="Y138" s="157"/>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customHeight="1">
      <c r="A139" s="2"/>
      <c r="B139" s="2"/>
      <c r="C139" s="2"/>
      <c r="D139" s="2"/>
      <c r="E139" s="2"/>
      <c r="F139" s="2"/>
      <c r="G139" s="2"/>
      <c r="H139" s="2"/>
      <c r="I139" s="2"/>
      <c r="J139" s="2"/>
      <c r="K139" s="2"/>
      <c r="L139" s="2"/>
      <c r="M139" s="2"/>
      <c r="N139" s="2"/>
      <c r="O139" s="2"/>
      <c r="P139" s="2"/>
      <c r="Q139" s="2"/>
      <c r="R139" s="2"/>
      <c r="S139" s="2"/>
      <c r="T139" s="2"/>
      <c r="U139" s="2"/>
      <c r="V139" s="2"/>
      <c r="W139" s="157"/>
      <c r="X139" s="157"/>
      <c r="Y139" s="157"/>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customHeight="1">
      <c r="A140" s="2"/>
      <c r="B140" s="2"/>
      <c r="C140" s="2"/>
      <c r="D140" s="2"/>
      <c r="E140" s="2"/>
      <c r="F140" s="2"/>
      <c r="G140" s="2"/>
      <c r="H140" s="2"/>
      <c r="I140" s="2"/>
      <c r="J140" s="2"/>
      <c r="K140" s="2"/>
      <c r="L140" s="2"/>
      <c r="M140" s="2"/>
      <c r="N140" s="2"/>
      <c r="O140" s="2"/>
      <c r="P140" s="2"/>
      <c r="Q140" s="2"/>
      <c r="R140" s="2"/>
      <c r="S140" s="2"/>
      <c r="T140" s="2"/>
      <c r="U140" s="2"/>
      <c r="V140" s="2"/>
      <c r="W140" s="157"/>
      <c r="X140" s="157"/>
      <c r="Y140" s="157"/>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customHeight="1">
      <c r="A141" s="2"/>
      <c r="B141" s="2"/>
      <c r="C141" s="2"/>
      <c r="D141" s="2"/>
      <c r="E141" s="2"/>
      <c r="F141" s="2"/>
      <c r="G141" s="2"/>
      <c r="H141" s="2"/>
      <c r="I141" s="2"/>
      <c r="J141" s="2"/>
      <c r="K141" s="2"/>
      <c r="L141" s="2"/>
      <c r="M141" s="2"/>
      <c r="N141" s="2"/>
      <c r="O141" s="2"/>
      <c r="P141" s="2"/>
      <c r="Q141" s="2"/>
      <c r="R141" s="2"/>
      <c r="S141" s="2"/>
      <c r="T141" s="2"/>
      <c r="U141" s="2"/>
      <c r="V141" s="2"/>
      <c r="W141" s="157"/>
      <c r="X141" s="157"/>
      <c r="Y141" s="157"/>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customHeight="1">
      <c r="A142" s="2"/>
      <c r="B142" s="2"/>
      <c r="C142" s="2"/>
      <c r="D142" s="2"/>
      <c r="E142" s="2"/>
      <c r="F142" s="2"/>
      <c r="G142" s="2"/>
      <c r="H142" s="2"/>
      <c r="I142" s="2"/>
      <c r="J142" s="2"/>
      <c r="K142" s="2"/>
      <c r="L142" s="2"/>
      <c r="M142" s="2"/>
      <c r="N142" s="2"/>
      <c r="O142" s="2"/>
      <c r="P142" s="2"/>
      <c r="Q142" s="2"/>
      <c r="R142" s="2"/>
      <c r="S142" s="2"/>
      <c r="T142" s="2"/>
      <c r="U142" s="2"/>
      <c r="V142" s="2"/>
      <c r="W142" s="157"/>
      <c r="X142" s="157"/>
      <c r="Y142" s="157"/>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customHeight="1">
      <c r="A143" s="2"/>
      <c r="B143" s="2"/>
      <c r="C143" s="2"/>
      <c r="D143" s="2"/>
      <c r="E143" s="2"/>
      <c r="F143" s="2"/>
      <c r="G143" s="2"/>
      <c r="H143" s="2"/>
      <c r="I143" s="2"/>
      <c r="J143" s="2"/>
      <c r="K143" s="2"/>
      <c r="L143" s="2"/>
      <c r="M143" s="2"/>
      <c r="N143" s="2"/>
      <c r="O143" s="2"/>
      <c r="P143" s="2"/>
      <c r="Q143" s="2"/>
      <c r="R143" s="2"/>
      <c r="S143" s="2"/>
      <c r="T143" s="2"/>
      <c r="U143" s="2"/>
      <c r="V143" s="2"/>
      <c r="W143" s="157"/>
      <c r="X143" s="157"/>
      <c r="Y143" s="157"/>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customHeight="1">
      <c r="A144" s="2"/>
      <c r="B144" s="2"/>
      <c r="C144" s="2"/>
      <c r="D144" s="2"/>
      <c r="E144" s="2"/>
      <c r="F144" s="2"/>
      <c r="G144" s="2"/>
      <c r="H144" s="2"/>
      <c r="I144" s="2"/>
      <c r="J144" s="2"/>
      <c r="K144" s="2"/>
      <c r="L144" s="2"/>
      <c r="M144" s="2"/>
      <c r="N144" s="2"/>
      <c r="O144" s="2"/>
      <c r="P144" s="2"/>
      <c r="Q144" s="2"/>
      <c r="R144" s="2"/>
      <c r="S144" s="2"/>
      <c r="T144" s="2"/>
      <c r="U144" s="2"/>
      <c r="V144" s="2"/>
      <c r="W144" s="157"/>
      <c r="X144" s="157"/>
      <c r="Y144" s="157"/>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customHeight="1">
      <c r="A145" s="2"/>
      <c r="B145" s="2"/>
      <c r="C145" s="2"/>
      <c r="D145" s="2"/>
      <c r="E145" s="2"/>
      <c r="F145" s="2"/>
      <c r="G145" s="2"/>
      <c r="H145" s="2"/>
      <c r="I145" s="2"/>
      <c r="J145" s="2"/>
      <c r="K145" s="2"/>
      <c r="L145" s="2"/>
      <c r="M145" s="2"/>
      <c r="N145" s="2"/>
      <c r="O145" s="2"/>
      <c r="P145" s="2"/>
      <c r="Q145" s="2"/>
      <c r="R145" s="2"/>
      <c r="S145" s="2"/>
      <c r="T145" s="2"/>
      <c r="U145" s="2"/>
      <c r="V145" s="2"/>
      <c r="W145" s="157"/>
      <c r="X145" s="157"/>
      <c r="Y145" s="157"/>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customHeight="1">
      <c r="A146" s="2"/>
      <c r="B146" s="2"/>
      <c r="C146" s="2"/>
      <c r="D146" s="2"/>
      <c r="E146" s="2"/>
      <c r="F146" s="2"/>
      <c r="G146" s="2"/>
      <c r="H146" s="2"/>
      <c r="I146" s="2"/>
      <c r="J146" s="2"/>
      <c r="K146" s="2"/>
      <c r="L146" s="2"/>
      <c r="M146" s="2"/>
      <c r="N146" s="2"/>
      <c r="O146" s="2"/>
      <c r="P146" s="2"/>
      <c r="Q146" s="2"/>
      <c r="R146" s="2"/>
      <c r="S146" s="2"/>
      <c r="T146" s="2"/>
      <c r="U146" s="2"/>
      <c r="V146" s="2"/>
      <c r="W146" s="157"/>
      <c r="X146" s="157"/>
      <c r="Y146" s="157"/>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customHeight="1">
      <c r="A147" s="2"/>
      <c r="B147" s="2"/>
      <c r="C147" s="2"/>
      <c r="D147" s="2"/>
      <c r="E147" s="2"/>
      <c r="F147" s="2"/>
      <c r="G147" s="2"/>
      <c r="H147" s="2"/>
      <c r="I147" s="2"/>
      <c r="J147" s="2"/>
      <c r="K147" s="2"/>
      <c r="L147" s="2"/>
      <c r="M147" s="2"/>
      <c r="N147" s="2"/>
      <c r="O147" s="2"/>
      <c r="P147" s="2"/>
      <c r="Q147" s="2"/>
      <c r="R147" s="2"/>
      <c r="S147" s="2"/>
      <c r="T147" s="2"/>
      <c r="U147" s="2"/>
      <c r="V147" s="2"/>
      <c r="W147" s="157"/>
      <c r="X147" s="157"/>
      <c r="Y147" s="157"/>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customHeight="1">
      <c r="A148" s="2"/>
      <c r="B148" s="2"/>
      <c r="C148" s="2"/>
      <c r="D148" s="2"/>
      <c r="E148" s="2"/>
      <c r="F148" s="2"/>
      <c r="G148" s="2"/>
      <c r="H148" s="2"/>
      <c r="I148" s="2"/>
      <c r="J148" s="2"/>
      <c r="K148" s="2"/>
      <c r="L148" s="2"/>
      <c r="M148" s="2"/>
      <c r="N148" s="2"/>
      <c r="O148" s="2"/>
      <c r="P148" s="2"/>
      <c r="Q148" s="2"/>
      <c r="R148" s="2"/>
      <c r="S148" s="2"/>
      <c r="T148" s="2"/>
      <c r="U148" s="2"/>
      <c r="V148" s="2"/>
      <c r="W148" s="157"/>
      <c r="X148" s="157"/>
      <c r="Y148" s="157"/>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customHeight="1">
      <c r="A149" s="2"/>
      <c r="B149" s="2"/>
      <c r="C149" s="2"/>
      <c r="D149" s="2"/>
      <c r="E149" s="2"/>
      <c r="F149" s="2"/>
      <c r="G149" s="2"/>
      <c r="H149" s="2"/>
      <c r="I149" s="2"/>
      <c r="J149" s="2"/>
      <c r="K149" s="2"/>
      <c r="L149" s="2"/>
      <c r="M149" s="2"/>
      <c r="N149" s="2"/>
      <c r="O149" s="2"/>
      <c r="P149" s="2"/>
      <c r="Q149" s="2"/>
      <c r="R149" s="2"/>
      <c r="S149" s="2"/>
      <c r="T149" s="2"/>
      <c r="U149" s="2"/>
      <c r="V149" s="2"/>
      <c r="W149" s="157"/>
      <c r="X149" s="157"/>
      <c r="Y149" s="157"/>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customHeight="1">
      <c r="A150" s="2"/>
      <c r="B150" s="2"/>
      <c r="C150" s="2"/>
      <c r="D150" s="2"/>
      <c r="E150" s="2"/>
      <c r="F150" s="2"/>
      <c r="G150" s="2"/>
      <c r="H150" s="2"/>
      <c r="I150" s="2"/>
      <c r="J150" s="2"/>
      <c r="K150" s="2"/>
      <c r="L150" s="2"/>
      <c r="M150" s="2"/>
      <c r="N150" s="2"/>
      <c r="O150" s="2"/>
      <c r="P150" s="2"/>
      <c r="Q150" s="2"/>
      <c r="R150" s="2"/>
      <c r="S150" s="2"/>
      <c r="T150" s="2"/>
      <c r="U150" s="2"/>
      <c r="V150" s="2"/>
      <c r="W150" s="157"/>
      <c r="X150" s="157"/>
      <c r="Y150" s="157"/>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customHeight="1">
      <c r="A151" s="2"/>
      <c r="B151" s="2"/>
      <c r="C151" s="2"/>
      <c r="D151" s="2"/>
      <c r="E151" s="2"/>
      <c r="F151" s="2"/>
      <c r="G151" s="2"/>
      <c r="H151" s="2"/>
      <c r="I151" s="2"/>
      <c r="J151" s="2"/>
      <c r="K151" s="2"/>
      <c r="L151" s="2"/>
      <c r="M151" s="2"/>
      <c r="N151" s="2"/>
      <c r="O151" s="2"/>
      <c r="P151" s="2"/>
      <c r="Q151" s="2"/>
      <c r="R151" s="2"/>
      <c r="S151" s="2"/>
      <c r="T151" s="2"/>
      <c r="U151" s="2"/>
      <c r="V151" s="2"/>
      <c r="W151" s="157"/>
      <c r="X151" s="157"/>
      <c r="Y151" s="157"/>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customHeight="1">
      <c r="A152" s="2"/>
      <c r="B152" s="2"/>
      <c r="C152" s="2"/>
      <c r="D152" s="2"/>
      <c r="E152" s="2"/>
      <c r="F152" s="2"/>
      <c r="G152" s="2"/>
      <c r="H152" s="2"/>
      <c r="I152" s="2"/>
      <c r="J152" s="2"/>
      <c r="K152" s="2"/>
      <c r="L152" s="2"/>
      <c r="M152" s="2"/>
      <c r="N152" s="2"/>
      <c r="O152" s="2"/>
      <c r="P152" s="2"/>
      <c r="Q152" s="2"/>
      <c r="R152" s="2"/>
      <c r="S152" s="2"/>
      <c r="T152" s="2"/>
      <c r="U152" s="2"/>
      <c r="V152" s="2"/>
      <c r="W152" s="157"/>
      <c r="X152" s="157"/>
      <c r="Y152" s="157"/>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customHeight="1">
      <c r="A153" s="2"/>
      <c r="B153" s="2"/>
      <c r="C153" s="2"/>
      <c r="D153" s="2"/>
      <c r="E153" s="2"/>
      <c r="F153" s="2"/>
      <c r="G153" s="2"/>
      <c r="H153" s="2"/>
      <c r="I153" s="2"/>
      <c r="J153" s="2"/>
      <c r="K153" s="2"/>
      <c r="L153" s="2"/>
      <c r="M153" s="2"/>
      <c r="N153" s="2"/>
      <c r="O153" s="2"/>
      <c r="P153" s="2"/>
      <c r="Q153" s="2"/>
      <c r="R153" s="2"/>
      <c r="S153" s="2"/>
      <c r="T153" s="2"/>
      <c r="U153" s="2"/>
      <c r="V153" s="2"/>
      <c r="W153" s="157"/>
      <c r="X153" s="157"/>
      <c r="Y153" s="157"/>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customHeight="1">
      <c r="A154" s="2"/>
      <c r="B154" s="2"/>
      <c r="C154" s="2"/>
      <c r="D154" s="2"/>
      <c r="E154" s="2"/>
      <c r="F154" s="2"/>
      <c r="G154" s="2"/>
      <c r="H154" s="2"/>
      <c r="I154" s="2"/>
      <c r="J154" s="2"/>
      <c r="K154" s="2"/>
      <c r="L154" s="2"/>
      <c r="M154" s="2"/>
      <c r="N154" s="2"/>
      <c r="O154" s="2"/>
      <c r="P154" s="2"/>
      <c r="Q154" s="2"/>
      <c r="R154" s="2"/>
      <c r="S154" s="2"/>
      <c r="T154" s="2"/>
      <c r="U154" s="2"/>
      <c r="V154" s="2"/>
      <c r="W154" s="157"/>
      <c r="X154" s="157"/>
      <c r="Y154" s="157"/>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customHeight="1">
      <c r="A155" s="2"/>
      <c r="B155" s="2"/>
      <c r="C155" s="2"/>
      <c r="D155" s="2"/>
      <c r="E155" s="2"/>
      <c r="F155" s="2"/>
      <c r="G155" s="2"/>
      <c r="H155" s="2"/>
      <c r="I155" s="2"/>
      <c r="J155" s="2"/>
      <c r="K155" s="2"/>
      <c r="L155" s="2"/>
      <c r="M155" s="2"/>
      <c r="N155" s="2"/>
      <c r="O155" s="2"/>
      <c r="P155" s="2"/>
      <c r="Q155" s="2"/>
      <c r="R155" s="2"/>
      <c r="S155" s="2"/>
      <c r="T155" s="2"/>
      <c r="U155" s="2"/>
      <c r="V155" s="2"/>
      <c r="W155" s="157"/>
      <c r="X155" s="157"/>
      <c r="Y155" s="157"/>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customHeight="1">
      <c r="A156" s="2"/>
      <c r="B156" s="2"/>
      <c r="C156" s="2"/>
      <c r="D156" s="2"/>
      <c r="E156" s="2"/>
      <c r="F156" s="2"/>
      <c r="G156" s="2"/>
      <c r="H156" s="2"/>
      <c r="I156" s="2"/>
      <c r="J156" s="2"/>
      <c r="K156" s="2"/>
      <c r="L156" s="2"/>
      <c r="M156" s="2"/>
      <c r="N156" s="2"/>
      <c r="O156" s="2"/>
      <c r="P156" s="2"/>
      <c r="Q156" s="2"/>
      <c r="R156" s="2"/>
      <c r="S156" s="2"/>
      <c r="T156" s="2"/>
      <c r="U156" s="2"/>
      <c r="V156" s="2"/>
      <c r="W156" s="157"/>
      <c r="X156" s="157"/>
      <c r="Y156" s="157"/>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customHeight="1">
      <c r="A157" s="2"/>
      <c r="B157" s="2"/>
      <c r="C157" s="2"/>
      <c r="D157" s="2"/>
      <c r="E157" s="2"/>
      <c r="F157" s="2"/>
      <c r="G157" s="2"/>
      <c r="H157" s="2"/>
      <c r="I157" s="2"/>
      <c r="J157" s="2"/>
      <c r="K157" s="2"/>
      <c r="L157" s="2"/>
      <c r="M157" s="2"/>
      <c r="N157" s="2"/>
      <c r="O157" s="2"/>
      <c r="P157" s="2"/>
      <c r="Q157" s="2"/>
      <c r="R157" s="2"/>
      <c r="S157" s="2"/>
      <c r="T157" s="2"/>
      <c r="U157" s="2"/>
      <c r="V157" s="2"/>
      <c r="W157" s="157"/>
      <c r="X157" s="157"/>
      <c r="Y157" s="157"/>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customHeight="1">
      <c r="A158" s="2"/>
      <c r="B158" s="2"/>
      <c r="C158" s="2"/>
      <c r="D158" s="2"/>
      <c r="E158" s="2"/>
      <c r="F158" s="2"/>
      <c r="G158" s="2"/>
      <c r="H158" s="2"/>
      <c r="I158" s="2"/>
      <c r="J158" s="2"/>
      <c r="K158" s="2"/>
      <c r="L158" s="2"/>
      <c r="M158" s="2"/>
      <c r="N158" s="2"/>
      <c r="O158" s="2"/>
      <c r="P158" s="2"/>
      <c r="Q158" s="2"/>
      <c r="R158" s="2"/>
      <c r="S158" s="2"/>
      <c r="T158" s="2"/>
      <c r="U158" s="2"/>
      <c r="V158" s="2"/>
      <c r="W158" s="157"/>
      <c r="X158" s="157"/>
      <c r="Y158" s="157"/>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customHeight="1">
      <c r="A159" s="2"/>
      <c r="B159" s="2"/>
      <c r="C159" s="2"/>
      <c r="D159" s="2"/>
      <c r="E159" s="2"/>
      <c r="F159" s="2"/>
      <c r="G159" s="2"/>
      <c r="H159" s="2"/>
      <c r="I159" s="2"/>
      <c r="J159" s="2"/>
      <c r="K159" s="2"/>
      <c r="L159" s="2"/>
      <c r="M159" s="2"/>
      <c r="N159" s="2"/>
      <c r="O159" s="2"/>
      <c r="P159" s="2"/>
      <c r="Q159" s="2"/>
      <c r="R159" s="2"/>
      <c r="S159" s="2"/>
      <c r="T159" s="2"/>
      <c r="U159" s="2"/>
      <c r="V159" s="2"/>
      <c r="W159" s="157"/>
      <c r="X159" s="157"/>
      <c r="Y159" s="157"/>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customHeight="1">
      <c r="A160" s="2"/>
      <c r="B160" s="2"/>
      <c r="C160" s="2"/>
      <c r="D160" s="2"/>
      <c r="E160" s="2"/>
      <c r="F160" s="2"/>
      <c r="G160" s="2"/>
      <c r="H160" s="2"/>
      <c r="I160" s="2"/>
      <c r="J160" s="2"/>
      <c r="K160" s="2"/>
      <c r="L160" s="2"/>
      <c r="M160" s="2"/>
      <c r="N160" s="2"/>
      <c r="O160" s="2"/>
      <c r="P160" s="2"/>
      <c r="Q160" s="2"/>
      <c r="R160" s="2"/>
      <c r="S160" s="2"/>
      <c r="T160" s="2"/>
      <c r="U160" s="2"/>
      <c r="V160" s="2"/>
      <c r="W160" s="157"/>
      <c r="X160" s="157"/>
      <c r="Y160" s="157"/>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customHeight="1">
      <c r="A161" s="2"/>
      <c r="B161" s="2"/>
      <c r="C161" s="2"/>
      <c r="D161" s="2"/>
      <c r="E161" s="2"/>
      <c r="F161" s="2"/>
      <c r="G161" s="2"/>
      <c r="H161" s="2"/>
      <c r="I161" s="2"/>
      <c r="J161" s="2"/>
      <c r="K161" s="2"/>
      <c r="L161" s="2"/>
      <c r="M161" s="2"/>
      <c r="N161" s="2"/>
      <c r="O161" s="2"/>
      <c r="P161" s="2"/>
      <c r="Q161" s="2"/>
      <c r="R161" s="2"/>
      <c r="S161" s="2"/>
      <c r="T161" s="2"/>
      <c r="U161" s="2"/>
      <c r="V161" s="2"/>
      <c r="W161" s="157"/>
      <c r="X161" s="157"/>
      <c r="Y161" s="157"/>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customHeight="1">
      <c r="A162" s="2"/>
      <c r="B162" s="2"/>
      <c r="C162" s="2"/>
      <c r="D162" s="2"/>
      <c r="E162" s="2"/>
      <c r="F162" s="2"/>
      <c r="G162" s="2"/>
      <c r="H162" s="2"/>
      <c r="I162" s="2"/>
      <c r="J162" s="2"/>
      <c r="K162" s="2"/>
      <c r="L162" s="2"/>
      <c r="M162" s="2"/>
      <c r="N162" s="2"/>
      <c r="O162" s="2"/>
      <c r="P162" s="2"/>
      <c r="Q162" s="2"/>
      <c r="R162" s="2"/>
      <c r="S162" s="2"/>
      <c r="T162" s="2"/>
      <c r="U162" s="2"/>
      <c r="V162" s="2"/>
      <c r="W162" s="157"/>
      <c r="X162" s="157"/>
      <c r="Y162" s="157"/>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customHeight="1">
      <c r="A163" s="2"/>
      <c r="B163" s="2"/>
      <c r="C163" s="2"/>
      <c r="D163" s="2"/>
      <c r="E163" s="2"/>
      <c r="F163" s="2"/>
      <c r="G163" s="2"/>
      <c r="H163" s="2"/>
      <c r="I163" s="2"/>
      <c r="J163" s="2"/>
      <c r="K163" s="2"/>
      <c r="L163" s="2"/>
      <c r="M163" s="2"/>
      <c r="N163" s="2"/>
      <c r="O163" s="2"/>
      <c r="P163" s="2"/>
      <c r="Q163" s="2"/>
      <c r="R163" s="2"/>
      <c r="S163" s="2"/>
      <c r="T163" s="2"/>
      <c r="U163" s="2"/>
      <c r="V163" s="2"/>
      <c r="W163" s="157"/>
      <c r="X163" s="157"/>
      <c r="Y163" s="157"/>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customHeight="1">
      <c r="A164" s="2"/>
      <c r="B164" s="2"/>
      <c r="C164" s="2"/>
      <c r="D164" s="2"/>
      <c r="E164" s="2"/>
      <c r="F164" s="2"/>
      <c r="G164" s="2"/>
      <c r="H164" s="2"/>
      <c r="I164" s="2"/>
      <c r="J164" s="2"/>
      <c r="K164" s="2"/>
      <c r="L164" s="2"/>
      <c r="M164" s="2"/>
      <c r="N164" s="2"/>
      <c r="O164" s="2"/>
      <c r="P164" s="2"/>
      <c r="Q164" s="2"/>
      <c r="R164" s="2"/>
      <c r="S164" s="2"/>
      <c r="T164" s="2"/>
      <c r="U164" s="2"/>
      <c r="V164" s="2"/>
      <c r="W164" s="157"/>
      <c r="X164" s="157"/>
      <c r="Y164" s="157"/>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customHeight="1">
      <c r="A165" s="2"/>
      <c r="B165" s="2"/>
      <c r="C165" s="2"/>
      <c r="D165" s="2"/>
      <c r="E165" s="2"/>
      <c r="F165" s="2"/>
      <c r="G165" s="2"/>
      <c r="H165" s="2"/>
      <c r="I165" s="2"/>
      <c r="J165" s="2"/>
      <c r="K165" s="2"/>
      <c r="L165" s="2"/>
      <c r="M165" s="2"/>
      <c r="N165" s="2"/>
      <c r="O165" s="2"/>
      <c r="P165" s="2"/>
      <c r="Q165" s="2"/>
      <c r="R165" s="2"/>
      <c r="S165" s="2"/>
      <c r="T165" s="2"/>
      <c r="U165" s="2"/>
      <c r="V165" s="2"/>
      <c r="W165" s="157"/>
      <c r="X165" s="157"/>
      <c r="Y165" s="157"/>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customHeight="1">
      <c r="A166" s="2"/>
      <c r="B166" s="2"/>
      <c r="C166" s="2"/>
      <c r="D166" s="2"/>
      <c r="E166" s="2"/>
      <c r="F166" s="2"/>
      <c r="G166" s="2"/>
      <c r="H166" s="2"/>
      <c r="I166" s="2"/>
      <c r="J166" s="2"/>
      <c r="K166" s="2"/>
      <c r="L166" s="2"/>
      <c r="M166" s="2"/>
      <c r="N166" s="2"/>
      <c r="O166" s="2"/>
      <c r="P166" s="2"/>
      <c r="Q166" s="2"/>
      <c r="R166" s="2"/>
      <c r="S166" s="2"/>
      <c r="T166" s="2"/>
      <c r="U166" s="2"/>
      <c r="V166" s="2"/>
      <c r="W166" s="157"/>
      <c r="X166" s="157"/>
      <c r="Y166" s="157"/>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customHeight="1">
      <c r="A167" s="2"/>
      <c r="B167" s="2"/>
      <c r="C167" s="2"/>
      <c r="D167" s="2"/>
      <c r="E167" s="2"/>
      <c r="F167" s="2"/>
      <c r="G167" s="2"/>
      <c r="H167" s="2"/>
      <c r="I167" s="2"/>
      <c r="J167" s="2"/>
      <c r="K167" s="2"/>
      <c r="L167" s="2"/>
      <c r="M167" s="2"/>
      <c r="N167" s="2"/>
      <c r="O167" s="2"/>
      <c r="P167" s="2"/>
      <c r="Q167" s="2"/>
      <c r="R167" s="2"/>
      <c r="S167" s="2"/>
      <c r="T167" s="2"/>
      <c r="U167" s="2"/>
      <c r="V167" s="2"/>
      <c r="W167" s="157"/>
      <c r="X167" s="157"/>
      <c r="Y167" s="157"/>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customHeight="1">
      <c r="A168" s="2"/>
      <c r="B168" s="2"/>
      <c r="C168" s="2"/>
      <c r="D168" s="2"/>
      <c r="E168" s="2"/>
      <c r="F168" s="2"/>
      <c r="G168" s="2"/>
      <c r="H168" s="2"/>
      <c r="I168" s="2"/>
      <c r="J168" s="2"/>
      <c r="K168" s="2"/>
      <c r="L168" s="2"/>
      <c r="M168" s="2"/>
      <c r="N168" s="2"/>
      <c r="O168" s="2"/>
      <c r="P168" s="2"/>
      <c r="Q168" s="2"/>
      <c r="R168" s="2"/>
      <c r="S168" s="2"/>
      <c r="T168" s="2"/>
      <c r="U168" s="2"/>
      <c r="V168" s="2"/>
      <c r="W168" s="157"/>
      <c r="X168" s="157"/>
      <c r="Y168" s="157"/>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customHeight="1">
      <c r="A169" s="2"/>
      <c r="B169" s="2"/>
      <c r="C169" s="2"/>
      <c r="D169" s="2"/>
      <c r="E169" s="2"/>
      <c r="F169" s="2"/>
      <c r="G169" s="2"/>
      <c r="H169" s="2"/>
      <c r="I169" s="2"/>
      <c r="J169" s="2"/>
      <c r="K169" s="2"/>
      <c r="L169" s="2"/>
      <c r="M169" s="2"/>
      <c r="N169" s="2"/>
      <c r="O169" s="2"/>
      <c r="P169" s="2"/>
      <c r="Q169" s="2"/>
      <c r="R169" s="2"/>
      <c r="S169" s="2"/>
      <c r="T169" s="2"/>
      <c r="U169" s="2"/>
      <c r="V169" s="2"/>
      <c r="W169" s="157"/>
      <c r="X169" s="157"/>
      <c r="Y169" s="157"/>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customHeight="1">
      <c r="A170" s="2"/>
      <c r="B170" s="2"/>
      <c r="C170" s="2"/>
      <c r="D170" s="2"/>
      <c r="E170" s="2"/>
      <c r="F170" s="2"/>
      <c r="G170" s="2"/>
      <c r="H170" s="2"/>
      <c r="I170" s="2"/>
      <c r="J170" s="2"/>
      <c r="K170" s="2"/>
      <c r="L170" s="2"/>
      <c r="M170" s="2"/>
      <c r="N170" s="2"/>
      <c r="O170" s="2"/>
      <c r="P170" s="2"/>
      <c r="Q170" s="2"/>
      <c r="R170" s="2"/>
      <c r="S170" s="2"/>
      <c r="T170" s="2"/>
      <c r="U170" s="2"/>
      <c r="V170" s="2"/>
      <c r="W170" s="157"/>
      <c r="X170" s="157"/>
      <c r="Y170" s="157"/>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customHeight="1">
      <c r="A171" s="2"/>
      <c r="B171" s="2"/>
      <c r="C171" s="2"/>
      <c r="D171" s="2"/>
      <c r="E171" s="2"/>
      <c r="F171" s="2"/>
      <c r="G171" s="2"/>
      <c r="H171" s="2"/>
      <c r="I171" s="2"/>
      <c r="J171" s="2"/>
      <c r="K171" s="2"/>
      <c r="L171" s="2"/>
      <c r="M171" s="2"/>
      <c r="N171" s="2"/>
      <c r="O171" s="2"/>
      <c r="P171" s="2"/>
      <c r="Q171" s="2"/>
      <c r="R171" s="2"/>
      <c r="S171" s="2"/>
      <c r="T171" s="2"/>
      <c r="U171" s="2"/>
      <c r="V171" s="2"/>
      <c r="W171" s="157"/>
      <c r="X171" s="157"/>
      <c r="Y171" s="157"/>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customHeight="1">
      <c r="A172" s="2"/>
      <c r="B172" s="2"/>
      <c r="C172" s="2"/>
      <c r="D172" s="2"/>
      <c r="E172" s="2"/>
      <c r="F172" s="2"/>
      <c r="G172" s="2"/>
      <c r="H172" s="2"/>
      <c r="I172" s="2"/>
      <c r="J172" s="2"/>
      <c r="K172" s="2"/>
      <c r="L172" s="2"/>
      <c r="M172" s="2"/>
      <c r="N172" s="2"/>
      <c r="O172" s="2"/>
      <c r="P172" s="2"/>
      <c r="Q172" s="2"/>
      <c r="R172" s="2"/>
      <c r="S172" s="2"/>
      <c r="T172" s="2"/>
      <c r="U172" s="2"/>
      <c r="V172" s="2"/>
      <c r="W172" s="157"/>
      <c r="X172" s="157"/>
      <c r="Y172" s="157"/>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customHeight="1">
      <c r="A173" s="2"/>
      <c r="B173" s="2"/>
      <c r="C173" s="2"/>
      <c r="D173" s="2"/>
      <c r="E173" s="2"/>
      <c r="F173" s="2"/>
      <c r="G173" s="2"/>
      <c r="H173" s="2"/>
      <c r="I173" s="2"/>
      <c r="J173" s="2"/>
      <c r="K173" s="2"/>
      <c r="L173" s="2"/>
      <c r="M173" s="2"/>
      <c r="N173" s="2"/>
      <c r="O173" s="2"/>
      <c r="P173" s="2"/>
      <c r="Q173" s="2"/>
      <c r="R173" s="2"/>
      <c r="S173" s="2"/>
      <c r="T173" s="2"/>
      <c r="U173" s="2"/>
      <c r="V173" s="2"/>
      <c r="W173" s="157"/>
      <c r="X173" s="157"/>
      <c r="Y173" s="157"/>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customHeight="1">
      <c r="A174" s="2"/>
      <c r="B174" s="2"/>
      <c r="C174" s="2"/>
      <c r="D174" s="2"/>
      <c r="E174" s="2"/>
      <c r="F174" s="2"/>
      <c r="G174" s="2"/>
      <c r="H174" s="2"/>
      <c r="I174" s="2"/>
      <c r="J174" s="2"/>
      <c r="K174" s="2"/>
      <c r="L174" s="2"/>
      <c r="M174" s="2"/>
      <c r="N174" s="2"/>
      <c r="O174" s="2"/>
      <c r="P174" s="2"/>
      <c r="Q174" s="2"/>
      <c r="R174" s="2"/>
      <c r="S174" s="2"/>
      <c r="T174" s="2"/>
      <c r="U174" s="2"/>
      <c r="V174" s="2"/>
      <c r="W174" s="157"/>
      <c r="X174" s="157"/>
      <c r="Y174" s="157"/>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customHeight="1">
      <c r="A175" s="2"/>
      <c r="B175" s="2"/>
      <c r="C175" s="2"/>
      <c r="D175" s="2"/>
      <c r="E175" s="2"/>
      <c r="F175" s="2"/>
      <c r="G175" s="2"/>
      <c r="H175" s="2"/>
      <c r="I175" s="2"/>
      <c r="J175" s="2"/>
      <c r="K175" s="2"/>
      <c r="L175" s="2"/>
      <c r="M175" s="2"/>
      <c r="N175" s="2"/>
      <c r="O175" s="2"/>
      <c r="P175" s="2"/>
      <c r="Q175" s="2"/>
      <c r="R175" s="2"/>
      <c r="S175" s="2"/>
      <c r="T175" s="2"/>
      <c r="U175" s="2"/>
      <c r="V175" s="2"/>
      <c r="W175" s="157"/>
      <c r="X175" s="157"/>
      <c r="Y175" s="157"/>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customHeight="1">
      <c r="A176" s="2"/>
      <c r="B176" s="2"/>
      <c r="C176" s="2"/>
      <c r="D176" s="2"/>
      <c r="E176" s="2"/>
      <c r="F176" s="2"/>
      <c r="G176" s="2"/>
      <c r="H176" s="2"/>
      <c r="I176" s="2"/>
      <c r="J176" s="2"/>
      <c r="K176" s="2"/>
      <c r="L176" s="2"/>
      <c r="M176" s="2"/>
      <c r="N176" s="2"/>
      <c r="O176" s="2"/>
      <c r="P176" s="2"/>
      <c r="Q176" s="2"/>
      <c r="R176" s="2"/>
      <c r="S176" s="2"/>
      <c r="T176" s="2"/>
      <c r="U176" s="2"/>
      <c r="V176" s="2"/>
      <c r="W176" s="157"/>
      <c r="X176" s="157"/>
      <c r="Y176" s="157"/>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customHeight="1">
      <c r="A177" s="2"/>
      <c r="B177" s="2"/>
      <c r="C177" s="2"/>
      <c r="D177" s="2"/>
      <c r="E177" s="2"/>
      <c r="F177" s="2"/>
      <c r="G177" s="2"/>
      <c r="H177" s="2"/>
      <c r="I177" s="2"/>
      <c r="J177" s="2"/>
      <c r="K177" s="2"/>
      <c r="L177" s="2"/>
      <c r="M177" s="2"/>
      <c r="N177" s="2"/>
      <c r="O177" s="2"/>
      <c r="P177" s="2"/>
      <c r="Q177" s="2"/>
      <c r="R177" s="2"/>
      <c r="S177" s="2"/>
      <c r="T177" s="2"/>
      <c r="U177" s="2"/>
      <c r="V177" s="2"/>
      <c r="W177" s="157"/>
      <c r="X177" s="157"/>
      <c r="Y177" s="157"/>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customHeight="1">
      <c r="A178" s="2"/>
      <c r="B178" s="2"/>
      <c r="C178" s="2"/>
      <c r="D178" s="2"/>
      <c r="E178" s="2"/>
      <c r="F178" s="2"/>
      <c r="G178" s="2"/>
      <c r="H178" s="2"/>
      <c r="I178" s="2"/>
      <c r="J178" s="2"/>
      <c r="K178" s="2"/>
      <c r="L178" s="2"/>
      <c r="M178" s="2"/>
      <c r="N178" s="2"/>
      <c r="O178" s="2"/>
      <c r="P178" s="2"/>
      <c r="Q178" s="2"/>
      <c r="R178" s="2"/>
      <c r="S178" s="2"/>
      <c r="T178" s="2"/>
      <c r="U178" s="2"/>
      <c r="V178" s="2"/>
      <c r="W178" s="157"/>
      <c r="X178" s="157"/>
      <c r="Y178" s="157"/>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customHeight="1">
      <c r="A179" s="2"/>
      <c r="B179" s="2"/>
      <c r="C179" s="2"/>
      <c r="D179" s="2"/>
      <c r="E179" s="2"/>
      <c r="F179" s="2"/>
      <c r="G179" s="2"/>
      <c r="H179" s="2"/>
      <c r="I179" s="2"/>
      <c r="J179" s="2"/>
      <c r="K179" s="2"/>
      <c r="L179" s="2"/>
      <c r="M179" s="2"/>
      <c r="N179" s="2"/>
      <c r="O179" s="2"/>
      <c r="P179" s="2"/>
      <c r="Q179" s="2"/>
      <c r="R179" s="2"/>
      <c r="S179" s="2"/>
      <c r="T179" s="2"/>
      <c r="U179" s="2"/>
      <c r="V179" s="2"/>
      <c r="W179" s="157"/>
      <c r="X179" s="157"/>
      <c r="Y179" s="157"/>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customHeight="1">
      <c r="A180" s="2"/>
      <c r="B180" s="2"/>
      <c r="C180" s="2"/>
      <c r="D180" s="2"/>
      <c r="E180" s="2"/>
      <c r="F180" s="2"/>
      <c r="G180" s="2"/>
      <c r="H180" s="2"/>
      <c r="I180" s="2"/>
      <c r="J180" s="2"/>
      <c r="K180" s="2"/>
      <c r="L180" s="2"/>
      <c r="M180" s="2"/>
      <c r="N180" s="2"/>
      <c r="O180" s="2"/>
      <c r="P180" s="2"/>
      <c r="Q180" s="2"/>
      <c r="R180" s="2"/>
      <c r="S180" s="2"/>
      <c r="T180" s="2"/>
      <c r="U180" s="2"/>
      <c r="V180" s="2"/>
      <c r="W180" s="157"/>
      <c r="X180" s="157"/>
      <c r="Y180" s="157"/>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customHeight="1">
      <c r="A181" s="2"/>
      <c r="B181" s="2"/>
      <c r="C181" s="2"/>
      <c r="D181" s="2"/>
      <c r="E181" s="2"/>
      <c r="F181" s="2"/>
      <c r="G181" s="2"/>
      <c r="H181" s="2"/>
      <c r="I181" s="2"/>
      <c r="J181" s="2"/>
      <c r="K181" s="2"/>
      <c r="L181" s="2"/>
      <c r="M181" s="2"/>
      <c r="N181" s="2"/>
      <c r="O181" s="2"/>
      <c r="P181" s="2"/>
      <c r="Q181" s="2"/>
      <c r="R181" s="2"/>
      <c r="S181" s="2"/>
      <c r="T181" s="2"/>
      <c r="U181" s="2"/>
      <c r="V181" s="2"/>
      <c r="W181" s="157"/>
      <c r="X181" s="157"/>
      <c r="Y181" s="157"/>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customHeight="1">
      <c r="A182" s="2"/>
      <c r="B182" s="2"/>
      <c r="C182" s="2"/>
      <c r="D182" s="2"/>
      <c r="E182" s="2"/>
      <c r="F182" s="2"/>
      <c r="G182" s="2"/>
      <c r="H182" s="2"/>
      <c r="I182" s="2"/>
      <c r="J182" s="2"/>
      <c r="K182" s="2"/>
      <c r="L182" s="2"/>
      <c r="M182" s="2"/>
      <c r="N182" s="2"/>
      <c r="O182" s="2"/>
      <c r="P182" s="2"/>
      <c r="Q182" s="2"/>
      <c r="R182" s="2"/>
      <c r="S182" s="2"/>
      <c r="T182" s="2"/>
      <c r="U182" s="2"/>
      <c r="V182" s="2"/>
      <c r="W182" s="157"/>
      <c r="X182" s="157"/>
      <c r="Y182" s="157"/>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customHeight="1">
      <c r="A183" s="2"/>
      <c r="B183" s="2"/>
      <c r="C183" s="2"/>
      <c r="D183" s="2"/>
      <c r="E183" s="2"/>
      <c r="F183" s="2"/>
      <c r="G183" s="2"/>
      <c r="H183" s="2"/>
      <c r="I183" s="2"/>
      <c r="J183" s="2"/>
      <c r="K183" s="2"/>
      <c r="L183" s="2"/>
      <c r="M183" s="2"/>
      <c r="N183" s="2"/>
      <c r="O183" s="2"/>
      <c r="P183" s="2"/>
      <c r="Q183" s="2"/>
      <c r="R183" s="2"/>
      <c r="S183" s="2"/>
      <c r="T183" s="2"/>
      <c r="U183" s="2"/>
      <c r="V183" s="2"/>
      <c r="W183" s="157"/>
      <c r="X183" s="157"/>
      <c r="Y183" s="157"/>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customHeight="1">
      <c r="A184" s="2"/>
      <c r="B184" s="2"/>
      <c r="C184" s="2"/>
      <c r="D184" s="2"/>
      <c r="E184" s="2"/>
      <c r="F184" s="2"/>
      <c r="G184" s="2"/>
      <c r="H184" s="2"/>
      <c r="I184" s="2"/>
      <c r="J184" s="2"/>
      <c r="K184" s="2"/>
      <c r="L184" s="2"/>
      <c r="M184" s="2"/>
      <c r="N184" s="2"/>
      <c r="O184" s="2"/>
      <c r="P184" s="2"/>
      <c r="Q184" s="2"/>
      <c r="R184" s="2"/>
      <c r="S184" s="2"/>
      <c r="T184" s="2"/>
      <c r="U184" s="2"/>
      <c r="V184" s="2"/>
      <c r="W184" s="157"/>
      <c r="X184" s="157"/>
      <c r="Y184" s="157"/>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customHeight="1">
      <c r="A185" s="2"/>
      <c r="B185" s="2"/>
      <c r="C185" s="2"/>
      <c r="D185" s="2"/>
      <c r="E185" s="2"/>
      <c r="F185" s="2"/>
      <c r="G185" s="2"/>
      <c r="H185" s="2"/>
      <c r="I185" s="2"/>
      <c r="J185" s="2"/>
      <c r="K185" s="2"/>
      <c r="L185" s="2"/>
      <c r="M185" s="2"/>
      <c r="N185" s="2"/>
      <c r="O185" s="2"/>
      <c r="P185" s="2"/>
      <c r="Q185" s="2"/>
      <c r="R185" s="2"/>
      <c r="S185" s="2"/>
      <c r="T185" s="2"/>
      <c r="U185" s="2"/>
      <c r="V185" s="2"/>
      <c r="W185" s="157"/>
      <c r="X185" s="157"/>
      <c r="Y185" s="157"/>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customHeight="1">
      <c r="A186" s="2"/>
      <c r="B186" s="2"/>
      <c r="C186" s="2"/>
      <c r="D186" s="2"/>
      <c r="E186" s="2"/>
      <c r="F186" s="2"/>
      <c r="G186" s="2"/>
      <c r="H186" s="2"/>
      <c r="I186" s="2"/>
      <c r="J186" s="2"/>
      <c r="K186" s="2"/>
      <c r="L186" s="2"/>
      <c r="M186" s="2"/>
      <c r="N186" s="2"/>
      <c r="O186" s="2"/>
      <c r="P186" s="2"/>
      <c r="Q186" s="2"/>
      <c r="R186" s="2"/>
      <c r="S186" s="2"/>
      <c r="T186" s="2"/>
      <c r="U186" s="2"/>
      <c r="V186" s="2"/>
      <c r="W186" s="157"/>
      <c r="X186" s="157"/>
      <c r="Y186" s="157"/>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customHeight="1">
      <c r="A187" s="2"/>
      <c r="B187" s="2"/>
      <c r="C187" s="2"/>
      <c r="D187" s="2"/>
      <c r="E187" s="2"/>
      <c r="F187" s="2"/>
      <c r="G187" s="2"/>
      <c r="H187" s="2"/>
      <c r="I187" s="2"/>
      <c r="J187" s="2"/>
      <c r="K187" s="2"/>
      <c r="L187" s="2"/>
      <c r="M187" s="2"/>
      <c r="N187" s="2"/>
      <c r="O187" s="2"/>
      <c r="P187" s="2"/>
      <c r="Q187" s="2"/>
      <c r="R187" s="2"/>
      <c r="S187" s="2"/>
      <c r="T187" s="2"/>
      <c r="U187" s="2"/>
      <c r="V187" s="2"/>
      <c r="W187" s="157"/>
      <c r="X187" s="157"/>
      <c r="Y187" s="157"/>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customHeight="1">
      <c r="A188" s="2"/>
      <c r="B188" s="2"/>
      <c r="C188" s="2"/>
      <c r="D188" s="2"/>
      <c r="E188" s="2"/>
      <c r="F188" s="2"/>
      <c r="G188" s="2"/>
      <c r="H188" s="2"/>
      <c r="I188" s="2"/>
      <c r="J188" s="2"/>
      <c r="K188" s="2"/>
      <c r="L188" s="2"/>
      <c r="M188" s="2"/>
      <c r="N188" s="2"/>
      <c r="O188" s="2"/>
      <c r="P188" s="2"/>
      <c r="Q188" s="2"/>
      <c r="R188" s="2"/>
      <c r="S188" s="2"/>
      <c r="T188" s="2"/>
      <c r="U188" s="2"/>
      <c r="V188" s="2"/>
      <c r="W188" s="157"/>
      <c r="X188" s="157"/>
      <c r="Y188" s="157"/>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customHeight="1">
      <c r="A189" s="2"/>
      <c r="B189" s="2"/>
      <c r="C189" s="2"/>
      <c r="D189" s="2"/>
      <c r="E189" s="2"/>
      <c r="F189" s="2"/>
      <c r="G189" s="2"/>
      <c r="H189" s="2"/>
      <c r="I189" s="2"/>
      <c r="J189" s="2"/>
      <c r="K189" s="2"/>
      <c r="L189" s="2"/>
      <c r="M189" s="2"/>
      <c r="N189" s="2"/>
      <c r="O189" s="2"/>
      <c r="P189" s="2"/>
      <c r="Q189" s="2"/>
      <c r="R189" s="2"/>
      <c r="S189" s="2"/>
      <c r="T189" s="2"/>
      <c r="U189" s="2"/>
      <c r="V189" s="2"/>
      <c r="W189" s="157"/>
      <c r="X189" s="157"/>
      <c r="Y189" s="157"/>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customHeight="1">
      <c r="A190" s="2"/>
      <c r="B190" s="2"/>
      <c r="C190" s="2"/>
      <c r="D190" s="2"/>
      <c r="E190" s="2"/>
      <c r="F190" s="2"/>
      <c r="G190" s="2"/>
      <c r="H190" s="2"/>
      <c r="I190" s="2"/>
      <c r="J190" s="2"/>
      <c r="K190" s="2"/>
      <c r="L190" s="2"/>
      <c r="M190" s="2"/>
      <c r="N190" s="2"/>
      <c r="O190" s="2"/>
      <c r="P190" s="2"/>
      <c r="Q190" s="2"/>
      <c r="R190" s="2"/>
      <c r="S190" s="2"/>
      <c r="T190" s="2"/>
      <c r="U190" s="2"/>
      <c r="V190" s="2"/>
      <c r="W190" s="157"/>
      <c r="X190" s="157"/>
      <c r="Y190" s="157"/>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customHeight="1">
      <c r="A191" s="2"/>
      <c r="B191" s="2"/>
      <c r="C191" s="2"/>
      <c r="D191" s="2"/>
      <c r="E191" s="2"/>
      <c r="F191" s="2"/>
      <c r="G191" s="2"/>
      <c r="H191" s="2"/>
      <c r="I191" s="2"/>
      <c r="J191" s="2"/>
      <c r="K191" s="2"/>
      <c r="L191" s="2"/>
      <c r="M191" s="2"/>
      <c r="N191" s="2"/>
      <c r="O191" s="2"/>
      <c r="P191" s="2"/>
      <c r="Q191" s="2"/>
      <c r="R191" s="2"/>
      <c r="S191" s="2"/>
      <c r="T191" s="2"/>
      <c r="U191" s="2"/>
      <c r="V191" s="2"/>
      <c r="W191" s="157"/>
      <c r="X191" s="157"/>
      <c r="Y191" s="157"/>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customHeight="1">
      <c r="A192" s="2"/>
      <c r="B192" s="2"/>
      <c r="C192" s="2"/>
      <c r="D192" s="2"/>
      <c r="E192" s="2"/>
      <c r="F192" s="2"/>
      <c r="G192" s="2"/>
      <c r="H192" s="2"/>
      <c r="I192" s="2"/>
      <c r="J192" s="2"/>
      <c r="K192" s="2"/>
      <c r="L192" s="2"/>
      <c r="M192" s="2"/>
      <c r="N192" s="2"/>
      <c r="O192" s="2"/>
      <c r="P192" s="2"/>
      <c r="Q192" s="2"/>
      <c r="R192" s="2"/>
      <c r="S192" s="2"/>
      <c r="T192" s="2"/>
      <c r="U192" s="2"/>
      <c r="V192" s="2"/>
      <c r="W192" s="157"/>
      <c r="X192" s="157"/>
      <c r="Y192" s="157"/>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customHeight="1">
      <c r="A193" s="2"/>
      <c r="B193" s="2"/>
      <c r="C193" s="2"/>
      <c r="D193" s="2"/>
      <c r="E193" s="2"/>
      <c r="F193" s="2"/>
      <c r="G193" s="2"/>
      <c r="H193" s="2"/>
      <c r="I193" s="2"/>
      <c r="J193" s="2"/>
      <c r="K193" s="2"/>
      <c r="L193" s="2"/>
      <c r="M193" s="2"/>
      <c r="N193" s="2"/>
      <c r="O193" s="2"/>
      <c r="P193" s="2"/>
      <c r="Q193" s="2"/>
      <c r="R193" s="2"/>
      <c r="S193" s="2"/>
      <c r="T193" s="2"/>
      <c r="U193" s="2"/>
      <c r="V193" s="2"/>
      <c r="W193" s="157"/>
      <c r="X193" s="157"/>
      <c r="Y193" s="157"/>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customHeight="1">
      <c r="A194" s="2"/>
      <c r="B194" s="2"/>
      <c r="C194" s="2"/>
      <c r="D194" s="2"/>
      <c r="E194" s="2"/>
      <c r="F194" s="2"/>
      <c r="G194" s="2"/>
      <c r="H194" s="2"/>
      <c r="I194" s="2"/>
      <c r="J194" s="2"/>
      <c r="K194" s="2"/>
      <c r="L194" s="2"/>
      <c r="M194" s="2"/>
      <c r="N194" s="2"/>
      <c r="O194" s="2"/>
      <c r="P194" s="2"/>
      <c r="Q194" s="2"/>
      <c r="R194" s="2"/>
      <c r="S194" s="2"/>
      <c r="T194" s="2"/>
      <c r="U194" s="2"/>
      <c r="V194" s="2"/>
      <c r="W194" s="157"/>
      <c r="X194" s="157"/>
      <c r="Y194" s="157"/>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customHeight="1">
      <c r="A195" s="2"/>
      <c r="B195" s="2"/>
      <c r="C195" s="2"/>
      <c r="D195" s="2"/>
      <c r="E195" s="2"/>
      <c r="F195" s="2"/>
      <c r="G195" s="2"/>
      <c r="H195" s="2"/>
      <c r="I195" s="2"/>
      <c r="J195" s="2"/>
      <c r="K195" s="2"/>
      <c r="L195" s="2"/>
      <c r="M195" s="2"/>
      <c r="N195" s="2"/>
      <c r="O195" s="2"/>
      <c r="P195" s="2"/>
      <c r="Q195" s="2"/>
      <c r="R195" s="2"/>
      <c r="S195" s="2"/>
      <c r="T195" s="2"/>
      <c r="U195" s="2"/>
      <c r="V195" s="2"/>
      <c r="W195" s="157"/>
      <c r="X195" s="157"/>
      <c r="Y195" s="157"/>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customHeight="1">
      <c r="A196" s="2"/>
      <c r="B196" s="2"/>
      <c r="C196" s="2"/>
      <c r="D196" s="2"/>
      <c r="E196" s="2"/>
      <c r="F196" s="2"/>
      <c r="G196" s="2"/>
      <c r="H196" s="2"/>
      <c r="I196" s="2"/>
      <c r="J196" s="2"/>
      <c r="K196" s="2"/>
      <c r="L196" s="2"/>
      <c r="M196" s="2"/>
      <c r="N196" s="2"/>
      <c r="O196" s="2"/>
      <c r="P196" s="2"/>
      <c r="Q196" s="2"/>
      <c r="R196" s="2"/>
      <c r="S196" s="2"/>
      <c r="T196" s="2"/>
      <c r="U196" s="2"/>
      <c r="V196" s="2"/>
      <c r="W196" s="157"/>
      <c r="X196" s="157"/>
      <c r="Y196" s="157"/>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customHeight="1">
      <c r="A197" s="2"/>
      <c r="B197" s="2"/>
      <c r="C197" s="2"/>
      <c r="D197" s="2"/>
      <c r="E197" s="2"/>
      <c r="F197" s="2"/>
      <c r="G197" s="2"/>
      <c r="H197" s="2"/>
      <c r="I197" s="2"/>
      <c r="J197" s="2"/>
      <c r="K197" s="2"/>
      <c r="L197" s="2"/>
      <c r="M197" s="2"/>
      <c r="N197" s="2"/>
      <c r="O197" s="2"/>
      <c r="P197" s="2"/>
      <c r="Q197" s="2"/>
      <c r="R197" s="2"/>
      <c r="S197" s="2"/>
      <c r="T197" s="2"/>
      <c r="U197" s="2"/>
      <c r="V197" s="2"/>
      <c r="W197" s="157"/>
      <c r="X197" s="157"/>
      <c r="Y197" s="157"/>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customHeight="1">
      <c r="A198" s="2"/>
      <c r="B198" s="2"/>
      <c r="C198" s="2"/>
      <c r="D198" s="2"/>
      <c r="E198" s="2"/>
      <c r="F198" s="2"/>
      <c r="G198" s="2"/>
      <c r="H198" s="2"/>
      <c r="I198" s="2"/>
      <c r="J198" s="2"/>
      <c r="K198" s="2"/>
      <c r="L198" s="2"/>
      <c r="M198" s="2"/>
      <c r="N198" s="2"/>
      <c r="O198" s="2"/>
      <c r="P198" s="2"/>
      <c r="Q198" s="2"/>
      <c r="R198" s="2"/>
      <c r="S198" s="2"/>
      <c r="T198" s="2"/>
      <c r="U198" s="2"/>
      <c r="V198" s="2"/>
      <c r="W198" s="157"/>
      <c r="X198" s="157"/>
      <c r="Y198" s="157"/>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customHeight="1">
      <c r="A199" s="2"/>
      <c r="B199" s="2"/>
      <c r="C199" s="2"/>
      <c r="D199" s="2"/>
      <c r="E199" s="2"/>
      <c r="F199" s="2"/>
      <c r="G199" s="2"/>
      <c r="H199" s="2"/>
      <c r="I199" s="2"/>
      <c r="J199" s="2"/>
      <c r="K199" s="2"/>
      <c r="L199" s="2"/>
      <c r="M199" s="2"/>
      <c r="N199" s="2"/>
      <c r="O199" s="2"/>
      <c r="P199" s="2"/>
      <c r="Q199" s="2"/>
      <c r="R199" s="2"/>
      <c r="S199" s="2"/>
      <c r="T199" s="2"/>
      <c r="U199" s="2"/>
      <c r="V199" s="2"/>
      <c r="W199" s="157"/>
      <c r="X199" s="157"/>
      <c r="Y199" s="157"/>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customHeight="1">
      <c r="A200" s="2"/>
      <c r="B200" s="2"/>
      <c r="C200" s="2"/>
      <c r="D200" s="2"/>
      <c r="E200" s="2"/>
      <c r="F200" s="2"/>
      <c r="G200" s="2"/>
      <c r="H200" s="2"/>
      <c r="I200" s="2"/>
      <c r="J200" s="2"/>
      <c r="K200" s="2"/>
      <c r="L200" s="2"/>
      <c r="M200" s="2"/>
      <c r="N200" s="2"/>
      <c r="O200" s="2"/>
      <c r="P200" s="2"/>
      <c r="Q200" s="2"/>
      <c r="R200" s="2"/>
      <c r="S200" s="2"/>
      <c r="T200" s="2"/>
      <c r="U200" s="2"/>
      <c r="V200" s="2"/>
      <c r="W200" s="157"/>
      <c r="X200" s="157"/>
      <c r="Y200" s="157"/>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customHeight="1">
      <c r="A201" s="2"/>
      <c r="B201" s="2"/>
      <c r="C201" s="2"/>
      <c r="D201" s="2"/>
      <c r="E201" s="2"/>
      <c r="F201" s="2"/>
      <c r="G201" s="2"/>
      <c r="H201" s="2"/>
      <c r="I201" s="2"/>
      <c r="J201" s="2"/>
      <c r="K201" s="2"/>
      <c r="L201" s="2"/>
      <c r="M201" s="2"/>
      <c r="N201" s="2"/>
      <c r="O201" s="2"/>
      <c r="P201" s="2"/>
      <c r="Q201" s="2"/>
      <c r="R201" s="2"/>
      <c r="S201" s="2"/>
      <c r="T201" s="2"/>
      <c r="U201" s="2"/>
      <c r="V201" s="2"/>
      <c r="W201" s="157"/>
      <c r="X201" s="157"/>
      <c r="Y201" s="157"/>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customHeight="1">
      <c r="A202" s="2"/>
      <c r="B202" s="2"/>
      <c r="C202" s="2"/>
      <c r="D202" s="2"/>
      <c r="E202" s="2"/>
      <c r="F202" s="2"/>
      <c r="G202" s="2"/>
      <c r="H202" s="2"/>
      <c r="I202" s="2"/>
      <c r="J202" s="2"/>
      <c r="K202" s="2"/>
      <c r="L202" s="2"/>
      <c r="M202" s="2"/>
      <c r="N202" s="2"/>
      <c r="O202" s="2"/>
      <c r="P202" s="2"/>
      <c r="Q202" s="2"/>
      <c r="R202" s="2"/>
      <c r="S202" s="2"/>
      <c r="T202" s="2"/>
      <c r="U202" s="2"/>
      <c r="V202" s="2"/>
      <c r="W202" s="157"/>
      <c r="X202" s="157"/>
      <c r="Y202" s="157"/>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customHeight="1">
      <c r="A203" s="2"/>
      <c r="B203" s="2"/>
      <c r="C203" s="2"/>
      <c r="D203" s="2"/>
      <c r="E203" s="2"/>
      <c r="F203" s="2"/>
      <c r="G203" s="2"/>
      <c r="H203" s="2"/>
      <c r="I203" s="2"/>
      <c r="J203" s="2"/>
      <c r="K203" s="2"/>
      <c r="L203" s="2"/>
      <c r="M203" s="2"/>
      <c r="N203" s="2"/>
      <c r="O203" s="2"/>
      <c r="P203" s="2"/>
      <c r="Q203" s="2"/>
      <c r="R203" s="2"/>
      <c r="S203" s="2"/>
      <c r="T203" s="2"/>
      <c r="U203" s="2"/>
      <c r="V203" s="2"/>
      <c r="W203" s="157"/>
      <c r="X203" s="157"/>
      <c r="Y203" s="157"/>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customHeight="1">
      <c r="A204" s="2"/>
      <c r="B204" s="2"/>
      <c r="C204" s="2"/>
      <c r="D204" s="2"/>
      <c r="E204" s="2"/>
      <c r="F204" s="2"/>
      <c r="G204" s="2"/>
      <c r="H204" s="2"/>
      <c r="I204" s="2"/>
      <c r="J204" s="2"/>
      <c r="K204" s="2"/>
      <c r="L204" s="2"/>
      <c r="M204" s="2"/>
      <c r="N204" s="2"/>
      <c r="O204" s="2"/>
      <c r="P204" s="2"/>
      <c r="Q204" s="2"/>
      <c r="R204" s="2"/>
      <c r="S204" s="2"/>
      <c r="T204" s="2"/>
      <c r="U204" s="2"/>
      <c r="V204" s="2"/>
      <c r="W204" s="157"/>
      <c r="X204" s="157"/>
      <c r="Y204" s="157"/>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customHeight="1">
      <c r="A205" s="2"/>
      <c r="B205" s="2"/>
      <c r="C205" s="2"/>
      <c r="D205" s="2"/>
      <c r="E205" s="2"/>
      <c r="F205" s="2"/>
      <c r="G205" s="2"/>
      <c r="H205" s="2"/>
      <c r="I205" s="2"/>
      <c r="J205" s="2"/>
      <c r="K205" s="2"/>
      <c r="L205" s="2"/>
      <c r="M205" s="2"/>
      <c r="N205" s="2"/>
      <c r="O205" s="2"/>
      <c r="P205" s="2"/>
      <c r="Q205" s="2"/>
      <c r="R205" s="2"/>
      <c r="S205" s="2"/>
      <c r="T205" s="2"/>
      <c r="U205" s="2"/>
      <c r="V205" s="2"/>
      <c r="W205" s="157"/>
      <c r="X205" s="157"/>
      <c r="Y205" s="157"/>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customHeight="1">
      <c r="A206" s="2"/>
      <c r="B206" s="2"/>
      <c r="C206" s="2"/>
      <c r="D206" s="2"/>
      <c r="E206" s="2"/>
      <c r="F206" s="2"/>
      <c r="G206" s="2"/>
      <c r="H206" s="2"/>
      <c r="I206" s="2"/>
      <c r="J206" s="2"/>
      <c r="K206" s="2"/>
      <c r="L206" s="2"/>
      <c r="M206" s="2"/>
      <c r="N206" s="2"/>
      <c r="O206" s="2"/>
      <c r="P206" s="2"/>
      <c r="Q206" s="2"/>
      <c r="R206" s="2"/>
      <c r="S206" s="2"/>
      <c r="T206" s="2"/>
      <c r="U206" s="2"/>
      <c r="V206" s="2"/>
      <c r="W206" s="157"/>
      <c r="X206" s="157"/>
      <c r="Y206" s="157"/>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customHeight="1">
      <c r="A207" s="2"/>
      <c r="B207" s="2"/>
      <c r="C207" s="2"/>
      <c r="D207" s="2"/>
      <c r="E207" s="2"/>
      <c r="F207" s="2"/>
      <c r="G207" s="2"/>
      <c r="H207" s="2"/>
      <c r="I207" s="2"/>
      <c r="J207" s="2"/>
      <c r="K207" s="2"/>
      <c r="L207" s="2"/>
      <c r="M207" s="2"/>
      <c r="N207" s="2"/>
      <c r="O207" s="2"/>
      <c r="P207" s="2"/>
      <c r="Q207" s="2"/>
      <c r="R207" s="2"/>
      <c r="S207" s="2"/>
      <c r="T207" s="2"/>
      <c r="U207" s="2"/>
      <c r="V207" s="2"/>
      <c r="W207" s="157"/>
      <c r="X207" s="157"/>
      <c r="Y207" s="157"/>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customHeight="1">
      <c r="A208" s="2"/>
      <c r="B208" s="2"/>
      <c r="C208" s="2"/>
      <c r="D208" s="2"/>
      <c r="E208" s="2"/>
      <c r="F208" s="2"/>
      <c r="G208" s="2"/>
      <c r="H208" s="2"/>
      <c r="I208" s="2"/>
      <c r="J208" s="2"/>
      <c r="K208" s="2"/>
      <c r="L208" s="2"/>
      <c r="M208" s="2"/>
      <c r="N208" s="2"/>
      <c r="O208" s="2"/>
      <c r="P208" s="2"/>
      <c r="Q208" s="2"/>
      <c r="R208" s="2"/>
      <c r="S208" s="2"/>
      <c r="T208" s="2"/>
      <c r="U208" s="2"/>
      <c r="V208" s="2"/>
      <c r="W208" s="157"/>
      <c r="X208" s="157"/>
      <c r="Y208" s="157"/>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customHeight="1">
      <c r="A209" s="2"/>
      <c r="B209" s="2"/>
      <c r="C209" s="2"/>
      <c r="D209" s="2"/>
      <c r="E209" s="2"/>
      <c r="F209" s="2"/>
      <c r="G209" s="2"/>
      <c r="H209" s="2"/>
      <c r="I209" s="2"/>
      <c r="J209" s="2"/>
      <c r="K209" s="2"/>
      <c r="L209" s="2"/>
      <c r="M209" s="2"/>
      <c r="N209" s="2"/>
      <c r="O209" s="2"/>
      <c r="P209" s="2"/>
      <c r="Q209" s="2"/>
      <c r="R209" s="2"/>
      <c r="S209" s="2"/>
      <c r="T209" s="2"/>
      <c r="U209" s="2"/>
      <c r="V209" s="2"/>
      <c r="W209" s="157"/>
      <c r="X209" s="157"/>
      <c r="Y209" s="157"/>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customHeight="1">
      <c r="A210" s="2"/>
      <c r="B210" s="2"/>
      <c r="C210" s="2"/>
      <c r="D210" s="2"/>
      <c r="E210" s="2"/>
      <c r="F210" s="2"/>
      <c r="G210" s="2"/>
      <c r="H210" s="2"/>
      <c r="I210" s="2"/>
      <c r="J210" s="2"/>
      <c r="K210" s="2"/>
      <c r="L210" s="2"/>
      <c r="M210" s="2"/>
      <c r="N210" s="2"/>
      <c r="O210" s="2"/>
      <c r="P210" s="2"/>
      <c r="Q210" s="2"/>
      <c r="R210" s="2"/>
      <c r="S210" s="2"/>
      <c r="T210" s="2"/>
      <c r="U210" s="2"/>
      <c r="V210" s="2"/>
      <c r="W210" s="157"/>
      <c r="X210" s="157"/>
      <c r="Y210" s="157"/>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customHeight="1">
      <c r="A211" s="2"/>
      <c r="B211" s="2"/>
      <c r="C211" s="2"/>
      <c r="D211" s="2"/>
      <c r="E211" s="2"/>
      <c r="F211" s="2"/>
      <c r="G211" s="2"/>
      <c r="H211" s="2"/>
      <c r="I211" s="2"/>
      <c r="J211" s="2"/>
      <c r="K211" s="2"/>
      <c r="L211" s="2"/>
      <c r="M211" s="2"/>
      <c r="N211" s="2"/>
      <c r="O211" s="2"/>
      <c r="P211" s="2"/>
      <c r="Q211" s="2"/>
      <c r="R211" s="2"/>
      <c r="S211" s="2"/>
      <c r="T211" s="2"/>
      <c r="U211" s="2"/>
      <c r="V211" s="2"/>
      <c r="W211" s="157"/>
      <c r="X211" s="157"/>
      <c r="Y211" s="157"/>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customHeight="1">
      <c r="A212" s="2"/>
      <c r="B212" s="2"/>
      <c r="C212" s="2"/>
      <c r="D212" s="2"/>
      <c r="E212" s="2"/>
      <c r="F212" s="2"/>
      <c r="G212" s="2"/>
      <c r="H212" s="2"/>
      <c r="I212" s="2"/>
      <c r="J212" s="2"/>
      <c r="K212" s="2"/>
      <c r="L212" s="2"/>
      <c r="M212" s="2"/>
      <c r="N212" s="2"/>
      <c r="O212" s="2"/>
      <c r="P212" s="2"/>
      <c r="Q212" s="2"/>
      <c r="R212" s="2"/>
      <c r="S212" s="2"/>
      <c r="T212" s="2"/>
      <c r="U212" s="2"/>
      <c r="V212" s="2"/>
      <c r="W212" s="157"/>
      <c r="X212" s="157"/>
      <c r="Y212" s="157"/>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customHeight="1">
      <c r="A213" s="2"/>
      <c r="B213" s="2"/>
      <c r="C213" s="2"/>
      <c r="D213" s="2"/>
      <c r="E213" s="2"/>
      <c r="F213" s="2"/>
      <c r="G213" s="2"/>
      <c r="H213" s="2"/>
      <c r="I213" s="2"/>
      <c r="J213" s="2"/>
      <c r="K213" s="2"/>
      <c r="L213" s="2"/>
      <c r="M213" s="2"/>
      <c r="N213" s="2"/>
      <c r="O213" s="2"/>
      <c r="P213" s="2"/>
      <c r="Q213" s="2"/>
      <c r="R213" s="2"/>
      <c r="S213" s="2"/>
      <c r="T213" s="2"/>
      <c r="U213" s="2"/>
      <c r="V213" s="2"/>
      <c r="W213" s="157"/>
      <c r="X213" s="157"/>
      <c r="Y213" s="157"/>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customHeight="1">
      <c r="A214" s="2"/>
      <c r="B214" s="2"/>
      <c r="C214" s="2"/>
      <c r="D214" s="2"/>
      <c r="E214" s="2"/>
      <c r="F214" s="2"/>
      <c r="G214" s="2"/>
      <c r="H214" s="2"/>
      <c r="I214" s="2"/>
      <c r="J214" s="2"/>
      <c r="K214" s="2"/>
      <c r="L214" s="2"/>
      <c r="M214" s="2"/>
      <c r="N214" s="2"/>
      <c r="O214" s="2"/>
      <c r="P214" s="2"/>
      <c r="Q214" s="2"/>
      <c r="R214" s="2"/>
      <c r="S214" s="2"/>
      <c r="T214" s="2"/>
      <c r="U214" s="2"/>
      <c r="V214" s="2"/>
      <c r="W214" s="157"/>
      <c r="X214" s="157"/>
      <c r="Y214" s="157"/>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customHeight="1">
      <c r="A215" s="2"/>
      <c r="B215" s="2"/>
      <c r="C215" s="2"/>
      <c r="D215" s="2"/>
      <c r="E215" s="2"/>
      <c r="F215" s="2"/>
      <c r="G215" s="2"/>
      <c r="H215" s="2"/>
      <c r="I215" s="2"/>
      <c r="J215" s="2"/>
      <c r="K215" s="2"/>
      <c r="L215" s="2"/>
      <c r="M215" s="2"/>
      <c r="N215" s="2"/>
      <c r="O215" s="2"/>
      <c r="P215" s="2"/>
      <c r="Q215" s="2"/>
      <c r="R215" s="2"/>
      <c r="S215" s="2"/>
      <c r="T215" s="2"/>
      <c r="U215" s="2"/>
      <c r="V215" s="2"/>
      <c r="W215" s="157"/>
      <c r="X215" s="157"/>
      <c r="Y215" s="157"/>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customHeight="1">
      <c r="A216" s="2"/>
      <c r="B216" s="2"/>
      <c r="C216" s="2"/>
      <c r="D216" s="2"/>
      <c r="E216" s="2"/>
      <c r="F216" s="2"/>
      <c r="G216" s="2"/>
      <c r="H216" s="2"/>
      <c r="I216" s="2"/>
      <c r="J216" s="2"/>
      <c r="K216" s="2"/>
      <c r="L216" s="2"/>
      <c r="M216" s="2"/>
      <c r="N216" s="2"/>
      <c r="O216" s="2"/>
      <c r="P216" s="2"/>
      <c r="Q216" s="2"/>
      <c r="R216" s="2"/>
      <c r="S216" s="2"/>
      <c r="T216" s="2"/>
      <c r="U216" s="2"/>
      <c r="V216" s="2"/>
      <c r="W216" s="157"/>
      <c r="X216" s="157"/>
      <c r="Y216" s="157"/>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customHeight="1">
      <c r="A217" s="2"/>
      <c r="B217" s="2"/>
      <c r="C217" s="2"/>
      <c r="D217" s="2"/>
      <c r="E217" s="2"/>
      <c r="F217" s="2"/>
      <c r="G217" s="2"/>
      <c r="H217" s="2"/>
      <c r="I217" s="2"/>
      <c r="J217" s="2"/>
      <c r="K217" s="2"/>
      <c r="L217" s="2"/>
      <c r="M217" s="2"/>
      <c r="N217" s="2"/>
      <c r="O217" s="2"/>
      <c r="P217" s="2"/>
      <c r="Q217" s="2"/>
      <c r="R217" s="2"/>
      <c r="S217" s="2"/>
      <c r="T217" s="2"/>
      <c r="U217" s="2"/>
      <c r="V217" s="2"/>
      <c r="W217" s="157"/>
      <c r="X217" s="157"/>
      <c r="Y217" s="157"/>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customHeight="1">
      <c r="A218" s="2"/>
      <c r="B218" s="2"/>
      <c r="C218" s="2"/>
      <c r="D218" s="2"/>
      <c r="E218" s="2"/>
      <c r="F218" s="2"/>
      <c r="G218" s="2"/>
      <c r="H218" s="2"/>
      <c r="I218" s="2"/>
      <c r="J218" s="2"/>
      <c r="K218" s="2"/>
      <c r="L218" s="2"/>
      <c r="M218" s="2"/>
      <c r="N218" s="2"/>
      <c r="O218" s="2"/>
      <c r="P218" s="2"/>
      <c r="Q218" s="2"/>
      <c r="R218" s="2"/>
      <c r="S218" s="2"/>
      <c r="T218" s="2"/>
      <c r="U218" s="2"/>
      <c r="V218" s="2"/>
      <c r="W218" s="157"/>
      <c r="X218" s="157"/>
      <c r="Y218" s="157"/>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customHeight="1">
      <c r="A219" s="2"/>
      <c r="B219" s="2"/>
      <c r="C219" s="2"/>
      <c r="D219" s="2"/>
      <c r="E219" s="2"/>
      <c r="F219" s="2"/>
      <c r="G219" s="2"/>
      <c r="H219" s="2"/>
      <c r="I219" s="2"/>
      <c r="J219" s="2"/>
      <c r="K219" s="2"/>
      <c r="L219" s="2"/>
      <c r="M219" s="2"/>
      <c r="N219" s="2"/>
      <c r="O219" s="2"/>
      <c r="P219" s="2"/>
      <c r="Q219" s="2"/>
      <c r="R219" s="2"/>
      <c r="S219" s="2"/>
      <c r="T219" s="2"/>
      <c r="U219" s="2"/>
      <c r="V219" s="2"/>
      <c r="W219" s="157"/>
      <c r="X219" s="157"/>
      <c r="Y219" s="157"/>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customHeight="1">
      <c r="A220" s="2"/>
      <c r="B220" s="2"/>
      <c r="C220" s="2"/>
      <c r="D220" s="2"/>
      <c r="E220" s="2"/>
      <c r="F220" s="2"/>
      <c r="G220" s="2"/>
      <c r="H220" s="2"/>
      <c r="I220" s="2"/>
      <c r="J220" s="2"/>
      <c r="K220" s="2"/>
      <c r="L220" s="2"/>
      <c r="M220" s="2"/>
      <c r="N220" s="2"/>
      <c r="O220" s="2"/>
      <c r="P220" s="2"/>
      <c r="Q220" s="2"/>
      <c r="R220" s="2"/>
      <c r="S220" s="2"/>
      <c r="T220" s="2"/>
      <c r="U220" s="2"/>
      <c r="V220" s="2"/>
      <c r="W220" s="157"/>
      <c r="X220" s="157"/>
      <c r="Y220" s="157"/>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customHeight="1">
      <c r="A221" s="2"/>
      <c r="B221" s="2"/>
      <c r="C221" s="2"/>
      <c r="D221" s="2"/>
      <c r="E221" s="2"/>
      <c r="F221" s="2"/>
      <c r="G221" s="2"/>
      <c r="H221" s="2"/>
      <c r="I221" s="2"/>
      <c r="J221" s="2"/>
      <c r="K221" s="2"/>
      <c r="L221" s="2"/>
      <c r="M221" s="2"/>
      <c r="N221" s="2"/>
      <c r="O221" s="2"/>
      <c r="P221" s="2"/>
      <c r="Q221" s="2"/>
      <c r="R221" s="2"/>
      <c r="S221" s="2"/>
      <c r="T221" s="2"/>
      <c r="U221" s="2"/>
      <c r="V221" s="2"/>
      <c r="W221" s="157"/>
      <c r="X221" s="157"/>
      <c r="Y221" s="157"/>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customHeight="1">
      <c r="A222" s="2"/>
      <c r="B222" s="2"/>
      <c r="C222" s="2"/>
      <c r="D222" s="2"/>
      <c r="E222" s="2"/>
      <c r="F222" s="2"/>
      <c r="G222" s="2"/>
      <c r="H222" s="2"/>
      <c r="I222" s="2"/>
      <c r="J222" s="2"/>
      <c r="K222" s="2"/>
      <c r="L222" s="2"/>
      <c r="M222" s="2"/>
      <c r="N222" s="2"/>
      <c r="O222" s="2"/>
      <c r="P222" s="2"/>
      <c r="Q222" s="2"/>
      <c r="R222" s="2"/>
      <c r="S222" s="2"/>
      <c r="T222" s="2"/>
      <c r="U222" s="2"/>
      <c r="V222" s="2"/>
      <c r="W222" s="157"/>
      <c r="X222" s="157"/>
      <c r="Y222" s="157"/>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customHeight="1">
      <c r="A223" s="2"/>
      <c r="B223" s="2"/>
      <c r="C223" s="2"/>
      <c r="D223" s="2"/>
      <c r="E223" s="2"/>
      <c r="F223" s="2"/>
      <c r="G223" s="2"/>
      <c r="H223" s="2"/>
      <c r="I223" s="2"/>
      <c r="J223" s="2"/>
      <c r="K223" s="2"/>
      <c r="L223" s="2"/>
      <c r="M223" s="2"/>
      <c r="N223" s="2"/>
      <c r="O223" s="2"/>
      <c r="P223" s="2"/>
      <c r="Q223" s="2"/>
      <c r="R223" s="2"/>
      <c r="S223" s="2"/>
      <c r="T223" s="2"/>
      <c r="U223" s="2"/>
      <c r="V223" s="2"/>
      <c r="W223" s="157"/>
      <c r="X223" s="157"/>
      <c r="Y223" s="157"/>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customHeight="1">
      <c r="A224" s="2"/>
      <c r="B224" s="2"/>
      <c r="C224" s="2"/>
      <c r="D224" s="2"/>
      <c r="E224" s="2"/>
      <c r="F224" s="2"/>
      <c r="G224" s="2"/>
      <c r="H224" s="2"/>
      <c r="I224" s="2"/>
      <c r="J224" s="2"/>
      <c r="K224" s="2"/>
      <c r="L224" s="2"/>
      <c r="M224" s="2"/>
      <c r="N224" s="2"/>
      <c r="O224" s="2"/>
      <c r="P224" s="2"/>
      <c r="Q224" s="2"/>
      <c r="R224" s="2"/>
      <c r="S224" s="2"/>
      <c r="T224" s="2"/>
      <c r="U224" s="2"/>
      <c r="V224" s="2"/>
      <c r="W224" s="157"/>
      <c r="X224" s="157"/>
      <c r="Y224" s="157"/>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customHeight="1">
      <c r="A225" s="2"/>
      <c r="B225" s="2"/>
      <c r="C225" s="2"/>
      <c r="D225" s="2"/>
      <c r="E225" s="2"/>
      <c r="F225" s="2"/>
      <c r="G225" s="2"/>
      <c r="H225" s="2"/>
      <c r="I225" s="2"/>
      <c r="J225" s="2"/>
      <c r="K225" s="2"/>
      <c r="L225" s="2"/>
      <c r="M225" s="2"/>
      <c r="N225" s="2"/>
      <c r="O225" s="2"/>
      <c r="P225" s="2"/>
      <c r="Q225" s="2"/>
      <c r="R225" s="2"/>
      <c r="S225" s="2"/>
      <c r="T225" s="2"/>
      <c r="U225" s="2"/>
      <c r="V225" s="2"/>
      <c r="W225" s="157"/>
      <c r="X225" s="157"/>
      <c r="Y225" s="157"/>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customHeight="1">
      <c r="A226" s="2"/>
      <c r="B226" s="2"/>
      <c r="C226" s="2"/>
      <c r="D226" s="2"/>
      <c r="E226" s="2"/>
      <c r="F226" s="2"/>
      <c r="G226" s="2"/>
      <c r="H226" s="2"/>
      <c r="I226" s="2"/>
      <c r="J226" s="2"/>
      <c r="K226" s="2"/>
      <c r="L226" s="2"/>
      <c r="M226" s="2"/>
      <c r="N226" s="2"/>
      <c r="O226" s="2"/>
      <c r="P226" s="2"/>
      <c r="Q226" s="2"/>
      <c r="R226" s="2"/>
      <c r="S226" s="2"/>
      <c r="T226" s="2"/>
      <c r="U226" s="2"/>
      <c r="V226" s="2"/>
      <c r="W226" s="157"/>
      <c r="X226" s="157"/>
      <c r="Y226" s="157"/>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customHeight="1">
      <c r="A227" s="2"/>
      <c r="B227" s="2"/>
      <c r="C227" s="2"/>
      <c r="D227" s="2"/>
      <c r="E227" s="2"/>
      <c r="F227" s="2"/>
      <c r="G227" s="2"/>
      <c r="H227" s="2"/>
      <c r="I227" s="2"/>
      <c r="J227" s="2"/>
      <c r="K227" s="2"/>
      <c r="L227" s="2"/>
      <c r="M227" s="2"/>
      <c r="N227" s="2"/>
      <c r="O227" s="2"/>
      <c r="P227" s="2"/>
      <c r="Q227" s="2"/>
      <c r="R227" s="2"/>
      <c r="S227" s="2"/>
      <c r="T227" s="2"/>
      <c r="U227" s="2"/>
      <c r="V227" s="2"/>
      <c r="W227" s="157"/>
      <c r="X227" s="157"/>
      <c r="Y227" s="157"/>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customHeight="1">
      <c r="A228" s="2"/>
      <c r="B228" s="2"/>
      <c r="C228" s="2"/>
      <c r="D228" s="2"/>
      <c r="E228" s="2"/>
      <c r="F228" s="2"/>
      <c r="G228" s="2"/>
      <c r="H228" s="2"/>
      <c r="I228" s="2"/>
      <c r="J228" s="2"/>
      <c r="K228" s="2"/>
      <c r="L228" s="2"/>
      <c r="M228" s="2"/>
      <c r="N228" s="2"/>
      <c r="O228" s="2"/>
      <c r="P228" s="2"/>
      <c r="Q228" s="2"/>
      <c r="R228" s="2"/>
      <c r="S228" s="2"/>
      <c r="T228" s="2"/>
      <c r="U228" s="2"/>
      <c r="V228" s="2"/>
      <c r="W228" s="157"/>
      <c r="X228" s="157"/>
      <c r="Y228" s="157"/>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customHeight="1">
      <c r="A229" s="2"/>
      <c r="B229" s="2"/>
      <c r="C229" s="2"/>
      <c r="D229" s="2"/>
      <c r="E229" s="2"/>
      <c r="F229" s="2"/>
      <c r="G229" s="2"/>
      <c r="H229" s="2"/>
      <c r="I229" s="2"/>
      <c r="J229" s="2"/>
      <c r="K229" s="2"/>
      <c r="L229" s="2"/>
      <c r="M229" s="2"/>
      <c r="N229" s="2"/>
      <c r="O229" s="2"/>
      <c r="P229" s="2"/>
      <c r="Q229" s="2"/>
      <c r="R229" s="2"/>
      <c r="S229" s="2"/>
      <c r="T229" s="2"/>
      <c r="U229" s="2"/>
      <c r="V229" s="2"/>
      <c r="W229" s="157"/>
      <c r="X229" s="157"/>
      <c r="Y229" s="157"/>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customHeight="1">
      <c r="A230" s="2"/>
      <c r="B230" s="2"/>
      <c r="C230" s="2"/>
      <c r="D230" s="2"/>
      <c r="E230" s="2"/>
      <c r="F230" s="2"/>
      <c r="G230" s="2"/>
      <c r="H230" s="2"/>
      <c r="I230" s="2"/>
      <c r="J230" s="2"/>
      <c r="K230" s="2"/>
      <c r="L230" s="2"/>
      <c r="M230" s="2"/>
      <c r="N230" s="2"/>
      <c r="O230" s="2"/>
      <c r="P230" s="2"/>
      <c r="Q230" s="2"/>
      <c r="R230" s="2"/>
      <c r="S230" s="2"/>
      <c r="T230" s="2"/>
      <c r="U230" s="2"/>
      <c r="V230" s="2"/>
      <c r="W230" s="157"/>
      <c r="X230" s="157"/>
      <c r="Y230" s="157"/>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customHeight="1">
      <c r="A231" s="2"/>
      <c r="B231" s="2"/>
      <c r="C231" s="2"/>
      <c r="D231" s="2"/>
      <c r="E231" s="2"/>
      <c r="F231" s="2"/>
      <c r="G231" s="2"/>
      <c r="H231" s="2"/>
      <c r="I231" s="2"/>
      <c r="J231" s="2"/>
      <c r="K231" s="2"/>
      <c r="L231" s="2"/>
      <c r="M231" s="2"/>
      <c r="N231" s="2"/>
      <c r="O231" s="2"/>
      <c r="P231" s="2"/>
      <c r="Q231" s="2"/>
      <c r="R231" s="2"/>
      <c r="S231" s="2"/>
      <c r="T231" s="2"/>
      <c r="U231" s="2"/>
      <c r="V231" s="2"/>
      <c r="W231" s="157"/>
      <c r="X231" s="157"/>
      <c r="Y231" s="157"/>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customHeight="1">
      <c r="A232" s="2"/>
      <c r="B232" s="2"/>
      <c r="C232" s="2"/>
      <c r="D232" s="2"/>
      <c r="E232" s="2"/>
      <c r="F232" s="2"/>
      <c r="G232" s="2"/>
      <c r="H232" s="2"/>
      <c r="I232" s="2"/>
      <c r="J232" s="2"/>
      <c r="K232" s="2"/>
      <c r="L232" s="2"/>
      <c r="M232" s="2"/>
      <c r="N232" s="2"/>
      <c r="O232" s="2"/>
      <c r="P232" s="2"/>
      <c r="Q232" s="2"/>
      <c r="R232" s="2"/>
      <c r="S232" s="2"/>
      <c r="T232" s="2"/>
      <c r="U232" s="2"/>
      <c r="V232" s="2"/>
      <c r="W232" s="157"/>
      <c r="X232" s="157"/>
      <c r="Y232" s="157"/>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customHeight="1">
      <c r="A233" s="2"/>
      <c r="B233" s="2"/>
      <c r="C233" s="2"/>
      <c r="D233" s="2"/>
      <c r="E233" s="2"/>
      <c r="F233" s="2"/>
      <c r="G233" s="2"/>
      <c r="H233" s="2"/>
      <c r="I233" s="2"/>
      <c r="J233" s="2"/>
      <c r="K233" s="2"/>
      <c r="L233" s="2"/>
      <c r="M233" s="2"/>
      <c r="N233" s="2"/>
      <c r="O233" s="2"/>
      <c r="P233" s="2"/>
      <c r="Q233" s="2"/>
      <c r="R233" s="2"/>
      <c r="S233" s="2"/>
      <c r="T233" s="2"/>
      <c r="U233" s="2"/>
      <c r="V233" s="2"/>
      <c r="W233" s="157"/>
      <c r="X233" s="157"/>
      <c r="Y233" s="157"/>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customHeight="1">
      <c r="A234" s="2"/>
      <c r="B234" s="2"/>
      <c r="C234" s="2"/>
      <c r="D234" s="2"/>
      <c r="E234" s="2"/>
      <c r="F234" s="2"/>
      <c r="G234" s="2"/>
      <c r="H234" s="2"/>
      <c r="I234" s="2"/>
      <c r="J234" s="2"/>
      <c r="K234" s="2"/>
      <c r="L234" s="2"/>
      <c r="M234" s="2"/>
      <c r="N234" s="2"/>
      <c r="O234" s="2"/>
      <c r="P234" s="2"/>
      <c r="Q234" s="2"/>
      <c r="R234" s="2"/>
      <c r="S234" s="2"/>
      <c r="T234" s="2"/>
      <c r="U234" s="2"/>
      <c r="V234" s="2"/>
      <c r="W234" s="157"/>
      <c r="X234" s="157"/>
      <c r="Y234" s="157"/>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customHeight="1">
      <c r="A235" s="2"/>
      <c r="B235" s="2"/>
      <c r="C235" s="2"/>
      <c r="D235" s="2"/>
      <c r="E235" s="2"/>
      <c r="F235" s="2"/>
      <c r="G235" s="2"/>
      <c r="H235" s="2"/>
      <c r="I235" s="2"/>
      <c r="J235" s="2"/>
      <c r="K235" s="2"/>
      <c r="L235" s="2"/>
      <c r="M235" s="2"/>
      <c r="N235" s="2"/>
      <c r="O235" s="2"/>
      <c r="P235" s="2"/>
      <c r="Q235" s="2"/>
      <c r="R235" s="2"/>
      <c r="S235" s="2"/>
      <c r="T235" s="2"/>
      <c r="U235" s="2"/>
      <c r="V235" s="2"/>
      <c r="W235" s="157"/>
      <c r="X235" s="157"/>
      <c r="Y235" s="157"/>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customHeight="1">
      <c r="A236" s="2"/>
      <c r="B236" s="2"/>
      <c r="C236" s="2"/>
      <c r="D236" s="2"/>
      <c r="E236" s="2"/>
      <c r="F236" s="2"/>
      <c r="G236" s="2"/>
      <c r="H236" s="2"/>
      <c r="I236" s="2"/>
      <c r="J236" s="2"/>
      <c r="K236" s="2"/>
      <c r="L236" s="2"/>
      <c r="M236" s="2"/>
      <c r="N236" s="2"/>
      <c r="O236" s="2"/>
      <c r="P236" s="2"/>
      <c r="Q236" s="2"/>
      <c r="R236" s="2"/>
      <c r="S236" s="2"/>
      <c r="T236" s="2"/>
      <c r="U236" s="2"/>
      <c r="V236" s="2"/>
      <c r="W236" s="157"/>
      <c r="X236" s="157"/>
      <c r="Y236" s="157"/>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customHeight="1">
      <c r="A237" s="2"/>
      <c r="B237" s="2"/>
      <c r="C237" s="2"/>
      <c r="D237" s="2"/>
      <c r="E237" s="2"/>
      <c r="F237" s="2"/>
      <c r="G237" s="2"/>
      <c r="H237" s="2"/>
      <c r="I237" s="2"/>
      <c r="J237" s="2"/>
      <c r="K237" s="2"/>
      <c r="L237" s="2"/>
      <c r="M237" s="2"/>
      <c r="N237" s="2"/>
      <c r="O237" s="2"/>
      <c r="P237" s="2"/>
      <c r="Q237" s="2"/>
      <c r="R237" s="2"/>
      <c r="S237" s="2"/>
      <c r="T237" s="2"/>
      <c r="U237" s="2"/>
      <c r="V237" s="2"/>
      <c r="W237" s="157"/>
      <c r="X237" s="157"/>
      <c r="Y237" s="157"/>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customHeight="1">
      <c r="A238" s="2"/>
      <c r="B238" s="2"/>
      <c r="C238" s="2"/>
      <c r="D238" s="2"/>
      <c r="E238" s="2"/>
      <c r="F238" s="2"/>
      <c r="G238" s="2"/>
      <c r="H238" s="2"/>
      <c r="I238" s="2"/>
      <c r="J238" s="2"/>
      <c r="K238" s="2"/>
      <c r="L238" s="2"/>
      <c r="M238" s="2"/>
      <c r="N238" s="2"/>
      <c r="O238" s="2"/>
      <c r="P238" s="2"/>
      <c r="Q238" s="2"/>
      <c r="R238" s="2"/>
      <c r="S238" s="2"/>
      <c r="T238" s="2"/>
      <c r="U238" s="2"/>
      <c r="V238" s="2"/>
      <c r="W238" s="157"/>
      <c r="X238" s="157"/>
      <c r="Y238" s="157"/>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customHeight="1">
      <c r="A239" s="2"/>
      <c r="B239" s="2"/>
      <c r="C239" s="2"/>
      <c r="D239" s="2"/>
      <c r="E239" s="2"/>
      <c r="F239" s="2"/>
      <c r="G239" s="2"/>
      <c r="H239" s="2"/>
      <c r="I239" s="2"/>
      <c r="J239" s="2"/>
      <c r="K239" s="2"/>
      <c r="L239" s="2"/>
      <c r="M239" s="2"/>
      <c r="N239" s="2"/>
      <c r="O239" s="2"/>
      <c r="P239" s="2"/>
      <c r="Q239" s="2"/>
      <c r="R239" s="2"/>
      <c r="S239" s="2"/>
      <c r="T239" s="2"/>
      <c r="U239" s="2"/>
      <c r="V239" s="2"/>
      <c r="W239" s="157"/>
      <c r="X239" s="157"/>
      <c r="Y239" s="157"/>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customHeight="1">
      <c r="A240" s="2"/>
      <c r="B240" s="2"/>
      <c r="C240" s="2"/>
      <c r="D240" s="2"/>
      <c r="E240" s="2"/>
      <c r="F240" s="2"/>
      <c r="G240" s="2"/>
      <c r="H240" s="2"/>
      <c r="I240" s="2"/>
      <c r="J240" s="2"/>
      <c r="K240" s="2"/>
      <c r="L240" s="2"/>
      <c r="M240" s="2"/>
      <c r="N240" s="2"/>
      <c r="O240" s="2"/>
      <c r="P240" s="2"/>
      <c r="Q240" s="2"/>
      <c r="R240" s="2"/>
      <c r="S240" s="2"/>
      <c r="T240" s="2"/>
      <c r="U240" s="2"/>
      <c r="V240" s="2"/>
      <c r="W240" s="157"/>
      <c r="X240" s="157"/>
      <c r="Y240" s="157"/>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customHeight="1">
      <c r="A241" s="2"/>
      <c r="B241" s="2"/>
      <c r="C241" s="2"/>
      <c r="D241" s="2"/>
      <c r="E241" s="2"/>
      <c r="F241" s="2"/>
      <c r="G241" s="2"/>
      <c r="H241" s="2"/>
      <c r="I241" s="2"/>
      <c r="J241" s="2"/>
      <c r="K241" s="2"/>
      <c r="L241" s="2"/>
      <c r="M241" s="2"/>
      <c r="N241" s="2"/>
      <c r="O241" s="2"/>
      <c r="P241" s="2"/>
      <c r="Q241" s="2"/>
      <c r="R241" s="2"/>
      <c r="S241" s="2"/>
      <c r="T241" s="2"/>
      <c r="U241" s="2"/>
      <c r="V241" s="2"/>
      <c r="W241" s="157"/>
      <c r="X241" s="157"/>
      <c r="Y241" s="157"/>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customHeight="1">
      <c r="A242" s="2"/>
      <c r="B242" s="2"/>
      <c r="C242" s="2"/>
      <c r="D242" s="2"/>
      <c r="E242" s="2"/>
      <c r="F242" s="2"/>
      <c r="G242" s="2"/>
      <c r="H242" s="2"/>
      <c r="I242" s="2"/>
      <c r="J242" s="2"/>
      <c r="K242" s="2"/>
      <c r="L242" s="2"/>
      <c r="M242" s="2"/>
      <c r="N242" s="2"/>
      <c r="O242" s="2"/>
      <c r="P242" s="2"/>
      <c r="Q242" s="2"/>
      <c r="R242" s="2"/>
      <c r="S242" s="2"/>
      <c r="T242" s="2"/>
      <c r="U242" s="2"/>
      <c r="V242" s="2"/>
      <c r="W242" s="157"/>
      <c r="X242" s="157"/>
      <c r="Y242" s="157"/>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customHeight="1">
      <c r="A243" s="2"/>
      <c r="B243" s="2"/>
      <c r="C243" s="2"/>
      <c r="D243" s="2"/>
      <c r="E243" s="2"/>
      <c r="F243" s="2"/>
      <c r="G243" s="2"/>
      <c r="H243" s="2"/>
      <c r="I243" s="2"/>
      <c r="J243" s="2"/>
      <c r="K243" s="2"/>
      <c r="L243" s="2"/>
      <c r="M243" s="2"/>
      <c r="N243" s="2"/>
      <c r="O243" s="2"/>
      <c r="P243" s="2"/>
      <c r="Q243" s="2"/>
      <c r="R243" s="2"/>
      <c r="S243" s="2"/>
      <c r="T243" s="2"/>
      <c r="U243" s="2"/>
      <c r="V243" s="2"/>
      <c r="W243" s="157"/>
      <c r="X243" s="157"/>
      <c r="Y243" s="157"/>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customHeight="1">
      <c r="A244" s="2"/>
      <c r="B244" s="2"/>
      <c r="C244" s="2"/>
      <c r="D244" s="2"/>
      <c r="E244" s="2"/>
      <c r="F244" s="2"/>
      <c r="G244" s="2"/>
      <c r="H244" s="2"/>
      <c r="I244" s="2"/>
      <c r="J244" s="2"/>
      <c r="K244" s="2"/>
      <c r="L244" s="2"/>
      <c r="M244" s="2"/>
      <c r="N244" s="2"/>
      <c r="O244" s="2"/>
      <c r="P244" s="2"/>
      <c r="Q244" s="2"/>
      <c r="R244" s="2"/>
      <c r="S244" s="2"/>
      <c r="T244" s="2"/>
      <c r="U244" s="2"/>
      <c r="V244" s="2"/>
      <c r="W244" s="157"/>
      <c r="X244" s="157"/>
      <c r="Y244" s="157"/>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customHeight="1">
      <c r="A245" s="2"/>
      <c r="B245" s="2"/>
      <c r="C245" s="2"/>
      <c r="D245" s="2"/>
      <c r="E245" s="2"/>
      <c r="F245" s="2"/>
      <c r="G245" s="2"/>
      <c r="H245" s="2"/>
      <c r="I245" s="2"/>
      <c r="J245" s="2"/>
      <c r="K245" s="2"/>
      <c r="L245" s="2"/>
      <c r="M245" s="2"/>
      <c r="N245" s="2"/>
      <c r="O245" s="2"/>
      <c r="P245" s="2"/>
      <c r="Q245" s="2"/>
      <c r="R245" s="2"/>
      <c r="S245" s="2"/>
      <c r="T245" s="2"/>
      <c r="U245" s="2"/>
      <c r="V245" s="2"/>
      <c r="W245" s="157"/>
      <c r="X245" s="157"/>
      <c r="Y245" s="157"/>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customHeight="1">
      <c r="A246" s="2"/>
      <c r="B246" s="2"/>
      <c r="C246" s="2"/>
      <c r="D246" s="2"/>
      <c r="E246" s="2"/>
      <c r="F246" s="2"/>
      <c r="G246" s="2"/>
      <c r="H246" s="2"/>
      <c r="I246" s="2"/>
      <c r="J246" s="2"/>
      <c r="K246" s="2"/>
      <c r="L246" s="2"/>
      <c r="M246" s="2"/>
      <c r="N246" s="2"/>
      <c r="O246" s="2"/>
      <c r="P246" s="2"/>
      <c r="Q246" s="2"/>
      <c r="R246" s="2"/>
      <c r="S246" s="2"/>
      <c r="T246" s="2"/>
      <c r="U246" s="2"/>
      <c r="V246" s="2"/>
      <c r="W246" s="157"/>
      <c r="X246" s="157"/>
      <c r="Y246" s="157"/>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customHeight="1">
      <c r="A247" s="2"/>
      <c r="B247" s="2"/>
      <c r="C247" s="2"/>
      <c r="D247" s="2"/>
      <c r="E247" s="2"/>
      <c r="F247" s="2"/>
      <c r="G247" s="2"/>
      <c r="H247" s="2"/>
      <c r="I247" s="2"/>
      <c r="J247" s="2"/>
      <c r="K247" s="2"/>
      <c r="L247" s="2"/>
      <c r="M247" s="2"/>
      <c r="N247" s="2"/>
      <c r="O247" s="2"/>
      <c r="P247" s="2"/>
      <c r="Q247" s="2"/>
      <c r="R247" s="2"/>
      <c r="S247" s="2"/>
      <c r="T247" s="2"/>
      <c r="U247" s="2"/>
      <c r="V247" s="2"/>
      <c r="W247" s="157"/>
      <c r="X247" s="157"/>
      <c r="Y247" s="157"/>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customHeight="1">
      <c r="A248" s="2"/>
      <c r="B248" s="2"/>
      <c r="C248" s="2"/>
      <c r="D248" s="2"/>
      <c r="E248" s="2"/>
      <c r="F248" s="2"/>
      <c r="G248" s="2"/>
      <c r="H248" s="2"/>
      <c r="I248" s="2"/>
      <c r="J248" s="2"/>
      <c r="K248" s="2"/>
      <c r="L248" s="2"/>
      <c r="M248" s="2"/>
      <c r="N248" s="2"/>
      <c r="O248" s="2"/>
      <c r="P248" s="2"/>
      <c r="Q248" s="2"/>
      <c r="R248" s="2"/>
      <c r="S248" s="2"/>
      <c r="T248" s="2"/>
      <c r="U248" s="2"/>
      <c r="V248" s="2"/>
      <c r="W248" s="157"/>
      <c r="X248" s="157"/>
      <c r="Y248" s="157"/>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customHeight="1">
      <c r="A249" s="2"/>
      <c r="B249" s="2"/>
      <c r="C249" s="2"/>
      <c r="D249" s="2"/>
      <c r="E249" s="2"/>
      <c r="F249" s="2"/>
      <c r="G249" s="2"/>
      <c r="H249" s="2"/>
      <c r="I249" s="2"/>
      <c r="J249" s="2"/>
      <c r="K249" s="2"/>
      <c r="L249" s="2"/>
      <c r="M249" s="2"/>
      <c r="N249" s="2"/>
      <c r="O249" s="2"/>
      <c r="P249" s="2"/>
      <c r="Q249" s="2"/>
      <c r="R249" s="2"/>
      <c r="S249" s="2"/>
      <c r="T249" s="2"/>
      <c r="U249" s="2"/>
      <c r="V249" s="2"/>
      <c r="W249" s="157"/>
      <c r="X249" s="157"/>
      <c r="Y249" s="157"/>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customHeight="1">
      <c r="A250" s="2"/>
      <c r="B250" s="2"/>
      <c r="C250" s="2"/>
      <c r="D250" s="2"/>
      <c r="E250" s="2"/>
      <c r="F250" s="2"/>
      <c r="G250" s="2"/>
      <c r="H250" s="2"/>
      <c r="I250" s="2"/>
      <c r="J250" s="2"/>
      <c r="K250" s="2"/>
      <c r="L250" s="2"/>
      <c r="M250" s="2"/>
      <c r="N250" s="2"/>
      <c r="O250" s="2"/>
      <c r="P250" s="2"/>
      <c r="Q250" s="2"/>
      <c r="R250" s="2"/>
      <c r="S250" s="2"/>
      <c r="T250" s="2"/>
      <c r="U250" s="2"/>
      <c r="V250" s="2"/>
      <c r="W250" s="157"/>
      <c r="X250" s="157"/>
      <c r="Y250" s="157"/>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customHeight="1">
      <c r="A251" s="2"/>
      <c r="B251" s="2"/>
      <c r="C251" s="2"/>
      <c r="D251" s="2"/>
      <c r="E251" s="2"/>
      <c r="F251" s="2"/>
      <c r="G251" s="2"/>
      <c r="H251" s="2"/>
      <c r="I251" s="2"/>
      <c r="J251" s="2"/>
      <c r="K251" s="2"/>
      <c r="L251" s="2"/>
      <c r="M251" s="2"/>
      <c r="N251" s="2"/>
      <c r="O251" s="2"/>
      <c r="P251" s="2"/>
      <c r="Q251" s="2"/>
      <c r="R251" s="2"/>
      <c r="S251" s="2"/>
      <c r="T251" s="2"/>
      <c r="U251" s="2"/>
      <c r="V251" s="2"/>
      <c r="W251" s="157"/>
      <c r="X251" s="157"/>
      <c r="Y251" s="157"/>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customHeight="1">
      <c r="A252" s="2"/>
      <c r="B252" s="2"/>
      <c r="C252" s="2"/>
      <c r="D252" s="2"/>
      <c r="E252" s="2"/>
      <c r="F252" s="2"/>
      <c r="G252" s="2"/>
      <c r="H252" s="2"/>
      <c r="I252" s="2"/>
      <c r="J252" s="2"/>
      <c r="K252" s="2"/>
      <c r="L252" s="2"/>
      <c r="M252" s="2"/>
      <c r="N252" s="2"/>
      <c r="O252" s="2"/>
      <c r="P252" s="2"/>
      <c r="Q252" s="2"/>
      <c r="R252" s="2"/>
      <c r="S252" s="2"/>
      <c r="T252" s="2"/>
      <c r="U252" s="2"/>
      <c r="V252" s="2"/>
      <c r="W252" s="157"/>
      <c r="X252" s="157"/>
      <c r="Y252" s="157"/>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customHeight="1">
      <c r="A253" s="2"/>
      <c r="B253" s="2"/>
      <c r="C253" s="2"/>
      <c r="D253" s="2"/>
      <c r="E253" s="2"/>
      <c r="F253" s="2"/>
      <c r="G253" s="2"/>
      <c r="H253" s="2"/>
      <c r="I253" s="2"/>
      <c r="J253" s="2"/>
      <c r="K253" s="2"/>
      <c r="L253" s="2"/>
      <c r="M253" s="2"/>
      <c r="N253" s="2"/>
      <c r="O253" s="2"/>
      <c r="P253" s="2"/>
      <c r="Q253" s="2"/>
      <c r="R253" s="2"/>
      <c r="S253" s="2"/>
      <c r="T253" s="2"/>
      <c r="U253" s="2"/>
      <c r="V253" s="2"/>
      <c r="W253" s="157"/>
      <c r="X253" s="157"/>
      <c r="Y253" s="157"/>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customHeight="1">
      <c r="A254" s="2"/>
      <c r="B254" s="2"/>
      <c r="C254" s="2"/>
      <c r="D254" s="2"/>
      <c r="E254" s="2"/>
      <c r="F254" s="2"/>
      <c r="G254" s="2"/>
      <c r="H254" s="2"/>
      <c r="I254" s="2"/>
      <c r="J254" s="2"/>
      <c r="K254" s="2"/>
      <c r="L254" s="2"/>
      <c r="M254" s="2"/>
      <c r="N254" s="2"/>
      <c r="O254" s="2"/>
      <c r="P254" s="2"/>
      <c r="Q254" s="2"/>
      <c r="R254" s="2"/>
      <c r="S254" s="2"/>
      <c r="T254" s="2"/>
      <c r="U254" s="2"/>
      <c r="V254" s="2"/>
      <c r="W254" s="157"/>
      <c r="X254" s="157"/>
      <c r="Y254" s="157"/>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customHeight="1">
      <c r="A255" s="2"/>
      <c r="B255" s="2"/>
      <c r="C255" s="2"/>
      <c r="D255" s="2"/>
      <c r="E255" s="2"/>
      <c r="F255" s="2"/>
      <c r="G255" s="2"/>
      <c r="H255" s="2"/>
      <c r="I255" s="2"/>
      <c r="J255" s="2"/>
      <c r="K255" s="2"/>
      <c r="L255" s="2"/>
      <c r="M255" s="2"/>
      <c r="N255" s="2"/>
      <c r="O255" s="2"/>
      <c r="P255" s="2"/>
      <c r="Q255" s="2"/>
      <c r="R255" s="2"/>
      <c r="S255" s="2"/>
      <c r="T255" s="2"/>
      <c r="U255" s="2"/>
      <c r="V255" s="2"/>
      <c r="W255" s="157"/>
      <c r="X255" s="157"/>
      <c r="Y255" s="157"/>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customHeight="1">
      <c r="A256" s="2"/>
      <c r="B256" s="2"/>
      <c r="C256" s="2"/>
      <c r="D256" s="2"/>
      <c r="E256" s="2"/>
      <c r="F256" s="2"/>
      <c r="G256" s="2"/>
      <c r="H256" s="2"/>
      <c r="I256" s="2"/>
      <c r="J256" s="2"/>
      <c r="K256" s="2"/>
      <c r="L256" s="2"/>
      <c r="M256" s="2"/>
      <c r="N256" s="2"/>
      <c r="O256" s="2"/>
      <c r="P256" s="2"/>
      <c r="Q256" s="2"/>
      <c r="R256" s="2"/>
      <c r="S256" s="2"/>
      <c r="T256" s="2"/>
      <c r="U256" s="2"/>
      <c r="V256" s="2"/>
      <c r="W256" s="157"/>
      <c r="X256" s="157"/>
      <c r="Y256" s="157"/>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customHeight="1">
      <c r="A257" s="2"/>
      <c r="B257" s="2"/>
      <c r="C257" s="2"/>
      <c r="D257" s="2"/>
      <c r="E257" s="2"/>
      <c r="F257" s="2"/>
      <c r="G257" s="2"/>
      <c r="H257" s="2"/>
      <c r="I257" s="2"/>
      <c r="J257" s="2"/>
      <c r="K257" s="2"/>
      <c r="L257" s="2"/>
      <c r="M257" s="2"/>
      <c r="N257" s="2"/>
      <c r="O257" s="2"/>
      <c r="P257" s="2"/>
      <c r="Q257" s="2"/>
      <c r="R257" s="2"/>
      <c r="S257" s="2"/>
      <c r="T257" s="2"/>
      <c r="U257" s="2"/>
      <c r="V257" s="2"/>
      <c r="W257" s="157"/>
      <c r="X257" s="157"/>
      <c r="Y257" s="157"/>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customHeight="1">
      <c r="A258" s="2"/>
      <c r="B258" s="2"/>
      <c r="C258" s="2"/>
      <c r="D258" s="2"/>
      <c r="E258" s="2"/>
      <c r="F258" s="2"/>
      <c r="G258" s="2"/>
      <c r="H258" s="2"/>
      <c r="I258" s="2"/>
      <c r="J258" s="2"/>
      <c r="K258" s="2"/>
      <c r="L258" s="2"/>
      <c r="M258" s="2"/>
      <c r="N258" s="2"/>
      <c r="O258" s="2"/>
      <c r="P258" s="2"/>
      <c r="Q258" s="2"/>
      <c r="R258" s="2"/>
      <c r="S258" s="2"/>
      <c r="T258" s="2"/>
      <c r="U258" s="2"/>
      <c r="V258" s="2"/>
      <c r="W258" s="157"/>
      <c r="X258" s="157"/>
      <c r="Y258" s="157"/>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customHeight="1">
      <c r="A259" s="2"/>
      <c r="B259" s="2"/>
      <c r="C259" s="2"/>
      <c r="D259" s="2"/>
      <c r="E259" s="2"/>
      <c r="F259" s="2"/>
      <c r="G259" s="2"/>
      <c r="H259" s="2"/>
      <c r="I259" s="2"/>
      <c r="J259" s="2"/>
      <c r="K259" s="2"/>
      <c r="L259" s="2"/>
      <c r="M259" s="2"/>
      <c r="N259" s="2"/>
      <c r="O259" s="2"/>
      <c r="P259" s="2"/>
      <c r="Q259" s="2"/>
      <c r="R259" s="2"/>
      <c r="S259" s="2"/>
      <c r="T259" s="2"/>
      <c r="U259" s="2"/>
      <c r="V259" s="2"/>
      <c r="W259" s="157"/>
      <c r="X259" s="157"/>
      <c r="Y259" s="157"/>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customHeight="1">
      <c r="A260" s="2"/>
      <c r="B260" s="2"/>
      <c r="C260" s="2"/>
      <c r="D260" s="2"/>
      <c r="E260" s="2"/>
      <c r="F260" s="2"/>
      <c r="G260" s="2"/>
      <c r="H260" s="2"/>
      <c r="I260" s="2"/>
      <c r="J260" s="2"/>
      <c r="K260" s="2"/>
      <c r="L260" s="2"/>
      <c r="M260" s="2"/>
      <c r="N260" s="2"/>
      <c r="O260" s="2"/>
      <c r="P260" s="2"/>
      <c r="Q260" s="2"/>
      <c r="R260" s="2"/>
      <c r="S260" s="2"/>
      <c r="T260" s="2"/>
      <c r="U260" s="2"/>
      <c r="V260" s="2"/>
      <c r="W260" s="157"/>
      <c r="X260" s="157"/>
      <c r="Y260" s="157"/>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customHeight="1">
      <c r="A261" s="2"/>
      <c r="B261" s="2"/>
      <c r="C261" s="2"/>
      <c r="D261" s="2"/>
      <c r="E261" s="2"/>
      <c r="F261" s="2"/>
      <c r="G261" s="2"/>
      <c r="H261" s="2"/>
      <c r="I261" s="2"/>
      <c r="J261" s="2"/>
      <c r="K261" s="2"/>
      <c r="L261" s="2"/>
      <c r="M261" s="2"/>
      <c r="N261" s="2"/>
      <c r="O261" s="2"/>
      <c r="P261" s="2"/>
      <c r="Q261" s="2"/>
      <c r="R261" s="2"/>
      <c r="S261" s="2"/>
      <c r="T261" s="2"/>
      <c r="U261" s="2"/>
      <c r="V261" s="2"/>
      <c r="W261" s="157"/>
      <c r="X261" s="157"/>
      <c r="Y261" s="157"/>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customHeight="1">
      <c r="A262" s="2"/>
      <c r="B262" s="2"/>
      <c r="C262" s="2"/>
      <c r="D262" s="2"/>
      <c r="E262" s="2"/>
      <c r="F262" s="2"/>
      <c r="G262" s="2"/>
      <c r="H262" s="2"/>
      <c r="I262" s="2"/>
      <c r="J262" s="2"/>
      <c r="K262" s="2"/>
      <c r="L262" s="2"/>
      <c r="M262" s="2"/>
      <c r="N262" s="2"/>
      <c r="O262" s="2"/>
      <c r="P262" s="2"/>
      <c r="Q262" s="2"/>
      <c r="R262" s="2"/>
      <c r="S262" s="2"/>
      <c r="T262" s="2"/>
      <c r="U262" s="2"/>
      <c r="V262" s="2"/>
      <c r="W262" s="157"/>
      <c r="X262" s="157"/>
      <c r="Y262" s="157"/>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customHeight="1">
      <c r="A263" s="2"/>
      <c r="B263" s="2"/>
      <c r="C263" s="2"/>
      <c r="D263" s="2"/>
      <c r="E263" s="2"/>
      <c r="F263" s="2"/>
      <c r="G263" s="2"/>
      <c r="H263" s="2"/>
      <c r="I263" s="2"/>
      <c r="J263" s="2"/>
      <c r="K263" s="2"/>
      <c r="L263" s="2"/>
      <c r="M263" s="2"/>
      <c r="N263" s="2"/>
      <c r="O263" s="2"/>
      <c r="P263" s="2"/>
      <c r="Q263" s="2"/>
      <c r="R263" s="2"/>
      <c r="S263" s="2"/>
      <c r="T263" s="2"/>
      <c r="U263" s="2"/>
      <c r="V263" s="2"/>
      <c r="W263" s="157"/>
      <c r="X263" s="157"/>
      <c r="Y263" s="157"/>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customHeight="1">
      <c r="A264" s="2"/>
      <c r="B264" s="2"/>
      <c r="C264" s="2"/>
      <c r="D264" s="2"/>
      <c r="E264" s="2"/>
      <c r="F264" s="2"/>
      <c r="G264" s="2"/>
      <c r="H264" s="2"/>
      <c r="I264" s="2"/>
      <c r="J264" s="2"/>
      <c r="K264" s="2"/>
      <c r="L264" s="2"/>
      <c r="M264" s="2"/>
      <c r="N264" s="2"/>
      <c r="O264" s="2"/>
      <c r="P264" s="2"/>
      <c r="Q264" s="2"/>
      <c r="R264" s="2"/>
      <c r="S264" s="2"/>
      <c r="T264" s="2"/>
      <c r="U264" s="2"/>
      <c r="V264" s="2"/>
      <c r="W264" s="157"/>
      <c r="X264" s="157"/>
      <c r="Y264" s="157"/>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customHeight="1">
      <c r="A265" s="2"/>
      <c r="B265" s="2"/>
      <c r="C265" s="2"/>
      <c r="D265" s="2"/>
      <c r="E265" s="2"/>
      <c r="F265" s="2"/>
      <c r="G265" s="2"/>
      <c r="H265" s="2"/>
      <c r="I265" s="2"/>
      <c r="J265" s="2"/>
      <c r="K265" s="2"/>
      <c r="L265" s="2"/>
      <c r="M265" s="2"/>
      <c r="N265" s="2"/>
      <c r="O265" s="2"/>
      <c r="P265" s="2"/>
      <c r="Q265" s="2"/>
      <c r="R265" s="2"/>
      <c r="S265" s="2"/>
      <c r="T265" s="2"/>
      <c r="U265" s="2"/>
      <c r="V265" s="2"/>
      <c r="W265" s="157"/>
      <c r="X265" s="157"/>
      <c r="Y265" s="157"/>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customHeight="1">
      <c r="A266" s="2"/>
      <c r="B266" s="2"/>
      <c r="C266" s="2"/>
      <c r="D266" s="2"/>
      <c r="E266" s="2"/>
      <c r="F266" s="2"/>
      <c r="G266" s="2"/>
      <c r="H266" s="2"/>
      <c r="I266" s="2"/>
      <c r="J266" s="2"/>
      <c r="K266" s="2"/>
      <c r="L266" s="2"/>
      <c r="M266" s="2"/>
      <c r="N266" s="2"/>
      <c r="O266" s="2"/>
      <c r="P266" s="2"/>
      <c r="Q266" s="2"/>
      <c r="R266" s="2"/>
      <c r="S266" s="2"/>
      <c r="T266" s="2"/>
      <c r="U266" s="2"/>
      <c r="V266" s="2"/>
      <c r="W266" s="157"/>
      <c r="X266" s="157"/>
      <c r="Y266" s="157"/>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customHeight="1">
      <c r="A267" s="2"/>
      <c r="B267" s="2"/>
      <c r="C267" s="2"/>
      <c r="D267" s="2"/>
      <c r="E267" s="2"/>
      <c r="F267" s="2"/>
      <c r="G267" s="2"/>
      <c r="H267" s="2"/>
      <c r="I267" s="2"/>
      <c r="J267" s="2"/>
      <c r="K267" s="2"/>
      <c r="L267" s="2"/>
      <c r="M267" s="2"/>
      <c r="N267" s="2"/>
      <c r="O267" s="2"/>
      <c r="P267" s="2"/>
      <c r="Q267" s="2"/>
      <c r="R267" s="2"/>
      <c r="S267" s="2"/>
      <c r="T267" s="2"/>
      <c r="U267" s="2"/>
      <c r="V267" s="2"/>
      <c r="W267" s="157"/>
      <c r="X267" s="157"/>
      <c r="Y267" s="157"/>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customHeight="1">
      <c r="A268" s="2"/>
      <c r="B268" s="2"/>
      <c r="C268" s="2"/>
      <c r="D268" s="2"/>
      <c r="E268" s="2"/>
      <c r="F268" s="2"/>
      <c r="G268" s="2"/>
      <c r="H268" s="2"/>
      <c r="I268" s="2"/>
      <c r="J268" s="2"/>
      <c r="K268" s="2"/>
      <c r="L268" s="2"/>
      <c r="M268" s="2"/>
      <c r="N268" s="2"/>
      <c r="O268" s="2"/>
      <c r="P268" s="2"/>
      <c r="Q268" s="2"/>
      <c r="R268" s="2"/>
      <c r="S268" s="2"/>
      <c r="T268" s="2"/>
      <c r="U268" s="2"/>
      <c r="V268" s="2"/>
      <c r="W268" s="157"/>
      <c r="X268" s="157"/>
      <c r="Y268" s="157"/>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customHeight="1">
      <c r="A269" s="2"/>
      <c r="B269" s="2"/>
      <c r="C269" s="2"/>
      <c r="D269" s="2"/>
      <c r="E269" s="2"/>
      <c r="F269" s="2"/>
      <c r="G269" s="2"/>
      <c r="H269" s="2"/>
      <c r="I269" s="2"/>
      <c r="J269" s="2"/>
      <c r="K269" s="2"/>
      <c r="L269" s="2"/>
      <c r="M269" s="2"/>
      <c r="N269" s="2"/>
      <c r="O269" s="2"/>
      <c r="P269" s="2"/>
      <c r="Q269" s="2"/>
      <c r="R269" s="2"/>
      <c r="S269" s="2"/>
      <c r="T269" s="2"/>
      <c r="U269" s="2"/>
      <c r="V269" s="2"/>
      <c r="W269" s="157"/>
      <c r="X269" s="157"/>
      <c r="Y269" s="157"/>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customHeight="1">
      <c r="A270" s="2"/>
      <c r="B270" s="2"/>
      <c r="C270" s="2"/>
      <c r="D270" s="2"/>
      <c r="E270" s="2"/>
      <c r="F270" s="2"/>
      <c r="G270" s="2"/>
      <c r="H270" s="2"/>
      <c r="I270" s="2"/>
      <c r="J270" s="2"/>
      <c r="K270" s="2"/>
      <c r="L270" s="2"/>
      <c r="M270" s="2"/>
      <c r="N270" s="2"/>
      <c r="O270" s="2"/>
      <c r="P270" s="2"/>
      <c r="Q270" s="2"/>
      <c r="R270" s="2"/>
      <c r="S270" s="2"/>
      <c r="T270" s="2"/>
      <c r="U270" s="2"/>
      <c r="V270" s="2"/>
      <c r="W270" s="157"/>
      <c r="X270" s="157"/>
      <c r="Y270" s="157"/>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customHeight="1">
      <c r="A271" s="2"/>
      <c r="B271" s="2"/>
      <c r="C271" s="2"/>
      <c r="D271" s="2"/>
      <c r="E271" s="2"/>
      <c r="F271" s="2"/>
      <c r="G271" s="2"/>
      <c r="H271" s="2"/>
      <c r="I271" s="2"/>
      <c r="J271" s="2"/>
      <c r="K271" s="2"/>
      <c r="L271" s="2"/>
      <c r="M271" s="2"/>
      <c r="N271" s="2"/>
      <c r="O271" s="2"/>
      <c r="P271" s="2"/>
      <c r="Q271" s="2"/>
      <c r="R271" s="2"/>
      <c r="S271" s="2"/>
      <c r="T271" s="2"/>
      <c r="U271" s="2"/>
      <c r="V271" s="2"/>
      <c r="W271" s="157"/>
      <c r="X271" s="157"/>
      <c r="Y271" s="157"/>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customHeight="1">
      <c r="A272" s="2"/>
      <c r="B272" s="2"/>
      <c r="C272" s="2"/>
      <c r="D272" s="2"/>
      <c r="E272" s="2"/>
      <c r="F272" s="2"/>
      <c r="G272" s="2"/>
      <c r="H272" s="2"/>
      <c r="I272" s="2"/>
      <c r="J272" s="2"/>
      <c r="K272" s="2"/>
      <c r="L272" s="2"/>
      <c r="M272" s="2"/>
      <c r="N272" s="2"/>
      <c r="O272" s="2"/>
      <c r="P272" s="2"/>
      <c r="Q272" s="2"/>
      <c r="R272" s="2"/>
      <c r="S272" s="2"/>
      <c r="T272" s="2"/>
      <c r="U272" s="2"/>
      <c r="V272" s="2"/>
      <c r="W272" s="157"/>
      <c r="X272" s="157"/>
      <c r="Y272" s="157"/>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customHeight="1">
      <c r="A273" s="2"/>
      <c r="B273" s="2"/>
      <c r="C273" s="2"/>
      <c r="D273" s="2"/>
      <c r="E273" s="2"/>
      <c r="F273" s="2"/>
      <c r="G273" s="2"/>
      <c r="H273" s="2"/>
      <c r="I273" s="2"/>
      <c r="J273" s="2"/>
      <c r="K273" s="2"/>
      <c r="L273" s="2"/>
      <c r="M273" s="2"/>
      <c r="N273" s="2"/>
      <c r="O273" s="2"/>
      <c r="P273" s="2"/>
      <c r="Q273" s="2"/>
      <c r="R273" s="2"/>
      <c r="S273" s="2"/>
      <c r="T273" s="2"/>
      <c r="U273" s="2"/>
      <c r="V273" s="2"/>
      <c r="W273" s="157"/>
      <c r="X273" s="157"/>
      <c r="Y273" s="157"/>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customHeight="1">
      <c r="A274" s="2"/>
      <c r="B274" s="2"/>
      <c r="C274" s="2"/>
      <c r="D274" s="2"/>
      <c r="E274" s="2"/>
      <c r="F274" s="2"/>
      <c r="G274" s="2"/>
      <c r="H274" s="2"/>
      <c r="I274" s="2"/>
      <c r="J274" s="2"/>
      <c r="K274" s="2"/>
      <c r="L274" s="2"/>
      <c r="M274" s="2"/>
      <c r="N274" s="2"/>
      <c r="O274" s="2"/>
      <c r="P274" s="2"/>
      <c r="Q274" s="2"/>
      <c r="R274" s="2"/>
      <c r="S274" s="2"/>
      <c r="T274" s="2"/>
      <c r="U274" s="2"/>
      <c r="V274" s="2"/>
      <c r="W274" s="157"/>
      <c r="X274" s="157"/>
      <c r="Y274" s="157"/>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customHeight="1">
      <c r="A275" s="2"/>
      <c r="B275" s="2"/>
      <c r="C275" s="2"/>
      <c r="D275" s="2"/>
      <c r="E275" s="2"/>
      <c r="F275" s="2"/>
      <c r="G275" s="2"/>
      <c r="H275" s="2"/>
      <c r="I275" s="2"/>
      <c r="J275" s="2"/>
      <c r="K275" s="2"/>
      <c r="L275" s="2"/>
      <c r="M275" s="2"/>
      <c r="N275" s="2"/>
      <c r="O275" s="2"/>
      <c r="P275" s="2"/>
      <c r="Q275" s="2"/>
      <c r="R275" s="2"/>
      <c r="S275" s="2"/>
      <c r="T275" s="2"/>
      <c r="U275" s="2"/>
      <c r="V275" s="2"/>
      <c r="W275" s="157"/>
      <c r="X275" s="157"/>
      <c r="Y275" s="157"/>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customHeight="1">
      <c r="A276" s="2"/>
      <c r="B276" s="2"/>
      <c r="C276" s="2"/>
      <c r="D276" s="2"/>
      <c r="E276" s="2"/>
      <c r="F276" s="2"/>
      <c r="G276" s="2"/>
      <c r="H276" s="2"/>
      <c r="I276" s="2"/>
      <c r="J276" s="2"/>
      <c r="K276" s="2"/>
      <c r="L276" s="2"/>
      <c r="M276" s="2"/>
      <c r="N276" s="2"/>
      <c r="O276" s="2"/>
      <c r="P276" s="2"/>
      <c r="Q276" s="2"/>
      <c r="R276" s="2"/>
      <c r="S276" s="2"/>
      <c r="T276" s="2"/>
      <c r="U276" s="2"/>
      <c r="V276" s="2"/>
      <c r="W276" s="157"/>
      <c r="X276" s="157"/>
      <c r="Y276" s="157"/>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customHeight="1">
      <c r="A277" s="2"/>
      <c r="B277" s="2"/>
      <c r="C277" s="2"/>
      <c r="D277" s="2"/>
      <c r="E277" s="2"/>
      <c r="F277" s="2"/>
      <c r="G277" s="2"/>
      <c r="H277" s="2"/>
      <c r="I277" s="2"/>
      <c r="J277" s="2"/>
      <c r="K277" s="2"/>
      <c r="L277" s="2"/>
      <c r="M277" s="2"/>
      <c r="N277" s="2"/>
      <c r="O277" s="2"/>
      <c r="P277" s="2"/>
      <c r="Q277" s="2"/>
      <c r="R277" s="2"/>
      <c r="S277" s="2"/>
      <c r="T277" s="2"/>
      <c r="U277" s="2"/>
      <c r="V277" s="2"/>
      <c r="W277" s="157"/>
      <c r="X277" s="157"/>
      <c r="Y277" s="157"/>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customHeight="1">
      <c r="A278" s="2"/>
      <c r="B278" s="2"/>
      <c r="C278" s="2"/>
      <c r="D278" s="2"/>
      <c r="E278" s="2"/>
      <c r="F278" s="2"/>
      <c r="G278" s="2"/>
      <c r="H278" s="2"/>
      <c r="I278" s="2"/>
      <c r="J278" s="2"/>
      <c r="K278" s="2"/>
      <c r="L278" s="2"/>
      <c r="M278" s="2"/>
      <c r="N278" s="2"/>
      <c r="O278" s="2"/>
      <c r="P278" s="2"/>
      <c r="Q278" s="2"/>
      <c r="R278" s="2"/>
      <c r="S278" s="2"/>
      <c r="T278" s="2"/>
      <c r="U278" s="2"/>
      <c r="V278" s="2"/>
      <c r="W278" s="157"/>
      <c r="X278" s="157"/>
      <c r="Y278" s="157"/>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customHeight="1">
      <c r="A279" s="2"/>
      <c r="B279" s="2"/>
      <c r="C279" s="2"/>
      <c r="D279" s="2"/>
      <c r="E279" s="2"/>
      <c r="F279" s="2"/>
      <c r="G279" s="2"/>
      <c r="H279" s="2"/>
      <c r="I279" s="2"/>
      <c r="J279" s="2"/>
      <c r="K279" s="2"/>
      <c r="L279" s="2"/>
      <c r="M279" s="2"/>
      <c r="N279" s="2"/>
      <c r="O279" s="2"/>
      <c r="P279" s="2"/>
      <c r="Q279" s="2"/>
      <c r="R279" s="2"/>
      <c r="S279" s="2"/>
      <c r="T279" s="2"/>
      <c r="U279" s="2"/>
      <c r="V279" s="2"/>
      <c r="W279" s="157"/>
      <c r="X279" s="157"/>
      <c r="Y279" s="157"/>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customHeight="1">
      <c r="A280" s="2"/>
      <c r="B280" s="2"/>
      <c r="C280" s="2"/>
      <c r="D280" s="2"/>
      <c r="E280" s="2"/>
      <c r="F280" s="2"/>
      <c r="G280" s="2"/>
      <c r="H280" s="2"/>
      <c r="I280" s="2"/>
      <c r="J280" s="2"/>
      <c r="K280" s="2"/>
      <c r="L280" s="2"/>
      <c r="M280" s="2"/>
      <c r="N280" s="2"/>
      <c r="O280" s="2"/>
      <c r="P280" s="2"/>
      <c r="Q280" s="2"/>
      <c r="R280" s="2"/>
      <c r="S280" s="2"/>
      <c r="T280" s="2"/>
      <c r="U280" s="2"/>
      <c r="V280" s="2"/>
      <c r="W280" s="157"/>
      <c r="X280" s="157"/>
      <c r="Y280" s="157"/>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customHeight="1">
      <c r="A281" s="2"/>
      <c r="B281" s="2"/>
      <c r="C281" s="2"/>
      <c r="D281" s="2"/>
      <c r="E281" s="2"/>
      <c r="F281" s="2"/>
      <c r="G281" s="2"/>
      <c r="H281" s="2"/>
      <c r="I281" s="2"/>
      <c r="J281" s="2"/>
      <c r="K281" s="2"/>
      <c r="L281" s="2"/>
      <c r="M281" s="2"/>
      <c r="N281" s="2"/>
      <c r="O281" s="2"/>
      <c r="P281" s="2"/>
      <c r="Q281" s="2"/>
      <c r="R281" s="2"/>
      <c r="S281" s="2"/>
      <c r="T281" s="2"/>
      <c r="U281" s="2"/>
      <c r="V281" s="2"/>
      <c r="W281" s="157"/>
      <c r="X281" s="157"/>
      <c r="Y281" s="157"/>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customHeight="1">
      <c r="A282" s="2"/>
      <c r="B282" s="2"/>
      <c r="C282" s="2"/>
      <c r="D282" s="2"/>
      <c r="E282" s="2"/>
      <c r="F282" s="2"/>
      <c r="G282" s="2"/>
      <c r="H282" s="2"/>
      <c r="I282" s="2"/>
      <c r="J282" s="2"/>
      <c r="K282" s="2"/>
      <c r="L282" s="2"/>
      <c r="M282" s="2"/>
      <c r="N282" s="2"/>
      <c r="O282" s="2"/>
      <c r="P282" s="2"/>
      <c r="Q282" s="2"/>
      <c r="R282" s="2"/>
      <c r="S282" s="2"/>
      <c r="T282" s="2"/>
      <c r="U282" s="2"/>
      <c r="V282" s="2"/>
      <c r="W282" s="157"/>
      <c r="X282" s="157"/>
      <c r="Y282" s="157"/>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customHeight="1">
      <c r="A283" s="2"/>
      <c r="B283" s="2"/>
      <c r="C283" s="2"/>
      <c r="D283" s="2"/>
      <c r="E283" s="2"/>
      <c r="F283" s="2"/>
      <c r="G283" s="2"/>
      <c r="H283" s="2"/>
      <c r="I283" s="2"/>
      <c r="J283" s="2"/>
      <c r="K283" s="2"/>
      <c r="L283" s="2"/>
      <c r="M283" s="2"/>
      <c r="N283" s="2"/>
      <c r="O283" s="2"/>
      <c r="P283" s="2"/>
      <c r="Q283" s="2"/>
      <c r="R283" s="2"/>
      <c r="S283" s="2"/>
      <c r="T283" s="2"/>
      <c r="U283" s="2"/>
      <c r="V283" s="2"/>
      <c r="W283" s="157"/>
      <c r="X283" s="157"/>
      <c r="Y283" s="157"/>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customHeight="1">
      <c r="A284" s="2"/>
      <c r="B284" s="2"/>
      <c r="C284" s="2"/>
      <c r="D284" s="2"/>
      <c r="E284" s="2"/>
      <c r="F284" s="2"/>
      <c r="G284" s="2"/>
      <c r="H284" s="2"/>
      <c r="I284" s="2"/>
      <c r="J284" s="2"/>
      <c r="K284" s="2"/>
      <c r="L284" s="2"/>
      <c r="M284" s="2"/>
      <c r="N284" s="2"/>
      <c r="O284" s="2"/>
      <c r="P284" s="2"/>
      <c r="Q284" s="2"/>
      <c r="R284" s="2"/>
      <c r="S284" s="2"/>
      <c r="T284" s="2"/>
      <c r="U284" s="2"/>
      <c r="V284" s="2"/>
      <c r="W284" s="157"/>
      <c r="X284" s="157"/>
      <c r="Y284" s="157"/>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customHeight="1">
      <c r="A285" s="2"/>
      <c r="B285" s="2"/>
      <c r="C285" s="2"/>
      <c r="D285" s="2"/>
      <c r="E285" s="2"/>
      <c r="F285" s="2"/>
      <c r="G285" s="2"/>
      <c r="H285" s="2"/>
      <c r="I285" s="2"/>
      <c r="J285" s="2"/>
      <c r="K285" s="2"/>
      <c r="L285" s="2"/>
      <c r="M285" s="2"/>
      <c r="N285" s="2"/>
      <c r="O285" s="2"/>
      <c r="P285" s="2"/>
      <c r="Q285" s="2"/>
      <c r="R285" s="2"/>
      <c r="S285" s="2"/>
      <c r="T285" s="2"/>
      <c r="U285" s="2"/>
      <c r="V285" s="2"/>
      <c r="W285" s="157"/>
      <c r="X285" s="157"/>
      <c r="Y285" s="157"/>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customHeight="1">
      <c r="A286" s="2"/>
      <c r="B286" s="2"/>
      <c r="C286" s="2"/>
      <c r="D286" s="2"/>
      <c r="E286" s="2"/>
      <c r="F286" s="2"/>
      <c r="G286" s="2"/>
      <c r="H286" s="2"/>
      <c r="I286" s="2"/>
      <c r="J286" s="2"/>
      <c r="K286" s="2"/>
      <c r="L286" s="2"/>
      <c r="M286" s="2"/>
      <c r="N286" s="2"/>
      <c r="O286" s="2"/>
      <c r="P286" s="2"/>
      <c r="Q286" s="2"/>
      <c r="R286" s="2"/>
      <c r="S286" s="2"/>
      <c r="T286" s="2"/>
      <c r="U286" s="2"/>
      <c r="V286" s="2"/>
      <c r="W286" s="157"/>
      <c r="X286" s="157"/>
      <c r="Y286" s="157"/>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customHeight="1">
      <c r="A287" s="2"/>
      <c r="B287" s="2"/>
      <c r="C287" s="2"/>
      <c r="D287" s="2"/>
      <c r="E287" s="2"/>
      <c r="F287" s="2"/>
      <c r="G287" s="2"/>
      <c r="H287" s="2"/>
      <c r="I287" s="2"/>
      <c r="J287" s="2"/>
      <c r="K287" s="2"/>
      <c r="L287" s="2"/>
      <c r="M287" s="2"/>
      <c r="N287" s="2"/>
      <c r="O287" s="2"/>
      <c r="P287" s="2"/>
      <c r="Q287" s="2"/>
      <c r="R287" s="2"/>
      <c r="S287" s="2"/>
      <c r="T287" s="2"/>
      <c r="U287" s="2"/>
      <c r="V287" s="2"/>
      <c r="W287" s="157"/>
      <c r="X287" s="157"/>
      <c r="Y287" s="157"/>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customHeight="1">
      <c r="A288" s="2"/>
      <c r="B288" s="2"/>
      <c r="C288" s="2"/>
      <c r="D288" s="2"/>
      <c r="E288" s="2"/>
      <c r="F288" s="2"/>
      <c r="G288" s="2"/>
      <c r="H288" s="2"/>
      <c r="I288" s="2"/>
      <c r="J288" s="2"/>
      <c r="K288" s="2"/>
      <c r="L288" s="2"/>
      <c r="M288" s="2"/>
      <c r="N288" s="2"/>
      <c r="O288" s="2"/>
      <c r="P288" s="2"/>
      <c r="Q288" s="2"/>
      <c r="R288" s="2"/>
      <c r="S288" s="2"/>
      <c r="T288" s="2"/>
      <c r="U288" s="2"/>
      <c r="V288" s="2"/>
      <c r="W288" s="157"/>
      <c r="X288" s="157"/>
      <c r="Y288" s="157"/>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customHeight="1">
      <c r="A289" s="2"/>
      <c r="B289" s="2"/>
      <c r="C289" s="2"/>
      <c r="D289" s="2"/>
      <c r="E289" s="2"/>
      <c r="F289" s="2"/>
      <c r="G289" s="2"/>
      <c r="H289" s="2"/>
      <c r="I289" s="2"/>
      <c r="J289" s="2"/>
      <c r="K289" s="2"/>
      <c r="L289" s="2"/>
      <c r="M289" s="2"/>
      <c r="N289" s="2"/>
      <c r="O289" s="2"/>
      <c r="P289" s="2"/>
      <c r="Q289" s="2"/>
      <c r="R289" s="2"/>
      <c r="S289" s="2"/>
      <c r="T289" s="2"/>
      <c r="U289" s="2"/>
      <c r="V289" s="2"/>
      <c r="W289" s="157"/>
      <c r="X289" s="157"/>
      <c r="Y289" s="157"/>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customHeight="1">
      <c r="A290" s="2"/>
      <c r="B290" s="2"/>
      <c r="C290" s="2"/>
      <c r="D290" s="2"/>
      <c r="E290" s="2"/>
      <c r="F290" s="2"/>
      <c r="G290" s="2"/>
      <c r="H290" s="2"/>
      <c r="I290" s="2"/>
      <c r="J290" s="2"/>
      <c r="K290" s="2"/>
      <c r="L290" s="2"/>
      <c r="M290" s="2"/>
      <c r="N290" s="2"/>
      <c r="O290" s="2"/>
      <c r="P290" s="2"/>
      <c r="Q290" s="2"/>
      <c r="R290" s="2"/>
      <c r="S290" s="2"/>
      <c r="T290" s="2"/>
      <c r="U290" s="2"/>
      <c r="V290" s="2"/>
      <c r="W290" s="157"/>
      <c r="X290" s="157"/>
      <c r="Y290" s="157"/>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customHeight="1">
      <c r="A291" s="2"/>
      <c r="B291" s="2"/>
      <c r="C291" s="2"/>
      <c r="D291" s="2"/>
      <c r="E291" s="2"/>
      <c r="F291" s="2"/>
      <c r="G291" s="2"/>
      <c r="H291" s="2"/>
      <c r="I291" s="2"/>
      <c r="J291" s="2"/>
      <c r="K291" s="2"/>
      <c r="L291" s="2"/>
      <c r="M291" s="2"/>
      <c r="N291" s="2"/>
      <c r="O291" s="2"/>
      <c r="P291" s="2"/>
      <c r="Q291" s="2"/>
      <c r="R291" s="2"/>
      <c r="S291" s="2"/>
      <c r="T291" s="2"/>
      <c r="U291" s="2"/>
      <c r="V291" s="2"/>
      <c r="W291" s="157"/>
      <c r="X291" s="157"/>
      <c r="Y291" s="157"/>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customHeight="1">
      <c r="A292" s="2"/>
      <c r="B292" s="2"/>
      <c r="C292" s="2"/>
      <c r="D292" s="2"/>
      <c r="E292" s="2"/>
      <c r="F292" s="2"/>
      <c r="G292" s="2"/>
      <c r="H292" s="2"/>
      <c r="I292" s="2"/>
      <c r="J292" s="2"/>
      <c r="K292" s="2"/>
      <c r="L292" s="2"/>
      <c r="M292" s="2"/>
      <c r="N292" s="2"/>
      <c r="O292" s="2"/>
      <c r="P292" s="2"/>
      <c r="Q292" s="2"/>
      <c r="R292" s="2"/>
      <c r="S292" s="2"/>
      <c r="T292" s="2"/>
      <c r="U292" s="2"/>
      <c r="V292" s="2"/>
      <c r="W292" s="157"/>
      <c r="X292" s="157"/>
      <c r="Y292" s="157"/>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customHeight="1">
      <c r="A293" s="2"/>
      <c r="B293" s="2"/>
      <c r="C293" s="2"/>
      <c r="D293" s="2"/>
      <c r="E293" s="2"/>
      <c r="F293" s="2"/>
      <c r="G293" s="2"/>
      <c r="H293" s="2"/>
      <c r="I293" s="2"/>
      <c r="J293" s="2"/>
      <c r="K293" s="2"/>
      <c r="L293" s="2"/>
      <c r="M293" s="2"/>
      <c r="N293" s="2"/>
      <c r="O293" s="2"/>
      <c r="P293" s="2"/>
      <c r="Q293" s="2"/>
      <c r="R293" s="2"/>
      <c r="S293" s="2"/>
      <c r="T293" s="2"/>
      <c r="U293" s="2"/>
      <c r="V293" s="2"/>
      <c r="W293" s="157"/>
      <c r="X293" s="157"/>
      <c r="Y293" s="157"/>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customHeight="1">
      <c r="A294" s="2"/>
      <c r="B294" s="2"/>
      <c r="C294" s="2"/>
      <c r="D294" s="2"/>
      <c r="E294" s="2"/>
      <c r="F294" s="2"/>
      <c r="G294" s="2"/>
      <c r="H294" s="2"/>
      <c r="I294" s="2"/>
      <c r="J294" s="2"/>
      <c r="K294" s="2"/>
      <c r="L294" s="2"/>
      <c r="M294" s="2"/>
      <c r="N294" s="2"/>
      <c r="O294" s="2"/>
      <c r="P294" s="2"/>
      <c r="Q294" s="2"/>
      <c r="R294" s="2"/>
      <c r="S294" s="2"/>
      <c r="T294" s="2"/>
      <c r="U294" s="2"/>
      <c r="V294" s="2"/>
      <c r="W294" s="157"/>
      <c r="X294" s="157"/>
      <c r="Y294" s="157"/>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customHeight="1">
      <c r="A295" s="2"/>
      <c r="B295" s="2"/>
      <c r="C295" s="2"/>
      <c r="D295" s="2"/>
      <c r="E295" s="2"/>
      <c r="F295" s="2"/>
      <c r="G295" s="2"/>
      <c r="H295" s="2"/>
      <c r="I295" s="2"/>
      <c r="J295" s="2"/>
      <c r="K295" s="2"/>
      <c r="L295" s="2"/>
      <c r="M295" s="2"/>
      <c r="N295" s="2"/>
      <c r="O295" s="2"/>
      <c r="P295" s="2"/>
      <c r="Q295" s="2"/>
      <c r="R295" s="2"/>
      <c r="S295" s="2"/>
      <c r="T295" s="2"/>
      <c r="U295" s="2"/>
      <c r="V295" s="2"/>
      <c r="W295" s="157"/>
      <c r="X295" s="157"/>
      <c r="Y295" s="157"/>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customHeight="1">
      <c r="A296" s="2"/>
      <c r="B296" s="2"/>
      <c r="C296" s="2"/>
      <c r="D296" s="2"/>
      <c r="E296" s="2"/>
      <c r="F296" s="2"/>
      <c r="G296" s="2"/>
      <c r="H296" s="2"/>
      <c r="I296" s="2"/>
      <c r="J296" s="2"/>
      <c r="K296" s="2"/>
      <c r="L296" s="2"/>
      <c r="M296" s="2"/>
      <c r="N296" s="2"/>
      <c r="O296" s="2"/>
      <c r="P296" s="2"/>
      <c r="Q296" s="2"/>
      <c r="R296" s="2"/>
      <c r="S296" s="2"/>
      <c r="T296" s="2"/>
      <c r="U296" s="2"/>
      <c r="V296" s="2"/>
      <c r="W296" s="157"/>
      <c r="X296" s="157"/>
      <c r="Y296" s="157"/>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customHeight="1">
      <c r="A297" s="2"/>
      <c r="B297" s="2"/>
      <c r="C297" s="2"/>
      <c r="D297" s="2"/>
      <c r="E297" s="2"/>
      <c r="F297" s="2"/>
      <c r="G297" s="2"/>
      <c r="H297" s="2"/>
      <c r="I297" s="2"/>
      <c r="J297" s="2"/>
      <c r="K297" s="2"/>
      <c r="L297" s="2"/>
      <c r="M297" s="2"/>
      <c r="N297" s="2"/>
      <c r="O297" s="2"/>
      <c r="P297" s="2"/>
      <c r="Q297" s="2"/>
      <c r="R297" s="2"/>
      <c r="S297" s="2"/>
      <c r="T297" s="2"/>
      <c r="U297" s="2"/>
      <c r="V297" s="2"/>
      <c r="W297" s="157"/>
      <c r="X297" s="157"/>
      <c r="Y297" s="157"/>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customHeight="1">
      <c r="A298" s="2"/>
      <c r="B298" s="2"/>
      <c r="C298" s="2"/>
      <c r="D298" s="2"/>
      <c r="E298" s="2"/>
      <c r="F298" s="2"/>
      <c r="G298" s="2"/>
      <c r="H298" s="2"/>
      <c r="I298" s="2"/>
      <c r="J298" s="2"/>
      <c r="K298" s="2"/>
      <c r="L298" s="2"/>
      <c r="M298" s="2"/>
      <c r="N298" s="2"/>
      <c r="O298" s="2"/>
      <c r="P298" s="2"/>
      <c r="Q298" s="2"/>
      <c r="R298" s="2"/>
      <c r="S298" s="2"/>
      <c r="T298" s="2"/>
      <c r="U298" s="2"/>
      <c r="V298" s="2"/>
      <c r="W298" s="157"/>
      <c r="X298" s="157"/>
      <c r="Y298" s="157"/>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customHeight="1">
      <c r="A299" s="2"/>
      <c r="B299" s="2"/>
      <c r="C299" s="2"/>
      <c r="D299" s="2"/>
      <c r="E299" s="2"/>
      <c r="F299" s="2"/>
      <c r="G299" s="2"/>
      <c r="H299" s="2"/>
      <c r="I299" s="2"/>
      <c r="J299" s="2"/>
      <c r="K299" s="2"/>
      <c r="L299" s="2"/>
      <c r="M299" s="2"/>
      <c r="N299" s="2"/>
      <c r="O299" s="2"/>
      <c r="P299" s="2"/>
      <c r="Q299" s="2"/>
      <c r="R299" s="2"/>
      <c r="S299" s="2"/>
      <c r="T299" s="2"/>
      <c r="U299" s="2"/>
      <c r="V299" s="2"/>
      <c r="W299" s="157"/>
      <c r="X299" s="157"/>
      <c r="Y299" s="157"/>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customHeight="1">
      <c r="A300" s="2"/>
      <c r="B300" s="2"/>
      <c r="C300" s="2"/>
      <c r="D300" s="2"/>
      <c r="E300" s="2"/>
      <c r="F300" s="2"/>
      <c r="G300" s="2"/>
      <c r="H300" s="2"/>
      <c r="I300" s="2"/>
      <c r="J300" s="2"/>
      <c r="K300" s="2"/>
      <c r="L300" s="2"/>
      <c r="M300" s="2"/>
      <c r="N300" s="2"/>
      <c r="O300" s="2"/>
      <c r="P300" s="2"/>
      <c r="Q300" s="2"/>
      <c r="R300" s="2"/>
      <c r="S300" s="2"/>
      <c r="T300" s="2"/>
      <c r="U300" s="2"/>
      <c r="V300" s="2"/>
      <c r="W300" s="157"/>
      <c r="X300" s="157"/>
      <c r="Y300" s="157"/>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customHeight="1">
      <c r="A301" s="2"/>
      <c r="B301" s="2"/>
      <c r="C301" s="2"/>
      <c r="D301" s="2"/>
      <c r="E301" s="2"/>
      <c r="F301" s="2"/>
      <c r="G301" s="2"/>
      <c r="H301" s="2"/>
      <c r="I301" s="2"/>
      <c r="J301" s="2"/>
      <c r="K301" s="2"/>
      <c r="L301" s="2"/>
      <c r="M301" s="2"/>
      <c r="N301" s="2"/>
      <c r="O301" s="2"/>
      <c r="P301" s="2"/>
      <c r="Q301" s="2"/>
      <c r="R301" s="2"/>
      <c r="S301" s="2"/>
      <c r="T301" s="2"/>
      <c r="U301" s="2"/>
      <c r="V301" s="2"/>
      <c r="W301" s="157"/>
      <c r="X301" s="157"/>
      <c r="Y301" s="157"/>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customHeight="1">
      <c r="A302" s="2"/>
      <c r="B302" s="2"/>
      <c r="C302" s="2"/>
      <c r="D302" s="2"/>
      <c r="E302" s="2"/>
      <c r="F302" s="2"/>
      <c r="G302" s="2"/>
      <c r="H302" s="2"/>
      <c r="I302" s="2"/>
      <c r="J302" s="2"/>
      <c r="K302" s="2"/>
      <c r="L302" s="2"/>
      <c r="M302" s="2"/>
      <c r="N302" s="2"/>
      <c r="O302" s="2"/>
      <c r="P302" s="2"/>
      <c r="Q302" s="2"/>
      <c r="R302" s="2"/>
      <c r="S302" s="2"/>
      <c r="T302" s="2"/>
      <c r="U302" s="2"/>
      <c r="V302" s="2"/>
      <c r="W302" s="157"/>
      <c r="X302" s="157"/>
      <c r="Y302" s="157"/>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customHeight="1">
      <c r="A303" s="2"/>
      <c r="B303" s="2"/>
      <c r="C303" s="2"/>
      <c r="D303" s="2"/>
      <c r="E303" s="2"/>
      <c r="F303" s="2"/>
      <c r="G303" s="2"/>
      <c r="H303" s="2"/>
      <c r="I303" s="2"/>
      <c r="J303" s="2"/>
      <c r="K303" s="2"/>
      <c r="L303" s="2"/>
      <c r="M303" s="2"/>
      <c r="N303" s="2"/>
      <c r="O303" s="2"/>
      <c r="P303" s="2"/>
      <c r="Q303" s="2"/>
      <c r="R303" s="2"/>
      <c r="S303" s="2"/>
      <c r="T303" s="2"/>
      <c r="U303" s="2"/>
      <c r="V303" s="2"/>
      <c r="W303" s="157"/>
      <c r="X303" s="157"/>
      <c r="Y303" s="157"/>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customHeight="1">
      <c r="A304" s="2"/>
      <c r="B304" s="2"/>
      <c r="C304" s="2"/>
      <c r="D304" s="2"/>
      <c r="E304" s="2"/>
      <c r="F304" s="2"/>
      <c r="G304" s="2"/>
      <c r="H304" s="2"/>
      <c r="I304" s="2"/>
      <c r="J304" s="2"/>
      <c r="K304" s="2"/>
      <c r="L304" s="2"/>
      <c r="M304" s="2"/>
      <c r="N304" s="2"/>
      <c r="O304" s="2"/>
      <c r="P304" s="2"/>
      <c r="Q304" s="2"/>
      <c r="R304" s="2"/>
      <c r="S304" s="2"/>
      <c r="T304" s="2"/>
      <c r="U304" s="2"/>
      <c r="V304" s="2"/>
      <c r="W304" s="157"/>
      <c r="X304" s="157"/>
      <c r="Y304" s="157"/>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customHeight="1">
      <c r="A305" s="2"/>
      <c r="B305" s="2"/>
      <c r="C305" s="2"/>
      <c r="D305" s="2"/>
      <c r="E305" s="2"/>
      <c r="F305" s="2"/>
      <c r="G305" s="2"/>
      <c r="H305" s="2"/>
      <c r="I305" s="2"/>
      <c r="J305" s="2"/>
      <c r="K305" s="2"/>
      <c r="L305" s="2"/>
      <c r="M305" s="2"/>
      <c r="N305" s="2"/>
      <c r="O305" s="2"/>
      <c r="P305" s="2"/>
      <c r="Q305" s="2"/>
      <c r="R305" s="2"/>
      <c r="S305" s="2"/>
      <c r="T305" s="2"/>
      <c r="U305" s="2"/>
      <c r="V305" s="2"/>
      <c r="W305" s="157"/>
      <c r="X305" s="157"/>
      <c r="Y305" s="157"/>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customHeight="1">
      <c r="A306" s="2"/>
      <c r="B306" s="2"/>
      <c r="C306" s="2"/>
      <c r="D306" s="2"/>
      <c r="E306" s="2"/>
      <c r="F306" s="2"/>
      <c r="G306" s="2"/>
      <c r="H306" s="2"/>
      <c r="I306" s="2"/>
      <c r="J306" s="2"/>
      <c r="K306" s="2"/>
      <c r="L306" s="2"/>
      <c r="M306" s="2"/>
      <c r="N306" s="2"/>
      <c r="O306" s="2"/>
      <c r="P306" s="2"/>
      <c r="Q306" s="2"/>
      <c r="R306" s="2"/>
      <c r="S306" s="2"/>
      <c r="T306" s="2"/>
      <c r="U306" s="2"/>
      <c r="V306" s="2"/>
      <c r="W306" s="157"/>
      <c r="X306" s="157"/>
      <c r="Y306" s="157"/>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customHeight="1">
      <c r="A307" s="2"/>
      <c r="B307" s="2"/>
      <c r="C307" s="2"/>
      <c r="D307" s="2"/>
      <c r="E307" s="2"/>
      <c r="F307" s="2"/>
      <c r="G307" s="2"/>
      <c r="H307" s="2"/>
      <c r="I307" s="2"/>
      <c r="J307" s="2"/>
      <c r="K307" s="2"/>
      <c r="L307" s="2"/>
      <c r="M307" s="2"/>
      <c r="N307" s="2"/>
      <c r="O307" s="2"/>
      <c r="P307" s="2"/>
      <c r="Q307" s="2"/>
      <c r="R307" s="2"/>
      <c r="S307" s="2"/>
      <c r="T307" s="2"/>
      <c r="U307" s="2"/>
      <c r="V307" s="2"/>
      <c r="W307" s="157"/>
      <c r="X307" s="157"/>
      <c r="Y307" s="157"/>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customHeight="1">
      <c r="A308" s="2"/>
      <c r="B308" s="2"/>
      <c r="C308" s="2"/>
      <c r="D308" s="2"/>
      <c r="E308" s="2"/>
      <c r="F308" s="2"/>
      <c r="G308" s="2"/>
      <c r="H308" s="2"/>
      <c r="I308" s="2"/>
      <c r="J308" s="2"/>
      <c r="K308" s="2"/>
      <c r="L308" s="2"/>
      <c r="M308" s="2"/>
      <c r="N308" s="2"/>
      <c r="O308" s="2"/>
      <c r="P308" s="2"/>
      <c r="Q308" s="2"/>
      <c r="R308" s="2"/>
      <c r="S308" s="2"/>
      <c r="T308" s="2"/>
      <c r="U308" s="2"/>
      <c r="V308" s="2"/>
      <c r="W308" s="157"/>
      <c r="X308" s="157"/>
      <c r="Y308" s="157"/>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customHeight="1">
      <c r="A309" s="2"/>
      <c r="B309" s="2"/>
      <c r="C309" s="2"/>
      <c r="D309" s="2"/>
      <c r="E309" s="2"/>
      <c r="F309" s="2"/>
      <c r="G309" s="2"/>
      <c r="H309" s="2"/>
      <c r="I309" s="2"/>
      <c r="J309" s="2"/>
      <c r="K309" s="2"/>
      <c r="L309" s="2"/>
      <c r="M309" s="2"/>
      <c r="N309" s="2"/>
      <c r="O309" s="2"/>
      <c r="P309" s="2"/>
      <c r="Q309" s="2"/>
      <c r="R309" s="2"/>
      <c r="S309" s="2"/>
      <c r="T309" s="2"/>
      <c r="U309" s="2"/>
      <c r="V309" s="2"/>
      <c r="W309" s="157"/>
      <c r="X309" s="157"/>
      <c r="Y309" s="157"/>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customHeight="1">
      <c r="A310" s="2"/>
      <c r="B310" s="2"/>
      <c r="C310" s="2"/>
      <c r="D310" s="2"/>
      <c r="E310" s="2"/>
      <c r="F310" s="2"/>
      <c r="G310" s="2"/>
      <c r="H310" s="2"/>
      <c r="I310" s="2"/>
      <c r="J310" s="2"/>
      <c r="K310" s="2"/>
      <c r="L310" s="2"/>
      <c r="M310" s="2"/>
      <c r="N310" s="2"/>
      <c r="O310" s="2"/>
      <c r="P310" s="2"/>
      <c r="Q310" s="2"/>
      <c r="R310" s="2"/>
      <c r="S310" s="2"/>
      <c r="T310" s="2"/>
      <c r="U310" s="2"/>
      <c r="V310" s="2"/>
      <c r="W310" s="157"/>
      <c r="X310" s="157"/>
      <c r="Y310" s="157"/>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customHeight="1">
      <c r="A311" s="2"/>
      <c r="B311" s="2"/>
      <c r="C311" s="2"/>
      <c r="D311" s="2"/>
      <c r="E311" s="2"/>
      <c r="F311" s="2"/>
      <c r="G311" s="2"/>
      <c r="H311" s="2"/>
      <c r="I311" s="2"/>
      <c r="J311" s="2"/>
      <c r="K311" s="2"/>
      <c r="L311" s="2"/>
      <c r="M311" s="2"/>
      <c r="N311" s="2"/>
      <c r="O311" s="2"/>
      <c r="P311" s="2"/>
      <c r="Q311" s="2"/>
      <c r="R311" s="2"/>
      <c r="S311" s="2"/>
      <c r="T311" s="2"/>
      <c r="U311" s="2"/>
      <c r="V311" s="2"/>
      <c r="W311" s="157"/>
      <c r="X311" s="157"/>
      <c r="Y311" s="157"/>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customHeight="1">
      <c r="A312" s="2"/>
      <c r="B312" s="2"/>
      <c r="C312" s="2"/>
      <c r="D312" s="2"/>
      <c r="E312" s="2"/>
      <c r="F312" s="2"/>
      <c r="G312" s="2"/>
      <c r="H312" s="2"/>
      <c r="I312" s="2"/>
      <c r="J312" s="2"/>
      <c r="K312" s="2"/>
      <c r="L312" s="2"/>
      <c r="M312" s="2"/>
      <c r="N312" s="2"/>
      <c r="O312" s="2"/>
      <c r="P312" s="2"/>
      <c r="Q312" s="2"/>
      <c r="R312" s="2"/>
      <c r="S312" s="2"/>
      <c r="T312" s="2"/>
      <c r="U312" s="2"/>
      <c r="V312" s="2"/>
      <c r="W312" s="157"/>
      <c r="X312" s="157"/>
      <c r="Y312" s="157"/>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customHeight="1">
      <c r="A313" s="2"/>
      <c r="B313" s="2"/>
      <c r="C313" s="2"/>
      <c r="D313" s="2"/>
      <c r="E313" s="2"/>
      <c r="F313" s="2"/>
      <c r="G313" s="2"/>
      <c r="H313" s="2"/>
      <c r="I313" s="2"/>
      <c r="J313" s="2"/>
      <c r="K313" s="2"/>
      <c r="L313" s="2"/>
      <c r="M313" s="2"/>
      <c r="N313" s="2"/>
      <c r="O313" s="2"/>
      <c r="P313" s="2"/>
      <c r="Q313" s="2"/>
      <c r="R313" s="2"/>
      <c r="S313" s="2"/>
      <c r="T313" s="2"/>
      <c r="U313" s="2"/>
      <c r="V313" s="2"/>
      <c r="W313" s="157"/>
      <c r="X313" s="157"/>
      <c r="Y313" s="157"/>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customHeight="1">
      <c r="A314" s="2"/>
      <c r="B314" s="2"/>
      <c r="C314" s="2"/>
      <c r="D314" s="2"/>
      <c r="E314" s="2"/>
      <c r="F314" s="2"/>
      <c r="G314" s="2"/>
      <c r="H314" s="2"/>
      <c r="I314" s="2"/>
      <c r="J314" s="2"/>
      <c r="K314" s="2"/>
      <c r="L314" s="2"/>
      <c r="M314" s="2"/>
      <c r="N314" s="2"/>
      <c r="O314" s="2"/>
      <c r="P314" s="2"/>
      <c r="Q314" s="2"/>
      <c r="R314" s="2"/>
      <c r="S314" s="2"/>
      <c r="T314" s="2"/>
      <c r="U314" s="2"/>
      <c r="V314" s="2"/>
      <c r="W314" s="157"/>
      <c r="X314" s="157"/>
      <c r="Y314" s="157"/>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customHeight="1">
      <c r="A315" s="2"/>
      <c r="B315" s="2"/>
      <c r="C315" s="2"/>
      <c r="D315" s="2"/>
      <c r="E315" s="2"/>
      <c r="F315" s="2"/>
      <c r="G315" s="2"/>
      <c r="H315" s="2"/>
      <c r="I315" s="2"/>
      <c r="J315" s="2"/>
      <c r="K315" s="2"/>
      <c r="L315" s="2"/>
      <c r="M315" s="2"/>
      <c r="N315" s="2"/>
      <c r="O315" s="2"/>
      <c r="P315" s="2"/>
      <c r="Q315" s="2"/>
      <c r="R315" s="2"/>
      <c r="S315" s="2"/>
      <c r="T315" s="2"/>
      <c r="U315" s="2"/>
      <c r="V315" s="2"/>
      <c r="W315" s="157"/>
      <c r="X315" s="157"/>
      <c r="Y315" s="157"/>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customHeight="1">
      <c r="A316" s="2"/>
      <c r="B316" s="2"/>
      <c r="C316" s="2"/>
      <c r="D316" s="2"/>
      <c r="E316" s="2"/>
      <c r="F316" s="2"/>
      <c r="G316" s="2"/>
      <c r="H316" s="2"/>
      <c r="I316" s="2"/>
      <c r="J316" s="2"/>
      <c r="K316" s="2"/>
      <c r="L316" s="2"/>
      <c r="M316" s="2"/>
      <c r="N316" s="2"/>
      <c r="O316" s="2"/>
      <c r="P316" s="2"/>
      <c r="Q316" s="2"/>
      <c r="R316" s="2"/>
      <c r="S316" s="2"/>
      <c r="T316" s="2"/>
      <c r="U316" s="2"/>
      <c r="V316" s="2"/>
      <c r="W316" s="157"/>
      <c r="X316" s="157"/>
      <c r="Y316" s="157"/>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customHeight="1">
      <c r="A317" s="2"/>
      <c r="B317" s="2"/>
      <c r="C317" s="2"/>
      <c r="D317" s="2"/>
      <c r="E317" s="2"/>
      <c r="F317" s="2"/>
      <c r="G317" s="2"/>
      <c r="H317" s="2"/>
      <c r="I317" s="2"/>
      <c r="J317" s="2"/>
      <c r="K317" s="2"/>
      <c r="L317" s="2"/>
      <c r="M317" s="2"/>
      <c r="N317" s="2"/>
      <c r="O317" s="2"/>
      <c r="P317" s="2"/>
      <c r="Q317" s="2"/>
      <c r="R317" s="2"/>
      <c r="S317" s="2"/>
      <c r="T317" s="2"/>
      <c r="U317" s="2"/>
      <c r="V317" s="2"/>
      <c r="W317" s="157"/>
      <c r="X317" s="157"/>
      <c r="Y317" s="157"/>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customHeight="1">
      <c r="A318" s="2"/>
      <c r="B318" s="2"/>
      <c r="C318" s="2"/>
      <c r="D318" s="2"/>
      <c r="E318" s="2"/>
      <c r="F318" s="2"/>
      <c r="G318" s="2"/>
      <c r="H318" s="2"/>
      <c r="I318" s="2"/>
      <c r="J318" s="2"/>
      <c r="K318" s="2"/>
      <c r="L318" s="2"/>
      <c r="M318" s="2"/>
      <c r="N318" s="2"/>
      <c r="O318" s="2"/>
      <c r="P318" s="2"/>
      <c r="Q318" s="2"/>
      <c r="R318" s="2"/>
      <c r="S318" s="2"/>
      <c r="T318" s="2"/>
      <c r="U318" s="2"/>
      <c r="V318" s="2"/>
      <c r="W318" s="157"/>
      <c r="X318" s="157"/>
      <c r="Y318" s="157"/>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customHeight="1">
      <c r="A319" s="2"/>
      <c r="B319" s="2"/>
      <c r="C319" s="2"/>
      <c r="D319" s="2"/>
      <c r="E319" s="2"/>
      <c r="F319" s="2"/>
      <c r="G319" s="2"/>
      <c r="H319" s="2"/>
      <c r="I319" s="2"/>
      <c r="J319" s="2"/>
      <c r="K319" s="2"/>
      <c r="L319" s="2"/>
      <c r="M319" s="2"/>
      <c r="N319" s="2"/>
      <c r="O319" s="2"/>
      <c r="P319" s="2"/>
      <c r="Q319" s="2"/>
      <c r="R319" s="2"/>
      <c r="S319" s="2"/>
      <c r="T319" s="2"/>
      <c r="U319" s="2"/>
      <c r="V319" s="2"/>
      <c r="W319" s="157"/>
      <c r="X319" s="157"/>
      <c r="Y319" s="157"/>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customHeight="1">
      <c r="A320" s="2"/>
      <c r="B320" s="2"/>
      <c r="C320" s="2"/>
      <c r="D320" s="2"/>
      <c r="E320" s="2"/>
      <c r="F320" s="2"/>
      <c r="G320" s="2"/>
      <c r="H320" s="2"/>
      <c r="I320" s="2"/>
      <c r="J320" s="2"/>
      <c r="K320" s="2"/>
      <c r="L320" s="2"/>
      <c r="M320" s="2"/>
      <c r="N320" s="2"/>
      <c r="O320" s="2"/>
      <c r="P320" s="2"/>
      <c r="Q320" s="2"/>
      <c r="R320" s="2"/>
      <c r="S320" s="2"/>
      <c r="T320" s="2"/>
      <c r="U320" s="2"/>
      <c r="V320" s="2"/>
      <c r="W320" s="157"/>
      <c r="X320" s="157"/>
      <c r="Y320" s="157"/>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customHeight="1">
      <c r="A321" s="2"/>
      <c r="B321" s="2"/>
      <c r="C321" s="2"/>
      <c r="D321" s="2"/>
      <c r="E321" s="2"/>
      <c r="F321" s="2"/>
      <c r="G321" s="2"/>
      <c r="H321" s="2"/>
      <c r="I321" s="2"/>
      <c r="J321" s="2"/>
      <c r="K321" s="2"/>
      <c r="L321" s="2"/>
      <c r="M321" s="2"/>
      <c r="N321" s="2"/>
      <c r="O321" s="2"/>
      <c r="P321" s="2"/>
      <c r="Q321" s="2"/>
      <c r="R321" s="2"/>
      <c r="S321" s="2"/>
      <c r="T321" s="2"/>
      <c r="U321" s="2"/>
      <c r="V321" s="2"/>
      <c r="W321" s="157"/>
      <c r="X321" s="157"/>
      <c r="Y321" s="157"/>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customHeight="1">
      <c r="A322" s="2"/>
      <c r="B322" s="2"/>
      <c r="C322" s="2"/>
      <c r="D322" s="2"/>
      <c r="E322" s="2"/>
      <c r="F322" s="2"/>
      <c r="G322" s="2"/>
      <c r="H322" s="2"/>
      <c r="I322" s="2"/>
      <c r="J322" s="2"/>
      <c r="K322" s="2"/>
      <c r="L322" s="2"/>
      <c r="M322" s="2"/>
      <c r="N322" s="2"/>
      <c r="O322" s="2"/>
      <c r="P322" s="2"/>
      <c r="Q322" s="2"/>
      <c r="R322" s="2"/>
      <c r="S322" s="2"/>
      <c r="T322" s="2"/>
      <c r="U322" s="2"/>
      <c r="V322" s="2"/>
      <c r="W322" s="157"/>
      <c r="X322" s="157"/>
      <c r="Y322" s="157"/>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customHeight="1">
      <c r="A323" s="2"/>
      <c r="B323" s="2"/>
      <c r="C323" s="2"/>
      <c r="D323" s="2"/>
      <c r="E323" s="2"/>
      <c r="F323" s="2"/>
      <c r="G323" s="2"/>
      <c r="H323" s="2"/>
      <c r="I323" s="2"/>
      <c r="J323" s="2"/>
      <c r="K323" s="2"/>
      <c r="L323" s="2"/>
      <c r="M323" s="2"/>
      <c r="N323" s="2"/>
      <c r="O323" s="2"/>
      <c r="P323" s="2"/>
      <c r="Q323" s="2"/>
      <c r="R323" s="2"/>
      <c r="S323" s="2"/>
      <c r="T323" s="2"/>
      <c r="U323" s="2"/>
      <c r="V323" s="2"/>
      <c r="W323" s="157"/>
      <c r="X323" s="157"/>
      <c r="Y323" s="157"/>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customHeight="1">
      <c r="A324" s="2"/>
      <c r="B324" s="2"/>
      <c r="C324" s="2"/>
      <c r="D324" s="2"/>
      <c r="E324" s="2"/>
      <c r="F324" s="2"/>
      <c r="G324" s="2"/>
      <c r="H324" s="2"/>
      <c r="I324" s="2"/>
      <c r="J324" s="2"/>
      <c r="K324" s="2"/>
      <c r="L324" s="2"/>
      <c r="M324" s="2"/>
      <c r="N324" s="2"/>
      <c r="O324" s="2"/>
      <c r="P324" s="2"/>
      <c r="Q324" s="2"/>
      <c r="R324" s="2"/>
      <c r="S324" s="2"/>
      <c r="T324" s="2"/>
      <c r="U324" s="2"/>
      <c r="V324" s="2"/>
      <c r="W324" s="157"/>
      <c r="X324" s="157"/>
      <c r="Y324" s="157"/>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customHeight="1">
      <c r="A325" s="2"/>
      <c r="B325" s="2"/>
      <c r="C325" s="2"/>
      <c r="D325" s="2"/>
      <c r="E325" s="2"/>
      <c r="F325" s="2"/>
      <c r="G325" s="2"/>
      <c r="H325" s="2"/>
      <c r="I325" s="2"/>
      <c r="J325" s="2"/>
      <c r="K325" s="2"/>
      <c r="L325" s="2"/>
      <c r="M325" s="2"/>
      <c r="N325" s="2"/>
      <c r="O325" s="2"/>
      <c r="P325" s="2"/>
      <c r="Q325" s="2"/>
      <c r="R325" s="2"/>
      <c r="S325" s="2"/>
      <c r="T325" s="2"/>
      <c r="U325" s="2"/>
      <c r="V325" s="2"/>
      <c r="W325" s="157"/>
      <c r="X325" s="157"/>
      <c r="Y325" s="157"/>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customHeight="1">
      <c r="A326" s="2"/>
      <c r="B326" s="2"/>
      <c r="C326" s="2"/>
      <c r="D326" s="2"/>
      <c r="E326" s="2"/>
      <c r="F326" s="2"/>
      <c r="G326" s="2"/>
      <c r="H326" s="2"/>
      <c r="I326" s="2"/>
      <c r="J326" s="2"/>
      <c r="K326" s="2"/>
      <c r="L326" s="2"/>
      <c r="M326" s="2"/>
      <c r="N326" s="2"/>
      <c r="O326" s="2"/>
      <c r="P326" s="2"/>
      <c r="Q326" s="2"/>
      <c r="R326" s="2"/>
      <c r="S326" s="2"/>
      <c r="T326" s="2"/>
      <c r="U326" s="2"/>
      <c r="V326" s="2"/>
      <c r="W326" s="157"/>
      <c r="X326" s="157"/>
      <c r="Y326" s="157"/>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customHeight="1">
      <c r="A327" s="2"/>
      <c r="B327" s="2"/>
      <c r="C327" s="2"/>
      <c r="D327" s="2"/>
      <c r="E327" s="2"/>
      <c r="F327" s="2"/>
      <c r="G327" s="2"/>
      <c r="H327" s="2"/>
      <c r="I327" s="2"/>
      <c r="J327" s="2"/>
      <c r="K327" s="2"/>
      <c r="L327" s="2"/>
      <c r="M327" s="2"/>
      <c r="N327" s="2"/>
      <c r="O327" s="2"/>
      <c r="P327" s="2"/>
      <c r="Q327" s="2"/>
      <c r="R327" s="2"/>
      <c r="S327" s="2"/>
      <c r="T327" s="2"/>
      <c r="U327" s="2"/>
      <c r="V327" s="2"/>
      <c r="W327" s="157"/>
      <c r="X327" s="157"/>
      <c r="Y327" s="157"/>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customHeight="1">
      <c r="A328" s="2"/>
      <c r="B328" s="2"/>
      <c r="C328" s="2"/>
      <c r="D328" s="2"/>
      <c r="E328" s="2"/>
      <c r="F328" s="2"/>
      <c r="G328" s="2"/>
      <c r="H328" s="2"/>
      <c r="I328" s="2"/>
      <c r="J328" s="2"/>
      <c r="K328" s="2"/>
      <c r="L328" s="2"/>
      <c r="M328" s="2"/>
      <c r="N328" s="2"/>
      <c r="O328" s="2"/>
      <c r="P328" s="2"/>
      <c r="Q328" s="2"/>
      <c r="R328" s="2"/>
      <c r="S328" s="2"/>
      <c r="T328" s="2"/>
      <c r="U328" s="2"/>
      <c r="V328" s="2"/>
      <c r="W328" s="157"/>
      <c r="X328" s="157"/>
      <c r="Y328" s="157"/>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customHeight="1">
      <c r="A329" s="2"/>
      <c r="B329" s="2"/>
      <c r="C329" s="2"/>
      <c r="D329" s="2"/>
      <c r="E329" s="2"/>
      <c r="F329" s="2"/>
      <c r="G329" s="2"/>
      <c r="H329" s="2"/>
      <c r="I329" s="2"/>
      <c r="J329" s="2"/>
      <c r="K329" s="2"/>
      <c r="L329" s="2"/>
      <c r="M329" s="2"/>
      <c r="N329" s="2"/>
      <c r="O329" s="2"/>
      <c r="P329" s="2"/>
      <c r="Q329" s="2"/>
      <c r="R329" s="2"/>
      <c r="S329" s="2"/>
      <c r="T329" s="2"/>
      <c r="U329" s="2"/>
      <c r="V329" s="2"/>
      <c r="W329" s="157"/>
      <c r="X329" s="157"/>
      <c r="Y329" s="157"/>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customHeight="1">
      <c r="A330" s="2"/>
      <c r="B330" s="2"/>
      <c r="C330" s="2"/>
      <c r="D330" s="2"/>
      <c r="E330" s="2"/>
      <c r="F330" s="2"/>
      <c r="G330" s="2"/>
      <c r="H330" s="2"/>
      <c r="I330" s="2"/>
      <c r="J330" s="2"/>
      <c r="K330" s="2"/>
      <c r="L330" s="2"/>
      <c r="M330" s="2"/>
      <c r="N330" s="2"/>
      <c r="O330" s="2"/>
      <c r="P330" s="2"/>
      <c r="Q330" s="2"/>
      <c r="R330" s="2"/>
      <c r="S330" s="2"/>
      <c r="T330" s="2"/>
      <c r="U330" s="2"/>
      <c r="V330" s="2"/>
      <c r="W330" s="157"/>
      <c r="X330" s="157"/>
      <c r="Y330" s="157"/>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customHeight="1">
      <c r="A331" s="2"/>
      <c r="B331" s="2"/>
      <c r="C331" s="2"/>
      <c r="D331" s="2"/>
      <c r="E331" s="2"/>
      <c r="F331" s="2"/>
      <c r="G331" s="2"/>
      <c r="H331" s="2"/>
      <c r="I331" s="2"/>
      <c r="J331" s="2"/>
      <c r="K331" s="2"/>
      <c r="L331" s="2"/>
      <c r="M331" s="2"/>
      <c r="N331" s="2"/>
      <c r="O331" s="2"/>
      <c r="P331" s="2"/>
      <c r="Q331" s="2"/>
      <c r="R331" s="2"/>
      <c r="S331" s="2"/>
      <c r="T331" s="2"/>
      <c r="U331" s="2"/>
      <c r="V331" s="2"/>
      <c r="W331" s="157"/>
      <c r="X331" s="157"/>
      <c r="Y331" s="157"/>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customHeight="1">
      <c r="A332" s="2"/>
      <c r="B332" s="2"/>
      <c r="C332" s="2"/>
      <c r="D332" s="2"/>
      <c r="E332" s="2"/>
      <c r="F332" s="2"/>
      <c r="G332" s="2"/>
      <c r="H332" s="2"/>
      <c r="I332" s="2"/>
      <c r="J332" s="2"/>
      <c r="K332" s="2"/>
      <c r="L332" s="2"/>
      <c r="M332" s="2"/>
      <c r="N332" s="2"/>
      <c r="O332" s="2"/>
      <c r="P332" s="2"/>
      <c r="Q332" s="2"/>
      <c r="R332" s="2"/>
      <c r="S332" s="2"/>
      <c r="T332" s="2"/>
      <c r="U332" s="2"/>
      <c r="V332" s="2"/>
      <c r="W332" s="157"/>
      <c r="X332" s="157"/>
      <c r="Y332" s="157"/>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customHeight="1">
      <c r="A333" s="2"/>
      <c r="B333" s="2"/>
      <c r="C333" s="2"/>
      <c r="D333" s="2"/>
      <c r="E333" s="2"/>
      <c r="F333" s="2"/>
      <c r="G333" s="2"/>
      <c r="H333" s="2"/>
      <c r="I333" s="2"/>
      <c r="J333" s="2"/>
      <c r="K333" s="2"/>
      <c r="L333" s="2"/>
      <c r="M333" s="2"/>
      <c r="N333" s="2"/>
      <c r="O333" s="2"/>
      <c r="P333" s="2"/>
      <c r="Q333" s="2"/>
      <c r="R333" s="2"/>
      <c r="S333" s="2"/>
      <c r="T333" s="2"/>
      <c r="U333" s="2"/>
      <c r="V333" s="2"/>
      <c r="W333" s="157"/>
      <c r="X333" s="157"/>
      <c r="Y333" s="157"/>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customHeight="1">
      <c r="A334" s="2"/>
      <c r="B334" s="2"/>
      <c r="C334" s="2"/>
      <c r="D334" s="2"/>
      <c r="E334" s="2"/>
      <c r="F334" s="2"/>
      <c r="G334" s="2"/>
      <c r="H334" s="2"/>
      <c r="I334" s="2"/>
      <c r="J334" s="2"/>
      <c r="K334" s="2"/>
      <c r="L334" s="2"/>
      <c r="M334" s="2"/>
      <c r="N334" s="2"/>
      <c r="O334" s="2"/>
      <c r="P334" s="2"/>
      <c r="Q334" s="2"/>
      <c r="R334" s="2"/>
      <c r="S334" s="2"/>
      <c r="T334" s="2"/>
      <c r="U334" s="2"/>
      <c r="V334" s="2"/>
      <c r="W334" s="157"/>
      <c r="X334" s="157"/>
      <c r="Y334" s="157"/>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customHeight="1">
      <c r="A335" s="2"/>
      <c r="B335" s="2"/>
      <c r="C335" s="2"/>
      <c r="D335" s="2"/>
      <c r="E335" s="2"/>
      <c r="F335" s="2"/>
      <c r="G335" s="2"/>
      <c r="H335" s="2"/>
      <c r="I335" s="2"/>
      <c r="J335" s="2"/>
      <c r="K335" s="2"/>
      <c r="L335" s="2"/>
      <c r="M335" s="2"/>
      <c r="N335" s="2"/>
      <c r="O335" s="2"/>
      <c r="P335" s="2"/>
      <c r="Q335" s="2"/>
      <c r="R335" s="2"/>
      <c r="S335" s="2"/>
      <c r="T335" s="2"/>
      <c r="U335" s="2"/>
      <c r="V335" s="2"/>
      <c r="W335" s="157"/>
      <c r="X335" s="157"/>
      <c r="Y335" s="157"/>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customHeight="1">
      <c r="A336" s="2"/>
      <c r="B336" s="2"/>
      <c r="C336" s="2"/>
      <c r="D336" s="2"/>
      <c r="E336" s="2"/>
      <c r="F336" s="2"/>
      <c r="G336" s="2"/>
      <c r="H336" s="2"/>
      <c r="I336" s="2"/>
      <c r="J336" s="2"/>
      <c r="K336" s="2"/>
      <c r="L336" s="2"/>
      <c r="M336" s="2"/>
      <c r="N336" s="2"/>
      <c r="O336" s="2"/>
      <c r="P336" s="2"/>
      <c r="Q336" s="2"/>
      <c r="R336" s="2"/>
      <c r="S336" s="2"/>
      <c r="T336" s="2"/>
      <c r="U336" s="2"/>
      <c r="V336" s="2"/>
      <c r="W336" s="157"/>
      <c r="X336" s="157"/>
      <c r="Y336" s="157"/>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customHeight="1">
      <c r="A337" s="2"/>
      <c r="B337" s="2"/>
      <c r="C337" s="2"/>
      <c r="D337" s="2"/>
      <c r="E337" s="2"/>
      <c r="F337" s="2"/>
      <c r="G337" s="2"/>
      <c r="H337" s="2"/>
      <c r="I337" s="2"/>
      <c r="J337" s="2"/>
      <c r="K337" s="2"/>
      <c r="L337" s="2"/>
      <c r="M337" s="2"/>
      <c r="N337" s="2"/>
      <c r="O337" s="2"/>
      <c r="P337" s="2"/>
      <c r="Q337" s="2"/>
      <c r="R337" s="2"/>
      <c r="S337" s="2"/>
      <c r="T337" s="2"/>
      <c r="U337" s="2"/>
      <c r="V337" s="2"/>
      <c r="W337" s="157"/>
      <c r="X337" s="157"/>
      <c r="Y337" s="157"/>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customHeight="1">
      <c r="A338" s="2"/>
      <c r="B338" s="2"/>
      <c r="C338" s="2"/>
      <c r="D338" s="2"/>
      <c r="E338" s="2"/>
      <c r="F338" s="2"/>
      <c r="G338" s="2"/>
      <c r="H338" s="2"/>
      <c r="I338" s="2"/>
      <c r="J338" s="2"/>
      <c r="K338" s="2"/>
      <c r="L338" s="2"/>
      <c r="M338" s="2"/>
      <c r="N338" s="2"/>
      <c r="O338" s="2"/>
      <c r="P338" s="2"/>
      <c r="Q338" s="2"/>
      <c r="R338" s="2"/>
      <c r="S338" s="2"/>
      <c r="T338" s="2"/>
      <c r="U338" s="2"/>
      <c r="V338" s="2"/>
      <c r="W338" s="157"/>
      <c r="X338" s="157"/>
      <c r="Y338" s="157"/>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customHeight="1">
      <c r="A339" s="2"/>
      <c r="B339" s="2"/>
      <c r="C339" s="2"/>
      <c r="D339" s="2"/>
      <c r="E339" s="2"/>
      <c r="F339" s="2"/>
      <c r="G339" s="2"/>
      <c r="H339" s="2"/>
      <c r="I339" s="2"/>
      <c r="J339" s="2"/>
      <c r="K339" s="2"/>
      <c r="L339" s="2"/>
      <c r="M339" s="2"/>
      <c r="N339" s="2"/>
      <c r="O339" s="2"/>
      <c r="P339" s="2"/>
      <c r="Q339" s="2"/>
      <c r="R339" s="2"/>
      <c r="S339" s="2"/>
      <c r="T339" s="2"/>
      <c r="U339" s="2"/>
      <c r="V339" s="2"/>
      <c r="W339" s="157"/>
      <c r="X339" s="157"/>
      <c r="Y339" s="157"/>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customHeight="1">
      <c r="A340" s="2"/>
      <c r="B340" s="2"/>
      <c r="C340" s="2"/>
      <c r="D340" s="2"/>
      <c r="E340" s="2"/>
      <c r="F340" s="2"/>
      <c r="G340" s="2"/>
      <c r="H340" s="2"/>
      <c r="I340" s="2"/>
      <c r="J340" s="2"/>
      <c r="K340" s="2"/>
      <c r="L340" s="2"/>
      <c r="M340" s="2"/>
      <c r="N340" s="2"/>
      <c r="O340" s="2"/>
      <c r="P340" s="2"/>
      <c r="Q340" s="2"/>
      <c r="R340" s="2"/>
      <c r="S340" s="2"/>
      <c r="T340" s="2"/>
      <c r="U340" s="2"/>
      <c r="V340" s="2"/>
      <c r="W340" s="157"/>
      <c r="X340" s="157"/>
      <c r="Y340" s="157"/>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customHeight="1">
      <c r="A341" s="2"/>
      <c r="B341" s="2"/>
      <c r="C341" s="2"/>
      <c r="D341" s="2"/>
      <c r="E341" s="2"/>
      <c r="F341" s="2"/>
      <c r="G341" s="2"/>
      <c r="H341" s="2"/>
      <c r="I341" s="2"/>
      <c r="J341" s="2"/>
      <c r="K341" s="2"/>
      <c r="L341" s="2"/>
      <c r="M341" s="2"/>
      <c r="N341" s="2"/>
      <c r="O341" s="2"/>
      <c r="P341" s="2"/>
      <c r="Q341" s="2"/>
      <c r="R341" s="2"/>
      <c r="S341" s="2"/>
      <c r="T341" s="2"/>
      <c r="U341" s="2"/>
      <c r="V341" s="2"/>
      <c r="W341" s="157"/>
      <c r="X341" s="157"/>
      <c r="Y341" s="157"/>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customHeight="1">
      <c r="A342" s="2"/>
      <c r="B342" s="2"/>
      <c r="C342" s="2"/>
      <c r="D342" s="2"/>
      <c r="E342" s="2"/>
      <c r="F342" s="2"/>
      <c r="G342" s="2"/>
      <c r="H342" s="2"/>
      <c r="I342" s="2"/>
      <c r="J342" s="2"/>
      <c r="K342" s="2"/>
      <c r="L342" s="2"/>
      <c r="M342" s="2"/>
      <c r="N342" s="2"/>
      <c r="O342" s="2"/>
      <c r="P342" s="2"/>
      <c r="Q342" s="2"/>
      <c r="R342" s="2"/>
      <c r="S342" s="2"/>
      <c r="T342" s="2"/>
      <c r="U342" s="2"/>
      <c r="V342" s="2"/>
      <c r="W342" s="157"/>
      <c r="X342" s="157"/>
      <c r="Y342" s="157"/>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customHeight="1">
      <c r="A343" s="2"/>
      <c r="B343" s="2"/>
      <c r="C343" s="2"/>
      <c r="D343" s="2"/>
      <c r="E343" s="2"/>
      <c r="F343" s="2"/>
      <c r="G343" s="2"/>
      <c r="H343" s="2"/>
      <c r="I343" s="2"/>
      <c r="J343" s="2"/>
      <c r="K343" s="2"/>
      <c r="L343" s="2"/>
      <c r="M343" s="2"/>
      <c r="N343" s="2"/>
      <c r="O343" s="2"/>
      <c r="P343" s="2"/>
      <c r="Q343" s="2"/>
      <c r="R343" s="2"/>
      <c r="S343" s="2"/>
      <c r="T343" s="2"/>
      <c r="U343" s="2"/>
      <c r="V343" s="2"/>
      <c r="W343" s="157"/>
      <c r="X343" s="157"/>
      <c r="Y343" s="157"/>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customHeight="1">
      <c r="A344" s="2"/>
      <c r="B344" s="2"/>
      <c r="C344" s="2"/>
      <c r="D344" s="2"/>
      <c r="E344" s="2"/>
      <c r="F344" s="2"/>
      <c r="G344" s="2"/>
      <c r="H344" s="2"/>
      <c r="I344" s="2"/>
      <c r="J344" s="2"/>
      <c r="K344" s="2"/>
      <c r="L344" s="2"/>
      <c r="M344" s="2"/>
      <c r="N344" s="2"/>
      <c r="O344" s="2"/>
      <c r="P344" s="2"/>
      <c r="Q344" s="2"/>
      <c r="R344" s="2"/>
      <c r="S344" s="2"/>
      <c r="T344" s="2"/>
      <c r="U344" s="2"/>
      <c r="V344" s="2"/>
      <c r="W344" s="157"/>
      <c r="X344" s="157"/>
      <c r="Y344" s="157"/>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customHeight="1">
      <c r="A345" s="2"/>
      <c r="B345" s="2"/>
      <c r="C345" s="2"/>
      <c r="D345" s="2"/>
      <c r="E345" s="2"/>
      <c r="F345" s="2"/>
      <c r="G345" s="2"/>
      <c r="H345" s="2"/>
      <c r="I345" s="2"/>
      <c r="J345" s="2"/>
      <c r="K345" s="2"/>
      <c r="L345" s="2"/>
      <c r="M345" s="2"/>
      <c r="N345" s="2"/>
      <c r="O345" s="2"/>
      <c r="P345" s="2"/>
      <c r="Q345" s="2"/>
      <c r="R345" s="2"/>
      <c r="S345" s="2"/>
      <c r="T345" s="2"/>
      <c r="U345" s="2"/>
      <c r="V345" s="2"/>
      <c r="W345" s="157"/>
      <c r="X345" s="157"/>
      <c r="Y345" s="157"/>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customHeight="1">
      <c r="A346" s="2"/>
      <c r="B346" s="2"/>
      <c r="C346" s="2"/>
      <c r="D346" s="2"/>
      <c r="E346" s="2"/>
      <c r="F346" s="2"/>
      <c r="G346" s="2"/>
      <c r="H346" s="2"/>
      <c r="I346" s="2"/>
      <c r="J346" s="2"/>
      <c r="K346" s="2"/>
      <c r="L346" s="2"/>
      <c r="M346" s="2"/>
      <c r="N346" s="2"/>
      <c r="O346" s="2"/>
      <c r="P346" s="2"/>
      <c r="Q346" s="2"/>
      <c r="R346" s="2"/>
      <c r="S346" s="2"/>
      <c r="T346" s="2"/>
      <c r="U346" s="2"/>
      <c r="V346" s="2"/>
      <c r="W346" s="157"/>
      <c r="X346" s="157"/>
      <c r="Y346" s="157"/>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customHeight="1">
      <c r="A347" s="2"/>
      <c r="B347" s="2"/>
      <c r="C347" s="2"/>
      <c r="D347" s="2"/>
      <c r="E347" s="2"/>
      <c r="F347" s="2"/>
      <c r="G347" s="2"/>
      <c r="H347" s="2"/>
      <c r="I347" s="2"/>
      <c r="J347" s="2"/>
      <c r="K347" s="2"/>
      <c r="L347" s="2"/>
      <c r="M347" s="2"/>
      <c r="N347" s="2"/>
      <c r="O347" s="2"/>
      <c r="P347" s="2"/>
      <c r="Q347" s="2"/>
      <c r="R347" s="2"/>
      <c r="S347" s="2"/>
      <c r="T347" s="2"/>
      <c r="U347" s="2"/>
      <c r="V347" s="2"/>
      <c r="W347" s="157"/>
      <c r="X347" s="157"/>
      <c r="Y347" s="157"/>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customHeight="1">
      <c r="A348" s="2"/>
      <c r="B348" s="2"/>
      <c r="C348" s="2"/>
      <c r="D348" s="2"/>
      <c r="E348" s="2"/>
      <c r="F348" s="2"/>
      <c r="G348" s="2"/>
      <c r="H348" s="2"/>
      <c r="I348" s="2"/>
      <c r="J348" s="2"/>
      <c r="K348" s="2"/>
      <c r="L348" s="2"/>
      <c r="M348" s="2"/>
      <c r="N348" s="2"/>
      <c r="O348" s="2"/>
      <c r="P348" s="2"/>
      <c r="Q348" s="2"/>
      <c r="R348" s="2"/>
      <c r="S348" s="2"/>
      <c r="T348" s="2"/>
      <c r="U348" s="2"/>
      <c r="V348" s="2"/>
      <c r="W348" s="157"/>
      <c r="X348" s="157"/>
      <c r="Y348" s="157"/>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customHeight="1">
      <c r="A349" s="2"/>
      <c r="B349" s="2"/>
      <c r="C349" s="2"/>
      <c r="D349" s="2"/>
      <c r="E349" s="2"/>
      <c r="F349" s="2"/>
      <c r="G349" s="2"/>
      <c r="H349" s="2"/>
      <c r="I349" s="2"/>
      <c r="J349" s="2"/>
      <c r="K349" s="2"/>
      <c r="L349" s="2"/>
      <c r="M349" s="2"/>
      <c r="N349" s="2"/>
      <c r="O349" s="2"/>
      <c r="P349" s="2"/>
      <c r="Q349" s="2"/>
      <c r="R349" s="2"/>
      <c r="S349" s="2"/>
      <c r="T349" s="2"/>
      <c r="U349" s="2"/>
      <c r="V349" s="2"/>
      <c r="W349" s="157"/>
      <c r="X349" s="157"/>
      <c r="Y349" s="157"/>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customHeight="1">
      <c r="A350" s="2"/>
      <c r="B350" s="2"/>
      <c r="C350" s="2"/>
      <c r="D350" s="2"/>
      <c r="E350" s="2"/>
      <c r="F350" s="2"/>
      <c r="G350" s="2"/>
      <c r="H350" s="2"/>
      <c r="I350" s="2"/>
      <c r="J350" s="2"/>
      <c r="K350" s="2"/>
      <c r="L350" s="2"/>
      <c r="M350" s="2"/>
      <c r="N350" s="2"/>
      <c r="O350" s="2"/>
      <c r="P350" s="2"/>
      <c r="Q350" s="2"/>
      <c r="R350" s="2"/>
      <c r="S350" s="2"/>
      <c r="T350" s="2"/>
      <c r="U350" s="2"/>
      <c r="V350" s="2"/>
      <c r="W350" s="157"/>
      <c r="X350" s="157"/>
      <c r="Y350" s="157"/>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customHeight="1">
      <c r="A351" s="2"/>
      <c r="B351" s="2"/>
      <c r="C351" s="2"/>
      <c r="D351" s="2"/>
      <c r="E351" s="2"/>
      <c r="F351" s="2"/>
      <c r="G351" s="2"/>
      <c r="H351" s="2"/>
      <c r="I351" s="2"/>
      <c r="J351" s="2"/>
      <c r="K351" s="2"/>
      <c r="L351" s="2"/>
      <c r="M351" s="2"/>
      <c r="N351" s="2"/>
      <c r="O351" s="2"/>
      <c r="P351" s="2"/>
      <c r="Q351" s="2"/>
      <c r="R351" s="2"/>
      <c r="S351" s="2"/>
      <c r="T351" s="2"/>
      <c r="U351" s="2"/>
      <c r="V351" s="2"/>
      <c r="W351" s="157"/>
      <c r="X351" s="157"/>
      <c r="Y351" s="157"/>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customHeight="1">
      <c r="A352" s="2"/>
      <c r="B352" s="2"/>
      <c r="C352" s="2"/>
      <c r="D352" s="2"/>
      <c r="E352" s="2"/>
      <c r="F352" s="2"/>
      <c r="G352" s="2"/>
      <c r="H352" s="2"/>
      <c r="I352" s="2"/>
      <c r="J352" s="2"/>
      <c r="K352" s="2"/>
      <c r="L352" s="2"/>
      <c r="M352" s="2"/>
      <c r="N352" s="2"/>
      <c r="O352" s="2"/>
      <c r="P352" s="2"/>
      <c r="Q352" s="2"/>
      <c r="R352" s="2"/>
      <c r="S352" s="2"/>
      <c r="T352" s="2"/>
      <c r="U352" s="2"/>
      <c r="V352" s="2"/>
      <c r="W352" s="157"/>
      <c r="X352" s="157"/>
      <c r="Y352" s="157"/>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customHeight="1">
      <c r="A353" s="2"/>
      <c r="B353" s="2"/>
      <c r="C353" s="2"/>
      <c r="D353" s="2"/>
      <c r="E353" s="2"/>
      <c r="F353" s="2"/>
      <c r="G353" s="2"/>
      <c r="H353" s="2"/>
      <c r="I353" s="2"/>
      <c r="J353" s="2"/>
      <c r="K353" s="2"/>
      <c r="L353" s="2"/>
      <c r="M353" s="2"/>
      <c r="N353" s="2"/>
      <c r="O353" s="2"/>
      <c r="P353" s="2"/>
      <c r="Q353" s="2"/>
      <c r="R353" s="2"/>
      <c r="S353" s="2"/>
      <c r="T353" s="2"/>
      <c r="U353" s="2"/>
      <c r="V353" s="2"/>
      <c r="W353" s="157"/>
      <c r="X353" s="157"/>
      <c r="Y353" s="157"/>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customHeight="1">
      <c r="A354" s="2"/>
      <c r="B354" s="2"/>
      <c r="C354" s="2"/>
      <c r="D354" s="2"/>
      <c r="E354" s="2"/>
      <c r="F354" s="2"/>
      <c r="G354" s="2"/>
      <c r="H354" s="2"/>
      <c r="I354" s="2"/>
      <c r="J354" s="2"/>
      <c r="K354" s="2"/>
      <c r="L354" s="2"/>
      <c r="M354" s="2"/>
      <c r="N354" s="2"/>
      <c r="O354" s="2"/>
      <c r="P354" s="2"/>
      <c r="Q354" s="2"/>
      <c r="R354" s="2"/>
      <c r="S354" s="2"/>
      <c r="T354" s="2"/>
      <c r="U354" s="2"/>
      <c r="V354" s="2"/>
      <c r="W354" s="157"/>
      <c r="X354" s="157"/>
      <c r="Y354" s="157"/>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customHeight="1">
      <c r="A355" s="2"/>
      <c r="B355" s="2"/>
      <c r="C355" s="2"/>
      <c r="D355" s="2"/>
      <c r="E355" s="2"/>
      <c r="F355" s="2"/>
      <c r="G355" s="2"/>
      <c r="H355" s="2"/>
      <c r="I355" s="2"/>
      <c r="J355" s="2"/>
      <c r="K355" s="2"/>
      <c r="L355" s="2"/>
      <c r="M355" s="2"/>
      <c r="N355" s="2"/>
      <c r="O355" s="2"/>
      <c r="P355" s="2"/>
      <c r="Q355" s="2"/>
      <c r="R355" s="2"/>
      <c r="S355" s="2"/>
      <c r="T355" s="2"/>
      <c r="U355" s="2"/>
      <c r="V355" s="2"/>
      <c r="W355" s="157"/>
      <c r="X355" s="157"/>
      <c r="Y355" s="157"/>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customHeight="1">
      <c r="A356" s="2"/>
      <c r="B356" s="2"/>
      <c r="C356" s="2"/>
      <c r="D356" s="2"/>
      <c r="E356" s="2"/>
      <c r="F356" s="2"/>
      <c r="G356" s="2"/>
      <c r="H356" s="2"/>
      <c r="I356" s="2"/>
      <c r="J356" s="2"/>
      <c r="K356" s="2"/>
      <c r="L356" s="2"/>
      <c r="M356" s="2"/>
      <c r="N356" s="2"/>
      <c r="O356" s="2"/>
      <c r="P356" s="2"/>
      <c r="Q356" s="2"/>
      <c r="R356" s="2"/>
      <c r="S356" s="2"/>
      <c r="T356" s="2"/>
      <c r="U356" s="2"/>
      <c r="V356" s="2"/>
      <c r="W356" s="157"/>
      <c r="X356" s="157"/>
      <c r="Y356" s="157"/>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customHeight="1">
      <c r="A357" s="2"/>
      <c r="B357" s="2"/>
      <c r="C357" s="2"/>
      <c r="D357" s="2"/>
      <c r="E357" s="2"/>
      <c r="F357" s="2"/>
      <c r="G357" s="2"/>
      <c r="H357" s="2"/>
      <c r="I357" s="2"/>
      <c r="J357" s="2"/>
      <c r="K357" s="2"/>
      <c r="L357" s="2"/>
      <c r="M357" s="2"/>
      <c r="N357" s="2"/>
      <c r="O357" s="2"/>
      <c r="P357" s="2"/>
      <c r="Q357" s="2"/>
      <c r="R357" s="2"/>
      <c r="S357" s="2"/>
      <c r="T357" s="2"/>
      <c r="U357" s="2"/>
      <c r="V357" s="2"/>
      <c r="W357" s="157"/>
      <c r="X357" s="157"/>
      <c r="Y357" s="157"/>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customHeight="1">
      <c r="A358" s="2"/>
      <c r="B358" s="2"/>
      <c r="C358" s="2"/>
      <c r="D358" s="2"/>
      <c r="E358" s="2"/>
      <c r="F358" s="2"/>
      <c r="G358" s="2"/>
      <c r="H358" s="2"/>
      <c r="I358" s="2"/>
      <c r="J358" s="2"/>
      <c r="K358" s="2"/>
      <c r="L358" s="2"/>
      <c r="M358" s="2"/>
      <c r="N358" s="2"/>
      <c r="O358" s="2"/>
      <c r="P358" s="2"/>
      <c r="Q358" s="2"/>
      <c r="R358" s="2"/>
      <c r="S358" s="2"/>
      <c r="T358" s="2"/>
      <c r="U358" s="2"/>
      <c r="V358" s="2"/>
      <c r="W358" s="157"/>
      <c r="X358" s="157"/>
      <c r="Y358" s="157"/>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customHeight="1">
      <c r="A359" s="2"/>
      <c r="B359" s="2"/>
      <c r="C359" s="2"/>
      <c r="D359" s="2"/>
      <c r="E359" s="2"/>
      <c r="F359" s="2"/>
      <c r="G359" s="2"/>
      <c r="H359" s="2"/>
      <c r="I359" s="2"/>
      <c r="J359" s="2"/>
      <c r="K359" s="2"/>
      <c r="L359" s="2"/>
      <c r="M359" s="2"/>
      <c r="N359" s="2"/>
      <c r="O359" s="2"/>
      <c r="P359" s="2"/>
      <c r="Q359" s="2"/>
      <c r="R359" s="2"/>
      <c r="S359" s="2"/>
      <c r="T359" s="2"/>
      <c r="U359" s="2"/>
      <c r="V359" s="2"/>
      <c r="W359" s="157"/>
      <c r="X359" s="157"/>
      <c r="Y359" s="157"/>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customHeight="1">
      <c r="A360" s="2"/>
      <c r="B360" s="2"/>
      <c r="C360" s="2"/>
      <c r="D360" s="2"/>
      <c r="E360" s="2"/>
      <c r="F360" s="2"/>
      <c r="G360" s="2"/>
      <c r="H360" s="2"/>
      <c r="I360" s="2"/>
      <c r="J360" s="2"/>
      <c r="K360" s="2"/>
      <c r="L360" s="2"/>
      <c r="M360" s="2"/>
      <c r="N360" s="2"/>
      <c r="O360" s="2"/>
      <c r="P360" s="2"/>
      <c r="Q360" s="2"/>
      <c r="R360" s="2"/>
      <c r="S360" s="2"/>
      <c r="T360" s="2"/>
      <c r="U360" s="2"/>
      <c r="V360" s="2"/>
      <c r="W360" s="157"/>
      <c r="X360" s="157"/>
      <c r="Y360" s="157"/>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customHeight="1">
      <c r="A361" s="2"/>
      <c r="B361" s="2"/>
      <c r="C361" s="2"/>
      <c r="D361" s="2"/>
      <c r="E361" s="2"/>
      <c r="F361" s="2"/>
      <c r="G361" s="2"/>
      <c r="H361" s="2"/>
      <c r="I361" s="2"/>
      <c r="J361" s="2"/>
      <c r="K361" s="2"/>
      <c r="L361" s="2"/>
      <c r="M361" s="2"/>
      <c r="N361" s="2"/>
      <c r="O361" s="2"/>
      <c r="P361" s="2"/>
      <c r="Q361" s="2"/>
      <c r="R361" s="2"/>
      <c r="S361" s="2"/>
      <c r="T361" s="2"/>
      <c r="U361" s="2"/>
      <c r="V361" s="2"/>
      <c r="W361" s="157"/>
      <c r="X361" s="157"/>
      <c r="Y361" s="157"/>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customHeight="1">
      <c r="A362" s="2"/>
      <c r="B362" s="2"/>
      <c r="C362" s="2"/>
      <c r="D362" s="2"/>
      <c r="E362" s="2"/>
      <c r="F362" s="2"/>
      <c r="G362" s="2"/>
      <c r="H362" s="2"/>
      <c r="I362" s="2"/>
      <c r="J362" s="2"/>
      <c r="K362" s="2"/>
      <c r="L362" s="2"/>
      <c r="M362" s="2"/>
      <c r="N362" s="2"/>
      <c r="O362" s="2"/>
      <c r="P362" s="2"/>
      <c r="Q362" s="2"/>
      <c r="R362" s="2"/>
      <c r="S362" s="2"/>
      <c r="T362" s="2"/>
      <c r="U362" s="2"/>
      <c r="V362" s="2"/>
      <c r="W362" s="157"/>
      <c r="X362" s="157"/>
      <c r="Y362" s="157"/>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customHeight="1">
      <c r="A363" s="2"/>
      <c r="B363" s="2"/>
      <c r="C363" s="2"/>
      <c r="D363" s="2"/>
      <c r="E363" s="2"/>
      <c r="F363" s="2"/>
      <c r="G363" s="2"/>
      <c r="H363" s="2"/>
      <c r="I363" s="2"/>
      <c r="J363" s="2"/>
      <c r="K363" s="2"/>
      <c r="L363" s="2"/>
      <c r="M363" s="2"/>
      <c r="N363" s="2"/>
      <c r="O363" s="2"/>
      <c r="P363" s="2"/>
      <c r="Q363" s="2"/>
      <c r="R363" s="2"/>
      <c r="S363" s="2"/>
      <c r="T363" s="2"/>
      <c r="U363" s="2"/>
      <c r="V363" s="2"/>
      <c r="W363" s="157"/>
      <c r="X363" s="157"/>
      <c r="Y363" s="157"/>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customHeight="1">
      <c r="A364" s="2"/>
      <c r="B364" s="2"/>
      <c r="C364" s="2"/>
      <c r="D364" s="2"/>
      <c r="E364" s="2"/>
      <c r="F364" s="2"/>
      <c r="G364" s="2"/>
      <c r="H364" s="2"/>
      <c r="I364" s="2"/>
      <c r="J364" s="2"/>
      <c r="K364" s="2"/>
      <c r="L364" s="2"/>
      <c r="M364" s="2"/>
      <c r="N364" s="2"/>
      <c r="O364" s="2"/>
      <c r="P364" s="2"/>
      <c r="Q364" s="2"/>
      <c r="R364" s="2"/>
      <c r="S364" s="2"/>
      <c r="T364" s="2"/>
      <c r="U364" s="2"/>
      <c r="V364" s="2"/>
      <c r="W364" s="157"/>
      <c r="X364" s="157"/>
      <c r="Y364" s="157"/>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customHeight="1">
      <c r="A365" s="2"/>
      <c r="B365" s="2"/>
      <c r="C365" s="2"/>
      <c r="D365" s="2"/>
      <c r="E365" s="2"/>
      <c r="F365" s="2"/>
      <c r="G365" s="2"/>
      <c r="H365" s="2"/>
      <c r="I365" s="2"/>
      <c r="J365" s="2"/>
      <c r="K365" s="2"/>
      <c r="L365" s="2"/>
      <c r="M365" s="2"/>
      <c r="N365" s="2"/>
      <c r="O365" s="2"/>
      <c r="P365" s="2"/>
      <c r="Q365" s="2"/>
      <c r="R365" s="2"/>
      <c r="S365" s="2"/>
      <c r="T365" s="2"/>
      <c r="U365" s="2"/>
      <c r="V365" s="2"/>
      <c r="W365" s="157"/>
      <c r="X365" s="157"/>
      <c r="Y365" s="157"/>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customHeight="1">
      <c r="A366" s="2"/>
      <c r="B366" s="2"/>
      <c r="C366" s="2"/>
      <c r="D366" s="2"/>
      <c r="E366" s="2"/>
      <c r="F366" s="2"/>
      <c r="G366" s="2"/>
      <c r="H366" s="2"/>
      <c r="I366" s="2"/>
      <c r="J366" s="2"/>
      <c r="K366" s="2"/>
      <c r="L366" s="2"/>
      <c r="M366" s="2"/>
      <c r="N366" s="2"/>
      <c r="O366" s="2"/>
      <c r="P366" s="2"/>
      <c r="Q366" s="2"/>
      <c r="R366" s="2"/>
      <c r="S366" s="2"/>
      <c r="T366" s="2"/>
      <c r="U366" s="2"/>
      <c r="V366" s="2"/>
      <c r="W366" s="157"/>
      <c r="X366" s="157"/>
      <c r="Y366" s="157"/>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customHeight="1">
      <c r="A367" s="2"/>
      <c r="B367" s="2"/>
      <c r="C367" s="2"/>
      <c r="D367" s="2"/>
      <c r="E367" s="2"/>
      <c r="F367" s="2"/>
      <c r="G367" s="2"/>
      <c r="H367" s="2"/>
      <c r="I367" s="2"/>
      <c r="J367" s="2"/>
      <c r="K367" s="2"/>
      <c r="L367" s="2"/>
      <c r="M367" s="2"/>
      <c r="N367" s="2"/>
      <c r="O367" s="2"/>
      <c r="P367" s="2"/>
      <c r="Q367" s="2"/>
      <c r="R367" s="2"/>
      <c r="S367" s="2"/>
      <c r="T367" s="2"/>
      <c r="U367" s="2"/>
      <c r="V367" s="2"/>
      <c r="W367" s="157"/>
      <c r="X367" s="157"/>
      <c r="Y367" s="157"/>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customHeight="1">
      <c r="A368" s="2"/>
      <c r="B368" s="2"/>
      <c r="C368" s="2"/>
      <c r="D368" s="2"/>
      <c r="E368" s="2"/>
      <c r="F368" s="2"/>
      <c r="G368" s="2"/>
      <c r="H368" s="2"/>
      <c r="I368" s="2"/>
      <c r="J368" s="2"/>
      <c r="K368" s="2"/>
      <c r="L368" s="2"/>
      <c r="M368" s="2"/>
      <c r="N368" s="2"/>
      <c r="O368" s="2"/>
      <c r="P368" s="2"/>
      <c r="Q368" s="2"/>
      <c r="R368" s="2"/>
      <c r="S368" s="2"/>
      <c r="T368" s="2"/>
      <c r="U368" s="2"/>
      <c r="V368" s="2"/>
      <c r="W368" s="157"/>
      <c r="X368" s="157"/>
      <c r="Y368" s="157"/>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customHeight="1">
      <c r="A369" s="2"/>
      <c r="B369" s="2"/>
      <c r="C369" s="2"/>
      <c r="D369" s="2"/>
      <c r="E369" s="2"/>
      <c r="F369" s="2"/>
      <c r="G369" s="2"/>
      <c r="H369" s="2"/>
      <c r="I369" s="2"/>
      <c r="J369" s="2"/>
      <c r="K369" s="2"/>
      <c r="L369" s="2"/>
      <c r="M369" s="2"/>
      <c r="N369" s="2"/>
      <c r="O369" s="2"/>
      <c r="P369" s="2"/>
      <c r="Q369" s="2"/>
      <c r="R369" s="2"/>
      <c r="S369" s="2"/>
      <c r="T369" s="2"/>
      <c r="U369" s="2"/>
      <c r="V369" s="2"/>
      <c r="W369" s="157"/>
      <c r="X369" s="157"/>
      <c r="Y369" s="157"/>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customHeight="1">
      <c r="A370" s="2"/>
      <c r="B370" s="2"/>
      <c r="C370" s="2"/>
      <c r="D370" s="2"/>
      <c r="E370" s="2"/>
      <c r="F370" s="2"/>
      <c r="G370" s="2"/>
      <c r="H370" s="2"/>
      <c r="I370" s="2"/>
      <c r="J370" s="2"/>
      <c r="K370" s="2"/>
      <c r="L370" s="2"/>
      <c r="M370" s="2"/>
      <c r="N370" s="2"/>
      <c r="O370" s="2"/>
      <c r="P370" s="2"/>
      <c r="Q370" s="2"/>
      <c r="R370" s="2"/>
      <c r="S370" s="2"/>
      <c r="T370" s="2"/>
      <c r="U370" s="2"/>
      <c r="V370" s="2"/>
      <c r="W370" s="157"/>
      <c r="X370" s="157"/>
      <c r="Y370" s="157"/>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customHeight="1">
      <c r="A371" s="2"/>
      <c r="B371" s="2"/>
      <c r="C371" s="2"/>
      <c r="D371" s="2"/>
      <c r="E371" s="2"/>
      <c r="F371" s="2"/>
      <c r="G371" s="2"/>
      <c r="H371" s="2"/>
      <c r="I371" s="2"/>
      <c r="J371" s="2"/>
      <c r="K371" s="2"/>
      <c r="L371" s="2"/>
      <c r="M371" s="2"/>
      <c r="N371" s="2"/>
      <c r="O371" s="2"/>
      <c r="P371" s="2"/>
      <c r="Q371" s="2"/>
      <c r="R371" s="2"/>
      <c r="S371" s="2"/>
      <c r="T371" s="2"/>
      <c r="U371" s="2"/>
      <c r="V371" s="2"/>
      <c r="W371" s="157"/>
      <c r="X371" s="157"/>
      <c r="Y371" s="157"/>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customHeight="1">
      <c r="A372" s="2"/>
      <c r="B372" s="2"/>
      <c r="C372" s="2"/>
      <c r="D372" s="2"/>
      <c r="E372" s="2"/>
      <c r="F372" s="2"/>
      <c r="G372" s="2"/>
      <c r="H372" s="2"/>
      <c r="I372" s="2"/>
      <c r="J372" s="2"/>
      <c r="K372" s="2"/>
      <c r="L372" s="2"/>
      <c r="M372" s="2"/>
      <c r="N372" s="2"/>
      <c r="O372" s="2"/>
      <c r="P372" s="2"/>
      <c r="Q372" s="2"/>
      <c r="R372" s="2"/>
      <c r="S372" s="2"/>
      <c r="T372" s="2"/>
      <c r="U372" s="2"/>
      <c r="V372" s="2"/>
      <c r="W372" s="157"/>
      <c r="X372" s="157"/>
      <c r="Y372" s="157"/>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customHeight="1">
      <c r="A373" s="2"/>
      <c r="B373" s="2"/>
      <c r="C373" s="2"/>
      <c r="D373" s="2"/>
      <c r="E373" s="2"/>
      <c r="F373" s="2"/>
      <c r="G373" s="2"/>
      <c r="H373" s="2"/>
      <c r="I373" s="2"/>
      <c r="J373" s="2"/>
      <c r="K373" s="2"/>
      <c r="L373" s="2"/>
      <c r="M373" s="2"/>
      <c r="N373" s="2"/>
      <c r="O373" s="2"/>
      <c r="P373" s="2"/>
      <c r="Q373" s="2"/>
      <c r="R373" s="2"/>
      <c r="S373" s="2"/>
      <c r="T373" s="2"/>
      <c r="U373" s="2"/>
      <c r="V373" s="2"/>
      <c r="W373" s="157"/>
      <c r="X373" s="157"/>
      <c r="Y373" s="157"/>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customHeight="1">
      <c r="A374" s="2"/>
      <c r="B374" s="2"/>
      <c r="C374" s="2"/>
      <c r="D374" s="2"/>
      <c r="E374" s="2"/>
      <c r="F374" s="2"/>
      <c r="G374" s="2"/>
      <c r="H374" s="2"/>
      <c r="I374" s="2"/>
      <c r="J374" s="2"/>
      <c r="K374" s="2"/>
      <c r="L374" s="2"/>
      <c r="M374" s="2"/>
      <c r="N374" s="2"/>
      <c r="O374" s="2"/>
      <c r="P374" s="2"/>
      <c r="Q374" s="2"/>
      <c r="R374" s="2"/>
      <c r="S374" s="2"/>
      <c r="T374" s="2"/>
      <c r="U374" s="2"/>
      <c r="V374" s="2"/>
      <c r="W374" s="157"/>
      <c r="X374" s="157"/>
      <c r="Y374" s="157"/>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customHeight="1">
      <c r="A375" s="2"/>
      <c r="B375" s="2"/>
      <c r="C375" s="2"/>
      <c r="D375" s="2"/>
      <c r="E375" s="2"/>
      <c r="F375" s="2"/>
      <c r="G375" s="2"/>
      <c r="H375" s="2"/>
      <c r="I375" s="2"/>
      <c r="J375" s="2"/>
      <c r="K375" s="2"/>
      <c r="L375" s="2"/>
      <c r="M375" s="2"/>
      <c r="N375" s="2"/>
      <c r="O375" s="2"/>
      <c r="P375" s="2"/>
      <c r="Q375" s="2"/>
      <c r="R375" s="2"/>
      <c r="S375" s="2"/>
      <c r="T375" s="2"/>
      <c r="U375" s="2"/>
      <c r="V375" s="2"/>
      <c r="W375" s="157"/>
      <c r="X375" s="157"/>
      <c r="Y375" s="157"/>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customHeight="1">
      <c r="A376" s="2"/>
      <c r="B376" s="2"/>
      <c r="C376" s="2"/>
      <c r="D376" s="2"/>
      <c r="E376" s="2"/>
      <c r="F376" s="2"/>
      <c r="G376" s="2"/>
      <c r="H376" s="2"/>
      <c r="I376" s="2"/>
      <c r="J376" s="2"/>
      <c r="K376" s="2"/>
      <c r="L376" s="2"/>
      <c r="M376" s="2"/>
      <c r="N376" s="2"/>
      <c r="O376" s="2"/>
      <c r="P376" s="2"/>
      <c r="Q376" s="2"/>
      <c r="R376" s="2"/>
      <c r="S376" s="2"/>
      <c r="T376" s="2"/>
      <c r="U376" s="2"/>
      <c r="V376" s="2"/>
      <c r="W376" s="157"/>
      <c r="X376" s="157"/>
      <c r="Y376" s="157"/>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customHeight="1">
      <c r="A377" s="2"/>
      <c r="B377" s="2"/>
      <c r="C377" s="2"/>
      <c r="D377" s="2"/>
      <c r="E377" s="2"/>
      <c r="F377" s="2"/>
      <c r="G377" s="2"/>
      <c r="H377" s="2"/>
      <c r="I377" s="2"/>
      <c r="J377" s="2"/>
      <c r="K377" s="2"/>
      <c r="L377" s="2"/>
      <c r="M377" s="2"/>
      <c r="N377" s="2"/>
      <c r="O377" s="2"/>
      <c r="P377" s="2"/>
      <c r="Q377" s="2"/>
      <c r="R377" s="2"/>
      <c r="S377" s="2"/>
      <c r="T377" s="2"/>
      <c r="U377" s="2"/>
      <c r="V377" s="2"/>
      <c r="W377" s="157"/>
      <c r="X377" s="157"/>
      <c r="Y377" s="157"/>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customHeight="1">
      <c r="A378" s="2"/>
      <c r="B378" s="2"/>
      <c r="C378" s="2"/>
      <c r="D378" s="2"/>
      <c r="E378" s="2"/>
      <c r="F378" s="2"/>
      <c r="G378" s="2"/>
      <c r="H378" s="2"/>
      <c r="I378" s="2"/>
      <c r="J378" s="2"/>
      <c r="K378" s="2"/>
      <c r="L378" s="2"/>
      <c r="M378" s="2"/>
      <c r="N378" s="2"/>
      <c r="O378" s="2"/>
      <c r="P378" s="2"/>
      <c r="Q378" s="2"/>
      <c r="R378" s="2"/>
      <c r="S378" s="2"/>
      <c r="T378" s="2"/>
      <c r="U378" s="2"/>
      <c r="V378" s="2"/>
      <c r="W378" s="157"/>
      <c r="X378" s="157"/>
      <c r="Y378" s="157"/>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customHeight="1">
      <c r="A379" s="2"/>
      <c r="B379" s="2"/>
      <c r="C379" s="2"/>
      <c r="D379" s="2"/>
      <c r="E379" s="2"/>
      <c r="F379" s="2"/>
      <c r="G379" s="2"/>
      <c r="H379" s="2"/>
      <c r="I379" s="2"/>
      <c r="J379" s="2"/>
      <c r="K379" s="2"/>
      <c r="L379" s="2"/>
      <c r="M379" s="2"/>
      <c r="N379" s="2"/>
      <c r="O379" s="2"/>
      <c r="P379" s="2"/>
      <c r="Q379" s="2"/>
      <c r="R379" s="2"/>
      <c r="S379" s="2"/>
      <c r="T379" s="2"/>
      <c r="U379" s="2"/>
      <c r="V379" s="2"/>
      <c r="W379" s="157"/>
      <c r="X379" s="157"/>
      <c r="Y379" s="157"/>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customHeight="1">
      <c r="A380" s="2"/>
      <c r="B380" s="2"/>
      <c r="C380" s="2"/>
      <c r="D380" s="2"/>
      <c r="E380" s="2"/>
      <c r="F380" s="2"/>
      <c r="G380" s="2"/>
      <c r="H380" s="2"/>
      <c r="I380" s="2"/>
      <c r="J380" s="2"/>
      <c r="K380" s="2"/>
      <c r="L380" s="2"/>
      <c r="M380" s="2"/>
      <c r="N380" s="2"/>
      <c r="O380" s="2"/>
      <c r="P380" s="2"/>
      <c r="Q380" s="2"/>
      <c r="R380" s="2"/>
      <c r="S380" s="2"/>
      <c r="T380" s="2"/>
      <c r="U380" s="2"/>
      <c r="V380" s="2"/>
      <c r="W380" s="157"/>
      <c r="X380" s="157"/>
      <c r="Y380" s="157"/>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customHeight="1">
      <c r="A381" s="2"/>
      <c r="B381" s="2"/>
      <c r="C381" s="2"/>
      <c r="D381" s="2"/>
      <c r="E381" s="2"/>
      <c r="F381" s="2"/>
      <c r="G381" s="2"/>
      <c r="H381" s="2"/>
      <c r="I381" s="2"/>
      <c r="J381" s="2"/>
      <c r="K381" s="2"/>
      <c r="L381" s="2"/>
      <c r="M381" s="2"/>
      <c r="N381" s="2"/>
      <c r="O381" s="2"/>
      <c r="P381" s="2"/>
      <c r="Q381" s="2"/>
      <c r="R381" s="2"/>
      <c r="S381" s="2"/>
      <c r="T381" s="2"/>
      <c r="U381" s="2"/>
      <c r="V381" s="2"/>
      <c r="W381" s="157"/>
      <c r="X381" s="157"/>
      <c r="Y381" s="157"/>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customHeight="1">
      <c r="A382" s="2"/>
      <c r="B382" s="2"/>
      <c r="C382" s="2"/>
      <c r="D382" s="2"/>
      <c r="E382" s="2"/>
      <c r="F382" s="2"/>
      <c r="G382" s="2"/>
      <c r="H382" s="2"/>
      <c r="I382" s="2"/>
      <c r="J382" s="2"/>
      <c r="K382" s="2"/>
      <c r="L382" s="2"/>
      <c r="M382" s="2"/>
      <c r="N382" s="2"/>
      <c r="O382" s="2"/>
      <c r="P382" s="2"/>
      <c r="Q382" s="2"/>
      <c r="R382" s="2"/>
      <c r="S382" s="2"/>
      <c r="T382" s="2"/>
      <c r="U382" s="2"/>
      <c r="V382" s="2"/>
      <c r="W382" s="157"/>
      <c r="X382" s="157"/>
      <c r="Y382" s="157"/>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customHeight="1">
      <c r="A383" s="2"/>
      <c r="B383" s="2"/>
      <c r="C383" s="2"/>
      <c r="D383" s="2"/>
      <c r="E383" s="2"/>
      <c r="F383" s="2"/>
      <c r="G383" s="2"/>
      <c r="H383" s="2"/>
      <c r="I383" s="2"/>
      <c r="J383" s="2"/>
      <c r="K383" s="2"/>
      <c r="L383" s="2"/>
      <c r="M383" s="2"/>
      <c r="N383" s="2"/>
      <c r="O383" s="2"/>
      <c r="P383" s="2"/>
      <c r="Q383" s="2"/>
      <c r="R383" s="2"/>
      <c r="S383" s="2"/>
      <c r="T383" s="2"/>
      <c r="U383" s="2"/>
      <c r="V383" s="2"/>
      <c r="W383" s="157"/>
      <c r="X383" s="157"/>
      <c r="Y383" s="157"/>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customHeight="1">
      <c r="A384" s="2"/>
      <c r="B384" s="2"/>
      <c r="C384" s="2"/>
      <c r="D384" s="2"/>
      <c r="E384" s="2"/>
      <c r="F384" s="2"/>
      <c r="G384" s="2"/>
      <c r="H384" s="2"/>
      <c r="I384" s="2"/>
      <c r="J384" s="2"/>
      <c r="K384" s="2"/>
      <c r="L384" s="2"/>
      <c r="M384" s="2"/>
      <c r="N384" s="2"/>
      <c r="O384" s="2"/>
      <c r="P384" s="2"/>
      <c r="Q384" s="2"/>
      <c r="R384" s="2"/>
      <c r="S384" s="2"/>
      <c r="T384" s="2"/>
      <c r="U384" s="2"/>
      <c r="V384" s="2"/>
      <c r="W384" s="157"/>
      <c r="X384" s="157"/>
      <c r="Y384" s="157"/>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customHeight="1">
      <c r="A385" s="2"/>
      <c r="B385" s="2"/>
      <c r="C385" s="2"/>
      <c r="D385" s="2"/>
      <c r="E385" s="2"/>
      <c r="F385" s="2"/>
      <c r="G385" s="2"/>
      <c r="H385" s="2"/>
      <c r="I385" s="2"/>
      <c r="J385" s="2"/>
      <c r="K385" s="2"/>
      <c r="L385" s="2"/>
      <c r="M385" s="2"/>
      <c r="N385" s="2"/>
      <c r="O385" s="2"/>
      <c r="P385" s="2"/>
      <c r="Q385" s="2"/>
      <c r="R385" s="2"/>
      <c r="S385" s="2"/>
      <c r="T385" s="2"/>
      <c r="U385" s="2"/>
      <c r="V385" s="2"/>
      <c r="W385" s="157"/>
      <c r="X385" s="157"/>
      <c r="Y385" s="157"/>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customHeight="1">
      <c r="A386" s="2"/>
      <c r="B386" s="2"/>
      <c r="C386" s="2"/>
      <c r="D386" s="2"/>
      <c r="E386" s="2"/>
      <c r="F386" s="2"/>
      <c r="G386" s="2"/>
      <c r="H386" s="2"/>
      <c r="I386" s="2"/>
      <c r="J386" s="2"/>
      <c r="K386" s="2"/>
      <c r="L386" s="2"/>
      <c r="M386" s="2"/>
      <c r="N386" s="2"/>
      <c r="O386" s="2"/>
      <c r="P386" s="2"/>
      <c r="Q386" s="2"/>
      <c r="R386" s="2"/>
      <c r="S386" s="2"/>
      <c r="T386" s="2"/>
      <c r="U386" s="2"/>
      <c r="V386" s="2"/>
      <c r="W386" s="157"/>
      <c r="X386" s="157"/>
      <c r="Y386" s="157"/>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customHeight="1">
      <c r="A387" s="2"/>
      <c r="B387" s="2"/>
      <c r="C387" s="2"/>
      <c r="D387" s="2"/>
      <c r="E387" s="2"/>
      <c r="F387" s="2"/>
      <c r="G387" s="2"/>
      <c r="H387" s="2"/>
      <c r="I387" s="2"/>
      <c r="J387" s="2"/>
      <c r="K387" s="2"/>
      <c r="L387" s="2"/>
      <c r="M387" s="2"/>
      <c r="N387" s="2"/>
      <c r="O387" s="2"/>
      <c r="P387" s="2"/>
      <c r="Q387" s="2"/>
      <c r="R387" s="2"/>
      <c r="S387" s="2"/>
      <c r="T387" s="2"/>
      <c r="U387" s="2"/>
      <c r="V387" s="2"/>
      <c r="W387" s="157"/>
      <c r="X387" s="157"/>
      <c r="Y387" s="157"/>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customHeight="1">
      <c r="A388" s="2"/>
      <c r="B388" s="2"/>
      <c r="C388" s="2"/>
      <c r="D388" s="2"/>
      <c r="E388" s="2"/>
      <c r="F388" s="2"/>
      <c r="G388" s="2"/>
      <c r="H388" s="2"/>
      <c r="I388" s="2"/>
      <c r="J388" s="2"/>
      <c r="K388" s="2"/>
      <c r="L388" s="2"/>
      <c r="M388" s="2"/>
      <c r="N388" s="2"/>
      <c r="O388" s="2"/>
      <c r="P388" s="2"/>
      <c r="Q388" s="2"/>
      <c r="R388" s="2"/>
      <c r="S388" s="2"/>
      <c r="T388" s="2"/>
      <c r="U388" s="2"/>
      <c r="V388" s="2"/>
      <c r="W388" s="157"/>
      <c r="X388" s="157"/>
      <c r="Y388" s="157"/>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customHeight="1">
      <c r="A389" s="2"/>
      <c r="B389" s="2"/>
      <c r="C389" s="2"/>
      <c r="D389" s="2"/>
      <c r="E389" s="2"/>
      <c r="F389" s="2"/>
      <c r="G389" s="2"/>
      <c r="H389" s="2"/>
      <c r="I389" s="2"/>
      <c r="J389" s="2"/>
      <c r="K389" s="2"/>
      <c r="L389" s="2"/>
      <c r="M389" s="2"/>
      <c r="N389" s="2"/>
      <c r="O389" s="2"/>
      <c r="P389" s="2"/>
      <c r="Q389" s="2"/>
      <c r="R389" s="2"/>
      <c r="S389" s="2"/>
      <c r="T389" s="2"/>
      <c r="U389" s="2"/>
      <c r="V389" s="2"/>
      <c r="W389" s="157"/>
      <c r="X389" s="157"/>
      <c r="Y389" s="157"/>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customHeight="1">
      <c r="A390" s="2"/>
      <c r="B390" s="2"/>
      <c r="C390" s="2"/>
      <c r="D390" s="2"/>
      <c r="E390" s="2"/>
      <c r="F390" s="2"/>
      <c r="G390" s="2"/>
      <c r="H390" s="2"/>
      <c r="I390" s="2"/>
      <c r="J390" s="2"/>
      <c r="K390" s="2"/>
      <c r="L390" s="2"/>
      <c r="M390" s="2"/>
      <c r="N390" s="2"/>
      <c r="O390" s="2"/>
      <c r="P390" s="2"/>
      <c r="Q390" s="2"/>
      <c r="R390" s="2"/>
      <c r="S390" s="2"/>
      <c r="T390" s="2"/>
      <c r="U390" s="2"/>
      <c r="V390" s="2"/>
      <c r="W390" s="157"/>
      <c r="X390" s="157"/>
      <c r="Y390" s="157"/>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customHeight="1">
      <c r="A391" s="2"/>
      <c r="B391" s="2"/>
      <c r="C391" s="2"/>
      <c r="D391" s="2"/>
      <c r="E391" s="2"/>
      <c r="F391" s="2"/>
      <c r="G391" s="2"/>
      <c r="H391" s="2"/>
      <c r="I391" s="2"/>
      <c r="J391" s="2"/>
      <c r="K391" s="2"/>
      <c r="L391" s="2"/>
      <c r="M391" s="2"/>
      <c r="N391" s="2"/>
      <c r="O391" s="2"/>
      <c r="P391" s="2"/>
      <c r="Q391" s="2"/>
      <c r="R391" s="2"/>
      <c r="S391" s="2"/>
      <c r="T391" s="2"/>
      <c r="U391" s="2"/>
      <c r="V391" s="2"/>
      <c r="W391" s="157"/>
      <c r="X391" s="157"/>
      <c r="Y391" s="157"/>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customHeight="1">
      <c r="A392" s="2"/>
      <c r="B392" s="2"/>
      <c r="C392" s="2"/>
      <c r="D392" s="2"/>
      <c r="E392" s="2"/>
      <c r="F392" s="2"/>
      <c r="G392" s="2"/>
      <c r="H392" s="2"/>
      <c r="I392" s="2"/>
      <c r="J392" s="2"/>
      <c r="K392" s="2"/>
      <c r="L392" s="2"/>
      <c r="M392" s="2"/>
      <c r="N392" s="2"/>
      <c r="O392" s="2"/>
      <c r="P392" s="2"/>
      <c r="Q392" s="2"/>
      <c r="R392" s="2"/>
      <c r="S392" s="2"/>
      <c r="T392" s="2"/>
      <c r="U392" s="2"/>
      <c r="V392" s="2"/>
      <c r="W392" s="157"/>
      <c r="X392" s="157"/>
      <c r="Y392" s="157"/>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customHeight="1">
      <c r="A393" s="2"/>
      <c r="B393" s="2"/>
      <c r="C393" s="2"/>
      <c r="D393" s="2"/>
      <c r="E393" s="2"/>
      <c r="F393" s="2"/>
      <c r="G393" s="2"/>
      <c r="H393" s="2"/>
      <c r="I393" s="2"/>
      <c r="J393" s="2"/>
      <c r="K393" s="2"/>
      <c r="L393" s="2"/>
      <c r="M393" s="2"/>
      <c r="N393" s="2"/>
      <c r="O393" s="2"/>
      <c r="P393" s="2"/>
      <c r="Q393" s="2"/>
      <c r="R393" s="2"/>
      <c r="S393" s="2"/>
      <c r="T393" s="2"/>
      <c r="U393" s="2"/>
      <c r="V393" s="2"/>
      <c r="W393" s="157"/>
      <c r="X393" s="157"/>
      <c r="Y393" s="157"/>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customHeight="1">
      <c r="A394" s="2"/>
      <c r="B394" s="2"/>
      <c r="C394" s="2"/>
      <c r="D394" s="2"/>
      <c r="E394" s="2"/>
      <c r="F394" s="2"/>
      <c r="G394" s="2"/>
      <c r="H394" s="2"/>
      <c r="I394" s="2"/>
      <c r="J394" s="2"/>
      <c r="K394" s="2"/>
      <c r="L394" s="2"/>
      <c r="M394" s="2"/>
      <c r="N394" s="2"/>
      <c r="O394" s="2"/>
      <c r="P394" s="2"/>
      <c r="Q394" s="2"/>
      <c r="R394" s="2"/>
      <c r="S394" s="2"/>
      <c r="T394" s="2"/>
      <c r="U394" s="2"/>
      <c r="V394" s="2"/>
      <c r="W394" s="157"/>
      <c r="X394" s="157"/>
      <c r="Y394" s="157"/>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customHeight="1">
      <c r="A395" s="2"/>
      <c r="B395" s="2"/>
      <c r="C395" s="2"/>
      <c r="D395" s="2"/>
      <c r="E395" s="2"/>
      <c r="F395" s="2"/>
      <c r="G395" s="2"/>
      <c r="H395" s="2"/>
      <c r="I395" s="2"/>
      <c r="J395" s="2"/>
      <c r="K395" s="2"/>
      <c r="L395" s="2"/>
      <c r="M395" s="2"/>
      <c r="N395" s="2"/>
      <c r="O395" s="2"/>
      <c r="P395" s="2"/>
      <c r="Q395" s="2"/>
      <c r="R395" s="2"/>
      <c r="S395" s="2"/>
      <c r="T395" s="2"/>
      <c r="U395" s="2"/>
      <c r="V395" s="2"/>
      <c r="W395" s="157"/>
      <c r="X395" s="157"/>
      <c r="Y395" s="157"/>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customHeight="1">
      <c r="A396" s="2"/>
      <c r="B396" s="2"/>
      <c r="C396" s="2"/>
      <c r="D396" s="2"/>
      <c r="E396" s="2"/>
      <c r="F396" s="2"/>
      <c r="G396" s="2"/>
      <c r="H396" s="2"/>
      <c r="I396" s="2"/>
      <c r="J396" s="2"/>
      <c r="K396" s="2"/>
      <c r="L396" s="2"/>
      <c r="M396" s="2"/>
      <c r="N396" s="2"/>
      <c r="O396" s="2"/>
      <c r="P396" s="2"/>
      <c r="Q396" s="2"/>
      <c r="R396" s="2"/>
      <c r="S396" s="2"/>
      <c r="T396" s="2"/>
      <c r="U396" s="2"/>
      <c r="V396" s="2"/>
      <c r="W396" s="157"/>
      <c r="X396" s="157"/>
      <c r="Y396" s="157"/>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customHeight="1">
      <c r="A397" s="2"/>
      <c r="B397" s="2"/>
      <c r="C397" s="2"/>
      <c r="D397" s="2"/>
      <c r="E397" s="2"/>
      <c r="F397" s="2"/>
      <c r="G397" s="2"/>
      <c r="H397" s="2"/>
      <c r="I397" s="2"/>
      <c r="J397" s="2"/>
      <c r="K397" s="2"/>
      <c r="L397" s="2"/>
      <c r="M397" s="2"/>
      <c r="N397" s="2"/>
      <c r="O397" s="2"/>
      <c r="P397" s="2"/>
      <c r="Q397" s="2"/>
      <c r="R397" s="2"/>
      <c r="S397" s="2"/>
      <c r="T397" s="2"/>
      <c r="U397" s="2"/>
      <c r="V397" s="2"/>
      <c r="W397" s="157"/>
      <c r="X397" s="157"/>
      <c r="Y397" s="157"/>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customHeight="1">
      <c r="A398" s="2"/>
      <c r="B398" s="2"/>
      <c r="C398" s="2"/>
      <c r="D398" s="2"/>
      <c r="E398" s="2"/>
      <c r="F398" s="2"/>
      <c r="G398" s="2"/>
      <c r="H398" s="2"/>
      <c r="I398" s="2"/>
      <c r="J398" s="2"/>
      <c r="K398" s="2"/>
      <c r="L398" s="2"/>
      <c r="M398" s="2"/>
      <c r="N398" s="2"/>
      <c r="O398" s="2"/>
      <c r="P398" s="2"/>
      <c r="Q398" s="2"/>
      <c r="R398" s="2"/>
      <c r="S398" s="2"/>
      <c r="T398" s="2"/>
      <c r="U398" s="2"/>
      <c r="V398" s="2"/>
      <c r="W398" s="157"/>
      <c r="X398" s="157"/>
      <c r="Y398" s="157"/>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customHeight="1">
      <c r="A399" s="2"/>
      <c r="B399" s="2"/>
      <c r="C399" s="2"/>
      <c r="D399" s="2"/>
      <c r="E399" s="2"/>
      <c r="F399" s="2"/>
      <c r="G399" s="2"/>
      <c r="H399" s="2"/>
      <c r="I399" s="2"/>
      <c r="J399" s="2"/>
      <c r="K399" s="2"/>
      <c r="L399" s="2"/>
      <c r="M399" s="2"/>
      <c r="N399" s="2"/>
      <c r="O399" s="2"/>
      <c r="P399" s="2"/>
      <c r="Q399" s="2"/>
      <c r="R399" s="2"/>
      <c r="S399" s="2"/>
      <c r="T399" s="2"/>
      <c r="U399" s="2"/>
      <c r="V399" s="2"/>
      <c r="W399" s="157"/>
      <c r="X399" s="157"/>
      <c r="Y399" s="157"/>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customHeight="1">
      <c r="A400" s="2"/>
      <c r="B400" s="2"/>
      <c r="C400" s="2"/>
      <c r="D400" s="2"/>
      <c r="E400" s="2"/>
      <c r="F400" s="2"/>
      <c r="G400" s="2"/>
      <c r="H400" s="2"/>
      <c r="I400" s="2"/>
      <c r="J400" s="2"/>
      <c r="K400" s="2"/>
      <c r="L400" s="2"/>
      <c r="M400" s="2"/>
      <c r="N400" s="2"/>
      <c r="O400" s="2"/>
      <c r="P400" s="2"/>
      <c r="Q400" s="2"/>
      <c r="R400" s="2"/>
      <c r="S400" s="2"/>
      <c r="T400" s="2"/>
      <c r="U400" s="2"/>
      <c r="V400" s="2"/>
      <c r="W400" s="157"/>
      <c r="X400" s="157"/>
      <c r="Y400" s="157"/>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customHeight="1">
      <c r="A401" s="2"/>
      <c r="B401" s="2"/>
      <c r="C401" s="2"/>
      <c r="D401" s="2"/>
      <c r="E401" s="2"/>
      <c r="F401" s="2"/>
      <c r="G401" s="2"/>
      <c r="H401" s="2"/>
      <c r="I401" s="2"/>
      <c r="J401" s="2"/>
      <c r="K401" s="2"/>
      <c r="L401" s="2"/>
      <c r="M401" s="2"/>
      <c r="N401" s="2"/>
      <c r="O401" s="2"/>
      <c r="P401" s="2"/>
      <c r="Q401" s="2"/>
      <c r="R401" s="2"/>
      <c r="S401" s="2"/>
      <c r="T401" s="2"/>
      <c r="U401" s="2"/>
      <c r="V401" s="2"/>
      <c r="W401" s="157"/>
      <c r="X401" s="157"/>
      <c r="Y401" s="157"/>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customHeight="1">
      <c r="A402" s="2"/>
      <c r="B402" s="2"/>
      <c r="C402" s="2"/>
      <c r="D402" s="2"/>
      <c r="E402" s="2"/>
      <c r="F402" s="2"/>
      <c r="G402" s="2"/>
      <c r="H402" s="2"/>
      <c r="I402" s="2"/>
      <c r="J402" s="2"/>
      <c r="K402" s="2"/>
      <c r="L402" s="2"/>
      <c r="M402" s="2"/>
      <c r="N402" s="2"/>
      <c r="O402" s="2"/>
      <c r="P402" s="2"/>
      <c r="Q402" s="2"/>
      <c r="R402" s="2"/>
      <c r="S402" s="2"/>
      <c r="T402" s="2"/>
      <c r="U402" s="2"/>
      <c r="V402" s="2"/>
      <c r="W402" s="157"/>
      <c r="X402" s="157"/>
      <c r="Y402" s="157"/>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customHeight="1">
      <c r="A403" s="2"/>
      <c r="B403" s="2"/>
      <c r="C403" s="2"/>
      <c r="D403" s="2"/>
      <c r="E403" s="2"/>
      <c r="F403" s="2"/>
      <c r="G403" s="2"/>
      <c r="H403" s="2"/>
      <c r="I403" s="2"/>
      <c r="J403" s="2"/>
      <c r="K403" s="2"/>
      <c r="L403" s="2"/>
      <c r="M403" s="2"/>
      <c r="N403" s="2"/>
      <c r="O403" s="2"/>
      <c r="P403" s="2"/>
      <c r="Q403" s="2"/>
      <c r="R403" s="2"/>
      <c r="S403" s="2"/>
      <c r="T403" s="2"/>
      <c r="U403" s="2"/>
      <c r="V403" s="2"/>
      <c r="W403" s="157"/>
      <c r="X403" s="157"/>
      <c r="Y403" s="157"/>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customHeight="1">
      <c r="A404" s="2"/>
      <c r="B404" s="2"/>
      <c r="C404" s="2"/>
      <c r="D404" s="2"/>
      <c r="E404" s="2"/>
      <c r="F404" s="2"/>
      <c r="G404" s="2"/>
      <c r="H404" s="2"/>
      <c r="I404" s="2"/>
      <c r="J404" s="2"/>
      <c r="K404" s="2"/>
      <c r="L404" s="2"/>
      <c r="M404" s="2"/>
      <c r="N404" s="2"/>
      <c r="O404" s="2"/>
      <c r="P404" s="2"/>
      <c r="Q404" s="2"/>
      <c r="R404" s="2"/>
      <c r="S404" s="2"/>
      <c r="T404" s="2"/>
      <c r="U404" s="2"/>
      <c r="V404" s="2"/>
      <c r="W404" s="157"/>
      <c r="X404" s="157"/>
      <c r="Y404" s="157"/>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customHeight="1">
      <c r="A405" s="2"/>
      <c r="B405" s="2"/>
      <c r="C405" s="2"/>
      <c r="D405" s="2"/>
      <c r="E405" s="2"/>
      <c r="F405" s="2"/>
      <c r="G405" s="2"/>
      <c r="H405" s="2"/>
      <c r="I405" s="2"/>
      <c r="J405" s="2"/>
      <c r="K405" s="2"/>
      <c r="L405" s="2"/>
      <c r="M405" s="2"/>
      <c r="N405" s="2"/>
      <c r="O405" s="2"/>
      <c r="P405" s="2"/>
      <c r="Q405" s="2"/>
      <c r="R405" s="2"/>
      <c r="S405" s="2"/>
      <c r="T405" s="2"/>
      <c r="U405" s="2"/>
      <c r="V405" s="2"/>
      <c r="W405" s="157"/>
      <c r="X405" s="157"/>
      <c r="Y405" s="157"/>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customHeight="1">
      <c r="A406" s="2"/>
      <c r="B406" s="2"/>
      <c r="C406" s="2"/>
      <c r="D406" s="2"/>
      <c r="E406" s="2"/>
      <c r="F406" s="2"/>
      <c r="G406" s="2"/>
      <c r="H406" s="2"/>
      <c r="I406" s="2"/>
      <c r="J406" s="2"/>
      <c r="K406" s="2"/>
      <c r="L406" s="2"/>
      <c r="M406" s="2"/>
      <c r="N406" s="2"/>
      <c r="O406" s="2"/>
      <c r="P406" s="2"/>
      <c r="Q406" s="2"/>
      <c r="R406" s="2"/>
      <c r="S406" s="2"/>
      <c r="T406" s="2"/>
      <c r="U406" s="2"/>
      <c r="V406" s="2"/>
      <c r="W406" s="157"/>
      <c r="X406" s="157"/>
      <c r="Y406" s="157"/>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customHeight="1">
      <c r="A407" s="2"/>
      <c r="B407" s="2"/>
      <c r="C407" s="2"/>
      <c r="D407" s="2"/>
      <c r="E407" s="2"/>
      <c r="F407" s="2"/>
      <c r="G407" s="2"/>
      <c r="H407" s="2"/>
      <c r="I407" s="2"/>
      <c r="J407" s="2"/>
      <c r="K407" s="2"/>
      <c r="L407" s="2"/>
      <c r="M407" s="2"/>
      <c r="N407" s="2"/>
      <c r="O407" s="2"/>
      <c r="P407" s="2"/>
      <c r="Q407" s="2"/>
      <c r="R407" s="2"/>
      <c r="S407" s="2"/>
      <c r="T407" s="2"/>
      <c r="U407" s="2"/>
      <c r="V407" s="2"/>
      <c r="W407" s="157"/>
      <c r="X407" s="157"/>
      <c r="Y407" s="157"/>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customHeight="1">
      <c r="A408" s="2"/>
      <c r="B408" s="2"/>
      <c r="C408" s="2"/>
      <c r="D408" s="2"/>
      <c r="E408" s="2"/>
      <c r="F408" s="2"/>
      <c r="G408" s="2"/>
      <c r="H408" s="2"/>
      <c r="I408" s="2"/>
      <c r="J408" s="2"/>
      <c r="K408" s="2"/>
      <c r="L408" s="2"/>
      <c r="M408" s="2"/>
      <c r="N408" s="2"/>
      <c r="O408" s="2"/>
      <c r="P408" s="2"/>
      <c r="Q408" s="2"/>
      <c r="R408" s="2"/>
      <c r="S408" s="2"/>
      <c r="T408" s="2"/>
      <c r="U408" s="2"/>
      <c r="V408" s="2"/>
      <c r="W408" s="157"/>
      <c r="X408" s="157"/>
      <c r="Y408" s="157"/>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customHeight="1">
      <c r="A409" s="2"/>
      <c r="B409" s="2"/>
      <c r="C409" s="2"/>
      <c r="D409" s="2"/>
      <c r="E409" s="2"/>
      <c r="F409" s="2"/>
      <c r="G409" s="2"/>
      <c r="H409" s="2"/>
      <c r="I409" s="2"/>
      <c r="J409" s="2"/>
      <c r="K409" s="2"/>
      <c r="L409" s="2"/>
      <c r="M409" s="2"/>
      <c r="N409" s="2"/>
      <c r="O409" s="2"/>
      <c r="P409" s="2"/>
      <c r="Q409" s="2"/>
      <c r="R409" s="2"/>
      <c r="S409" s="2"/>
      <c r="T409" s="2"/>
      <c r="U409" s="2"/>
      <c r="V409" s="2"/>
      <c r="W409" s="157"/>
      <c r="X409" s="157"/>
      <c r="Y409" s="157"/>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customHeight="1">
      <c r="A410" s="2"/>
      <c r="B410" s="2"/>
      <c r="C410" s="2"/>
      <c r="D410" s="2"/>
      <c r="E410" s="2"/>
      <c r="F410" s="2"/>
      <c r="G410" s="2"/>
      <c r="H410" s="2"/>
      <c r="I410" s="2"/>
      <c r="J410" s="2"/>
      <c r="K410" s="2"/>
      <c r="L410" s="2"/>
      <c r="M410" s="2"/>
      <c r="N410" s="2"/>
      <c r="O410" s="2"/>
      <c r="P410" s="2"/>
      <c r="Q410" s="2"/>
      <c r="R410" s="2"/>
      <c r="S410" s="2"/>
      <c r="T410" s="2"/>
      <c r="U410" s="2"/>
      <c r="V410" s="2"/>
      <c r="W410" s="157"/>
      <c r="X410" s="157"/>
      <c r="Y410" s="157"/>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customHeight="1">
      <c r="A411" s="2"/>
      <c r="B411" s="2"/>
      <c r="C411" s="2"/>
      <c r="D411" s="2"/>
      <c r="E411" s="2"/>
      <c r="F411" s="2"/>
      <c r="G411" s="2"/>
      <c r="H411" s="2"/>
      <c r="I411" s="2"/>
      <c r="J411" s="2"/>
      <c r="K411" s="2"/>
      <c r="L411" s="2"/>
      <c r="M411" s="2"/>
      <c r="N411" s="2"/>
      <c r="O411" s="2"/>
      <c r="P411" s="2"/>
      <c r="Q411" s="2"/>
      <c r="R411" s="2"/>
      <c r="S411" s="2"/>
      <c r="T411" s="2"/>
      <c r="U411" s="2"/>
      <c r="V411" s="2"/>
      <c r="W411" s="157"/>
      <c r="X411" s="157"/>
      <c r="Y411" s="157"/>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customHeight="1">
      <c r="A412" s="2"/>
      <c r="B412" s="2"/>
      <c r="C412" s="2"/>
      <c r="D412" s="2"/>
      <c r="E412" s="2"/>
      <c r="F412" s="2"/>
      <c r="G412" s="2"/>
      <c r="H412" s="2"/>
      <c r="I412" s="2"/>
      <c r="J412" s="2"/>
      <c r="K412" s="2"/>
      <c r="L412" s="2"/>
      <c r="M412" s="2"/>
      <c r="N412" s="2"/>
      <c r="O412" s="2"/>
      <c r="P412" s="2"/>
      <c r="Q412" s="2"/>
      <c r="R412" s="2"/>
      <c r="S412" s="2"/>
      <c r="T412" s="2"/>
      <c r="U412" s="2"/>
      <c r="V412" s="2"/>
      <c r="W412" s="157"/>
      <c r="X412" s="157"/>
      <c r="Y412" s="157"/>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customHeight="1">
      <c r="A413" s="2"/>
      <c r="B413" s="2"/>
      <c r="C413" s="2"/>
      <c r="D413" s="2"/>
      <c r="E413" s="2"/>
      <c r="F413" s="2"/>
      <c r="G413" s="2"/>
      <c r="H413" s="2"/>
      <c r="I413" s="2"/>
      <c r="J413" s="2"/>
      <c r="K413" s="2"/>
      <c r="L413" s="2"/>
      <c r="M413" s="2"/>
      <c r="N413" s="2"/>
      <c r="O413" s="2"/>
      <c r="P413" s="2"/>
      <c r="Q413" s="2"/>
      <c r="R413" s="2"/>
      <c r="S413" s="2"/>
      <c r="T413" s="2"/>
      <c r="U413" s="2"/>
      <c r="V413" s="2"/>
      <c r="W413" s="157"/>
      <c r="X413" s="157"/>
      <c r="Y413" s="157"/>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customHeight="1">
      <c r="A414" s="2"/>
      <c r="B414" s="2"/>
      <c r="C414" s="2"/>
      <c r="D414" s="2"/>
      <c r="E414" s="2"/>
      <c r="F414" s="2"/>
      <c r="G414" s="2"/>
      <c r="H414" s="2"/>
      <c r="I414" s="2"/>
      <c r="J414" s="2"/>
      <c r="K414" s="2"/>
      <c r="L414" s="2"/>
      <c r="M414" s="2"/>
      <c r="N414" s="2"/>
      <c r="O414" s="2"/>
      <c r="P414" s="2"/>
      <c r="Q414" s="2"/>
      <c r="R414" s="2"/>
      <c r="S414" s="2"/>
      <c r="T414" s="2"/>
      <c r="U414" s="2"/>
      <c r="V414" s="2"/>
      <c r="W414" s="157"/>
      <c r="X414" s="157"/>
      <c r="Y414" s="157"/>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customHeight="1">
      <c r="A415" s="2"/>
      <c r="B415" s="2"/>
      <c r="C415" s="2"/>
      <c r="D415" s="2"/>
      <c r="E415" s="2"/>
      <c r="F415" s="2"/>
      <c r="G415" s="2"/>
      <c r="H415" s="2"/>
      <c r="I415" s="2"/>
      <c r="J415" s="2"/>
      <c r="K415" s="2"/>
      <c r="L415" s="2"/>
      <c r="M415" s="2"/>
      <c r="N415" s="2"/>
      <c r="O415" s="2"/>
      <c r="P415" s="2"/>
      <c r="Q415" s="2"/>
      <c r="R415" s="2"/>
      <c r="S415" s="2"/>
      <c r="T415" s="2"/>
      <c r="U415" s="2"/>
      <c r="V415" s="2"/>
      <c r="W415" s="157"/>
      <c r="X415" s="157"/>
      <c r="Y415" s="157"/>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customHeight="1">
      <c r="A416" s="2"/>
      <c r="B416" s="2"/>
      <c r="C416" s="2"/>
      <c r="D416" s="2"/>
      <c r="E416" s="2"/>
      <c r="F416" s="2"/>
      <c r="G416" s="2"/>
      <c r="H416" s="2"/>
      <c r="I416" s="2"/>
      <c r="J416" s="2"/>
      <c r="K416" s="2"/>
      <c r="L416" s="2"/>
      <c r="M416" s="2"/>
      <c r="N416" s="2"/>
      <c r="O416" s="2"/>
      <c r="P416" s="2"/>
      <c r="Q416" s="2"/>
      <c r="R416" s="2"/>
      <c r="S416" s="2"/>
      <c r="T416" s="2"/>
      <c r="U416" s="2"/>
      <c r="V416" s="2"/>
      <c r="W416" s="157"/>
      <c r="X416" s="157"/>
      <c r="Y416" s="157"/>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customHeight="1">
      <c r="A417" s="2"/>
      <c r="B417" s="2"/>
      <c r="C417" s="2"/>
      <c r="D417" s="2"/>
      <c r="E417" s="2"/>
      <c r="F417" s="2"/>
      <c r="G417" s="2"/>
      <c r="H417" s="2"/>
      <c r="I417" s="2"/>
      <c r="J417" s="2"/>
      <c r="K417" s="2"/>
      <c r="L417" s="2"/>
      <c r="M417" s="2"/>
      <c r="N417" s="2"/>
      <c r="O417" s="2"/>
      <c r="P417" s="2"/>
      <c r="Q417" s="2"/>
      <c r="R417" s="2"/>
      <c r="S417" s="2"/>
      <c r="T417" s="2"/>
      <c r="U417" s="2"/>
      <c r="V417" s="2"/>
      <c r="W417" s="157"/>
      <c r="X417" s="157"/>
      <c r="Y417" s="157"/>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customHeight="1">
      <c r="A418" s="2"/>
      <c r="B418" s="2"/>
      <c r="C418" s="2"/>
      <c r="D418" s="2"/>
      <c r="E418" s="2"/>
      <c r="F418" s="2"/>
      <c r="G418" s="2"/>
      <c r="H418" s="2"/>
      <c r="I418" s="2"/>
      <c r="J418" s="2"/>
      <c r="K418" s="2"/>
      <c r="L418" s="2"/>
      <c r="M418" s="2"/>
      <c r="N418" s="2"/>
      <c r="O418" s="2"/>
      <c r="P418" s="2"/>
      <c r="Q418" s="2"/>
      <c r="R418" s="2"/>
      <c r="S418" s="2"/>
      <c r="T418" s="2"/>
      <c r="U418" s="2"/>
      <c r="V418" s="2"/>
      <c r="W418" s="157"/>
      <c r="X418" s="157"/>
      <c r="Y418" s="157"/>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customHeight="1">
      <c r="A419" s="2"/>
      <c r="B419" s="2"/>
      <c r="C419" s="2"/>
      <c r="D419" s="2"/>
      <c r="E419" s="2"/>
      <c r="F419" s="2"/>
      <c r="G419" s="2"/>
      <c r="H419" s="2"/>
      <c r="I419" s="2"/>
      <c r="J419" s="2"/>
      <c r="K419" s="2"/>
      <c r="L419" s="2"/>
      <c r="M419" s="2"/>
      <c r="N419" s="2"/>
      <c r="O419" s="2"/>
      <c r="P419" s="2"/>
      <c r="Q419" s="2"/>
      <c r="R419" s="2"/>
      <c r="S419" s="2"/>
      <c r="T419" s="2"/>
      <c r="U419" s="2"/>
      <c r="V419" s="2"/>
      <c r="W419" s="157"/>
      <c r="X419" s="157"/>
      <c r="Y419" s="157"/>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customHeight="1">
      <c r="A420" s="2"/>
      <c r="B420" s="2"/>
      <c r="C420" s="2"/>
      <c r="D420" s="2"/>
      <c r="E420" s="2"/>
      <c r="F420" s="2"/>
      <c r="G420" s="2"/>
      <c r="H420" s="2"/>
      <c r="I420" s="2"/>
      <c r="J420" s="2"/>
      <c r="K420" s="2"/>
      <c r="L420" s="2"/>
      <c r="M420" s="2"/>
      <c r="N420" s="2"/>
      <c r="O420" s="2"/>
      <c r="P420" s="2"/>
      <c r="Q420" s="2"/>
      <c r="R420" s="2"/>
      <c r="S420" s="2"/>
      <c r="T420" s="2"/>
      <c r="U420" s="2"/>
      <c r="V420" s="2"/>
      <c r="W420" s="157"/>
      <c r="X420" s="157"/>
      <c r="Y420" s="157"/>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customHeight="1">
      <c r="A421" s="2"/>
      <c r="B421" s="2"/>
      <c r="C421" s="2"/>
      <c r="D421" s="2"/>
      <c r="E421" s="2"/>
      <c r="F421" s="2"/>
      <c r="G421" s="2"/>
      <c r="H421" s="2"/>
      <c r="I421" s="2"/>
      <c r="J421" s="2"/>
      <c r="K421" s="2"/>
      <c r="L421" s="2"/>
      <c r="M421" s="2"/>
      <c r="N421" s="2"/>
      <c r="O421" s="2"/>
      <c r="P421" s="2"/>
      <c r="Q421" s="2"/>
      <c r="R421" s="2"/>
      <c r="S421" s="2"/>
      <c r="T421" s="2"/>
      <c r="U421" s="2"/>
      <c r="V421" s="2"/>
      <c r="W421" s="157"/>
      <c r="X421" s="157"/>
      <c r="Y421" s="157"/>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customHeight="1">
      <c r="A422" s="2"/>
      <c r="B422" s="2"/>
      <c r="C422" s="2"/>
      <c r="D422" s="2"/>
      <c r="E422" s="2"/>
      <c r="F422" s="2"/>
      <c r="G422" s="2"/>
      <c r="H422" s="2"/>
      <c r="I422" s="2"/>
      <c r="J422" s="2"/>
      <c r="K422" s="2"/>
      <c r="L422" s="2"/>
      <c r="M422" s="2"/>
      <c r="N422" s="2"/>
      <c r="O422" s="2"/>
      <c r="P422" s="2"/>
      <c r="Q422" s="2"/>
      <c r="R422" s="2"/>
      <c r="S422" s="2"/>
      <c r="T422" s="2"/>
      <c r="U422" s="2"/>
      <c r="V422" s="2"/>
      <c r="W422" s="157"/>
      <c r="X422" s="157"/>
      <c r="Y422" s="157"/>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customHeight="1">
      <c r="A423" s="2"/>
      <c r="B423" s="2"/>
      <c r="C423" s="2"/>
      <c r="D423" s="2"/>
      <c r="E423" s="2"/>
      <c r="F423" s="2"/>
      <c r="G423" s="2"/>
      <c r="H423" s="2"/>
      <c r="I423" s="2"/>
      <c r="J423" s="2"/>
      <c r="K423" s="2"/>
      <c r="L423" s="2"/>
      <c r="M423" s="2"/>
      <c r="N423" s="2"/>
      <c r="O423" s="2"/>
      <c r="P423" s="2"/>
      <c r="Q423" s="2"/>
      <c r="R423" s="2"/>
      <c r="S423" s="2"/>
      <c r="T423" s="2"/>
      <c r="U423" s="2"/>
      <c r="V423" s="2"/>
      <c r="W423" s="157"/>
      <c r="X423" s="157"/>
      <c r="Y423" s="157"/>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customHeight="1">
      <c r="A424" s="2"/>
      <c r="B424" s="2"/>
      <c r="C424" s="2"/>
      <c r="D424" s="2"/>
      <c r="E424" s="2"/>
      <c r="F424" s="2"/>
      <c r="G424" s="2"/>
      <c r="H424" s="2"/>
      <c r="I424" s="2"/>
      <c r="J424" s="2"/>
      <c r="K424" s="2"/>
      <c r="L424" s="2"/>
      <c r="M424" s="2"/>
      <c r="N424" s="2"/>
      <c r="O424" s="2"/>
      <c r="P424" s="2"/>
      <c r="Q424" s="2"/>
      <c r="R424" s="2"/>
      <c r="S424" s="2"/>
      <c r="T424" s="2"/>
      <c r="U424" s="2"/>
      <c r="V424" s="2"/>
      <c r="W424" s="157"/>
      <c r="X424" s="157"/>
      <c r="Y424" s="157"/>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customHeight="1">
      <c r="A425" s="2"/>
      <c r="B425" s="2"/>
      <c r="C425" s="2"/>
      <c r="D425" s="2"/>
      <c r="E425" s="2"/>
      <c r="F425" s="2"/>
      <c r="G425" s="2"/>
      <c r="H425" s="2"/>
      <c r="I425" s="2"/>
      <c r="J425" s="2"/>
      <c r="K425" s="2"/>
      <c r="L425" s="2"/>
      <c r="M425" s="2"/>
      <c r="N425" s="2"/>
      <c r="O425" s="2"/>
      <c r="P425" s="2"/>
      <c r="Q425" s="2"/>
      <c r="R425" s="2"/>
      <c r="S425" s="2"/>
      <c r="T425" s="2"/>
      <c r="U425" s="2"/>
      <c r="V425" s="2"/>
      <c r="W425" s="157"/>
      <c r="X425" s="157"/>
      <c r="Y425" s="157"/>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customHeight="1">
      <c r="A426" s="2"/>
      <c r="B426" s="2"/>
      <c r="C426" s="2"/>
      <c r="D426" s="2"/>
      <c r="E426" s="2"/>
      <c r="F426" s="2"/>
      <c r="G426" s="2"/>
      <c r="H426" s="2"/>
      <c r="I426" s="2"/>
      <c r="J426" s="2"/>
      <c r="K426" s="2"/>
      <c r="L426" s="2"/>
      <c r="M426" s="2"/>
      <c r="N426" s="2"/>
      <c r="O426" s="2"/>
      <c r="P426" s="2"/>
      <c r="Q426" s="2"/>
      <c r="R426" s="2"/>
      <c r="S426" s="2"/>
      <c r="T426" s="2"/>
      <c r="U426" s="2"/>
      <c r="V426" s="2"/>
      <c r="W426" s="157"/>
      <c r="X426" s="157"/>
      <c r="Y426" s="157"/>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customHeight="1">
      <c r="A427" s="2"/>
      <c r="B427" s="2"/>
      <c r="C427" s="2"/>
      <c r="D427" s="2"/>
      <c r="E427" s="2"/>
      <c r="F427" s="2"/>
      <c r="G427" s="2"/>
      <c r="H427" s="2"/>
      <c r="I427" s="2"/>
      <c r="J427" s="2"/>
      <c r="K427" s="2"/>
      <c r="L427" s="2"/>
      <c r="M427" s="2"/>
      <c r="N427" s="2"/>
      <c r="O427" s="2"/>
      <c r="P427" s="2"/>
      <c r="Q427" s="2"/>
      <c r="R427" s="2"/>
      <c r="S427" s="2"/>
      <c r="T427" s="2"/>
      <c r="U427" s="2"/>
      <c r="V427" s="2"/>
      <c r="W427" s="157"/>
      <c r="X427" s="157"/>
      <c r="Y427" s="157"/>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customHeight="1">
      <c r="A428" s="2"/>
      <c r="B428" s="2"/>
      <c r="C428" s="2"/>
      <c r="D428" s="2"/>
      <c r="E428" s="2"/>
      <c r="F428" s="2"/>
      <c r="G428" s="2"/>
      <c r="H428" s="2"/>
      <c r="I428" s="2"/>
      <c r="J428" s="2"/>
      <c r="K428" s="2"/>
      <c r="L428" s="2"/>
      <c r="M428" s="2"/>
      <c r="N428" s="2"/>
      <c r="O428" s="2"/>
      <c r="P428" s="2"/>
      <c r="Q428" s="2"/>
      <c r="R428" s="2"/>
      <c r="S428" s="2"/>
      <c r="T428" s="2"/>
      <c r="U428" s="2"/>
      <c r="V428" s="2"/>
      <c r="W428" s="157"/>
      <c r="X428" s="157"/>
      <c r="Y428" s="157"/>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customHeight="1">
      <c r="A429" s="2"/>
      <c r="B429" s="2"/>
      <c r="C429" s="2"/>
      <c r="D429" s="2"/>
      <c r="E429" s="2"/>
      <c r="F429" s="2"/>
      <c r="G429" s="2"/>
      <c r="H429" s="2"/>
      <c r="I429" s="2"/>
      <c r="J429" s="2"/>
      <c r="K429" s="2"/>
      <c r="L429" s="2"/>
      <c r="M429" s="2"/>
      <c r="N429" s="2"/>
      <c r="O429" s="2"/>
      <c r="P429" s="2"/>
      <c r="Q429" s="2"/>
      <c r="R429" s="2"/>
      <c r="S429" s="2"/>
      <c r="T429" s="2"/>
      <c r="U429" s="2"/>
      <c r="V429" s="2"/>
      <c r="W429" s="157"/>
      <c r="X429" s="157"/>
      <c r="Y429" s="157"/>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customHeight="1">
      <c r="A430" s="2"/>
      <c r="B430" s="2"/>
      <c r="C430" s="2"/>
      <c r="D430" s="2"/>
      <c r="E430" s="2"/>
      <c r="F430" s="2"/>
      <c r="G430" s="2"/>
      <c r="H430" s="2"/>
      <c r="I430" s="2"/>
      <c r="J430" s="2"/>
      <c r="K430" s="2"/>
      <c r="L430" s="2"/>
      <c r="M430" s="2"/>
      <c r="N430" s="2"/>
      <c r="O430" s="2"/>
      <c r="P430" s="2"/>
      <c r="Q430" s="2"/>
      <c r="R430" s="2"/>
      <c r="S430" s="2"/>
      <c r="T430" s="2"/>
      <c r="U430" s="2"/>
      <c r="V430" s="2"/>
      <c r="W430" s="157"/>
      <c r="X430" s="157"/>
      <c r="Y430" s="157"/>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customHeight="1">
      <c r="A431" s="2"/>
      <c r="B431" s="2"/>
      <c r="C431" s="2"/>
      <c r="D431" s="2"/>
      <c r="E431" s="2"/>
      <c r="F431" s="2"/>
      <c r="G431" s="2"/>
      <c r="H431" s="2"/>
      <c r="I431" s="2"/>
      <c r="J431" s="2"/>
      <c r="K431" s="2"/>
      <c r="L431" s="2"/>
      <c r="M431" s="2"/>
      <c r="N431" s="2"/>
      <c r="O431" s="2"/>
      <c r="P431" s="2"/>
      <c r="Q431" s="2"/>
      <c r="R431" s="2"/>
      <c r="S431" s="2"/>
      <c r="T431" s="2"/>
      <c r="U431" s="2"/>
      <c r="V431" s="2"/>
      <c r="W431" s="157"/>
      <c r="X431" s="157"/>
      <c r="Y431" s="157"/>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customHeight="1">
      <c r="A432" s="2"/>
      <c r="B432" s="2"/>
      <c r="C432" s="2"/>
      <c r="D432" s="2"/>
      <c r="E432" s="2"/>
      <c r="F432" s="2"/>
      <c r="G432" s="2"/>
      <c r="H432" s="2"/>
      <c r="I432" s="2"/>
      <c r="J432" s="2"/>
      <c r="K432" s="2"/>
      <c r="L432" s="2"/>
      <c r="M432" s="2"/>
      <c r="N432" s="2"/>
      <c r="O432" s="2"/>
      <c r="P432" s="2"/>
      <c r="Q432" s="2"/>
      <c r="R432" s="2"/>
      <c r="S432" s="2"/>
      <c r="T432" s="2"/>
      <c r="U432" s="2"/>
      <c r="V432" s="2"/>
      <c r="W432" s="157"/>
      <c r="X432" s="157"/>
      <c r="Y432" s="157"/>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customHeight="1">
      <c r="A433" s="2"/>
      <c r="B433" s="2"/>
      <c r="C433" s="2"/>
      <c r="D433" s="2"/>
      <c r="E433" s="2"/>
      <c r="F433" s="2"/>
      <c r="G433" s="2"/>
      <c r="H433" s="2"/>
      <c r="I433" s="2"/>
      <c r="J433" s="2"/>
      <c r="K433" s="2"/>
      <c r="L433" s="2"/>
      <c r="M433" s="2"/>
      <c r="N433" s="2"/>
      <c r="O433" s="2"/>
      <c r="P433" s="2"/>
      <c r="Q433" s="2"/>
      <c r="R433" s="2"/>
      <c r="S433" s="2"/>
      <c r="T433" s="2"/>
      <c r="U433" s="2"/>
      <c r="V433" s="2"/>
      <c r="W433" s="157"/>
      <c r="X433" s="157"/>
      <c r="Y433" s="157"/>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customHeight="1">
      <c r="A434" s="2"/>
      <c r="B434" s="2"/>
      <c r="C434" s="2"/>
      <c r="D434" s="2"/>
      <c r="E434" s="2"/>
      <c r="F434" s="2"/>
      <c r="G434" s="2"/>
      <c r="H434" s="2"/>
      <c r="I434" s="2"/>
      <c r="J434" s="2"/>
      <c r="K434" s="2"/>
      <c r="L434" s="2"/>
      <c r="M434" s="2"/>
      <c r="N434" s="2"/>
      <c r="O434" s="2"/>
      <c r="P434" s="2"/>
      <c r="Q434" s="2"/>
      <c r="R434" s="2"/>
      <c r="S434" s="2"/>
      <c r="T434" s="2"/>
      <c r="U434" s="2"/>
      <c r="V434" s="2"/>
      <c r="W434" s="157"/>
      <c r="X434" s="157"/>
      <c r="Y434" s="157"/>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customHeight="1">
      <c r="A435" s="2"/>
      <c r="B435" s="2"/>
      <c r="C435" s="2"/>
      <c r="D435" s="2"/>
      <c r="E435" s="2"/>
      <c r="F435" s="2"/>
      <c r="G435" s="2"/>
      <c r="H435" s="2"/>
      <c r="I435" s="2"/>
      <c r="J435" s="2"/>
      <c r="K435" s="2"/>
      <c r="L435" s="2"/>
      <c r="M435" s="2"/>
      <c r="N435" s="2"/>
      <c r="O435" s="2"/>
      <c r="P435" s="2"/>
      <c r="Q435" s="2"/>
      <c r="R435" s="2"/>
      <c r="S435" s="2"/>
      <c r="T435" s="2"/>
      <c r="U435" s="2"/>
      <c r="V435" s="2"/>
      <c r="W435" s="157"/>
      <c r="X435" s="157"/>
      <c r="Y435" s="157"/>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customHeight="1">
      <c r="A436" s="2"/>
      <c r="B436" s="2"/>
      <c r="C436" s="2"/>
      <c r="D436" s="2"/>
      <c r="E436" s="2"/>
      <c r="F436" s="2"/>
      <c r="G436" s="2"/>
      <c r="H436" s="2"/>
      <c r="I436" s="2"/>
      <c r="J436" s="2"/>
      <c r="K436" s="2"/>
      <c r="L436" s="2"/>
      <c r="M436" s="2"/>
      <c r="N436" s="2"/>
      <c r="O436" s="2"/>
      <c r="P436" s="2"/>
      <c r="Q436" s="2"/>
      <c r="R436" s="2"/>
      <c r="S436" s="2"/>
      <c r="T436" s="2"/>
      <c r="U436" s="2"/>
      <c r="V436" s="2"/>
      <c r="W436" s="157"/>
      <c r="X436" s="157"/>
      <c r="Y436" s="157"/>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customHeight="1">
      <c r="A437" s="2"/>
      <c r="B437" s="2"/>
      <c r="C437" s="2"/>
      <c r="D437" s="2"/>
      <c r="E437" s="2"/>
      <c r="F437" s="2"/>
      <c r="G437" s="2"/>
      <c r="H437" s="2"/>
      <c r="I437" s="2"/>
      <c r="J437" s="2"/>
      <c r="K437" s="2"/>
      <c r="L437" s="2"/>
      <c r="M437" s="2"/>
      <c r="N437" s="2"/>
      <c r="O437" s="2"/>
      <c r="P437" s="2"/>
      <c r="Q437" s="2"/>
      <c r="R437" s="2"/>
      <c r="S437" s="2"/>
      <c r="T437" s="2"/>
      <c r="U437" s="2"/>
      <c r="V437" s="2"/>
      <c r="W437" s="157"/>
      <c r="X437" s="157"/>
      <c r="Y437" s="157"/>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customHeight="1">
      <c r="A438" s="2"/>
      <c r="B438" s="2"/>
      <c r="C438" s="2"/>
      <c r="D438" s="2"/>
      <c r="E438" s="2"/>
      <c r="F438" s="2"/>
      <c r="G438" s="2"/>
      <c r="H438" s="2"/>
      <c r="I438" s="2"/>
      <c r="J438" s="2"/>
      <c r="K438" s="2"/>
      <c r="L438" s="2"/>
      <c r="M438" s="2"/>
      <c r="N438" s="2"/>
      <c r="O438" s="2"/>
      <c r="P438" s="2"/>
      <c r="Q438" s="2"/>
      <c r="R438" s="2"/>
      <c r="S438" s="2"/>
      <c r="T438" s="2"/>
      <c r="U438" s="2"/>
      <c r="V438" s="2"/>
      <c r="W438" s="157"/>
      <c r="X438" s="157"/>
      <c r="Y438" s="157"/>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customHeight="1">
      <c r="A439" s="2"/>
      <c r="B439" s="2"/>
      <c r="C439" s="2"/>
      <c r="D439" s="2"/>
      <c r="E439" s="2"/>
      <c r="F439" s="2"/>
      <c r="G439" s="2"/>
      <c r="H439" s="2"/>
      <c r="I439" s="2"/>
      <c r="J439" s="2"/>
      <c r="K439" s="2"/>
      <c r="L439" s="2"/>
      <c r="M439" s="2"/>
      <c r="N439" s="2"/>
      <c r="O439" s="2"/>
      <c r="P439" s="2"/>
      <c r="Q439" s="2"/>
      <c r="R439" s="2"/>
      <c r="S439" s="2"/>
      <c r="T439" s="2"/>
      <c r="U439" s="2"/>
      <c r="V439" s="2"/>
      <c r="W439" s="157"/>
      <c r="X439" s="157"/>
      <c r="Y439" s="157"/>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customHeight="1">
      <c r="A440" s="2"/>
      <c r="B440" s="2"/>
      <c r="C440" s="2"/>
      <c r="D440" s="2"/>
      <c r="E440" s="2"/>
      <c r="F440" s="2"/>
      <c r="G440" s="2"/>
      <c r="H440" s="2"/>
      <c r="I440" s="2"/>
      <c r="J440" s="2"/>
      <c r="K440" s="2"/>
      <c r="L440" s="2"/>
      <c r="M440" s="2"/>
      <c r="N440" s="2"/>
      <c r="O440" s="2"/>
      <c r="P440" s="2"/>
      <c r="Q440" s="2"/>
      <c r="R440" s="2"/>
      <c r="S440" s="2"/>
      <c r="T440" s="2"/>
      <c r="U440" s="2"/>
      <c r="V440" s="2"/>
      <c r="W440" s="157"/>
      <c r="X440" s="157"/>
      <c r="Y440" s="157"/>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customHeight="1">
      <c r="A441" s="2"/>
      <c r="B441" s="2"/>
      <c r="C441" s="2"/>
      <c r="D441" s="2"/>
      <c r="E441" s="2"/>
      <c r="F441" s="2"/>
      <c r="G441" s="2"/>
      <c r="H441" s="2"/>
      <c r="I441" s="2"/>
      <c r="J441" s="2"/>
      <c r="K441" s="2"/>
      <c r="L441" s="2"/>
      <c r="M441" s="2"/>
      <c r="N441" s="2"/>
      <c r="O441" s="2"/>
      <c r="P441" s="2"/>
      <c r="Q441" s="2"/>
      <c r="R441" s="2"/>
      <c r="S441" s="2"/>
      <c r="T441" s="2"/>
      <c r="U441" s="2"/>
      <c r="V441" s="2"/>
      <c r="W441" s="157"/>
      <c r="X441" s="157"/>
      <c r="Y441" s="157"/>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customHeight="1">
      <c r="A442" s="2"/>
      <c r="B442" s="2"/>
      <c r="C442" s="2"/>
      <c r="D442" s="2"/>
      <c r="E442" s="2"/>
      <c r="F442" s="2"/>
      <c r="G442" s="2"/>
      <c r="H442" s="2"/>
      <c r="I442" s="2"/>
      <c r="J442" s="2"/>
      <c r="K442" s="2"/>
      <c r="L442" s="2"/>
      <c r="M442" s="2"/>
      <c r="N442" s="2"/>
      <c r="O442" s="2"/>
      <c r="P442" s="2"/>
      <c r="Q442" s="2"/>
      <c r="R442" s="2"/>
      <c r="S442" s="2"/>
      <c r="T442" s="2"/>
      <c r="U442" s="2"/>
      <c r="V442" s="2"/>
      <c r="W442" s="157"/>
      <c r="X442" s="157"/>
      <c r="Y442" s="157"/>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customHeight="1">
      <c r="A443" s="2"/>
      <c r="B443" s="2"/>
      <c r="C443" s="2"/>
      <c r="D443" s="2"/>
      <c r="E443" s="2"/>
      <c r="F443" s="2"/>
      <c r="G443" s="2"/>
      <c r="H443" s="2"/>
      <c r="I443" s="2"/>
      <c r="J443" s="2"/>
      <c r="K443" s="2"/>
      <c r="L443" s="2"/>
      <c r="M443" s="2"/>
      <c r="N443" s="2"/>
      <c r="O443" s="2"/>
      <c r="P443" s="2"/>
      <c r="Q443" s="2"/>
      <c r="R443" s="2"/>
      <c r="S443" s="2"/>
      <c r="T443" s="2"/>
      <c r="U443" s="2"/>
      <c r="V443" s="2"/>
      <c r="W443" s="157"/>
      <c r="X443" s="157"/>
      <c r="Y443" s="157"/>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customHeight="1">
      <c r="A444" s="2"/>
      <c r="B444" s="2"/>
      <c r="C444" s="2"/>
      <c r="D444" s="2"/>
      <c r="E444" s="2"/>
      <c r="F444" s="2"/>
      <c r="G444" s="2"/>
      <c r="H444" s="2"/>
      <c r="I444" s="2"/>
      <c r="J444" s="2"/>
      <c r="K444" s="2"/>
      <c r="L444" s="2"/>
      <c r="M444" s="2"/>
      <c r="N444" s="2"/>
      <c r="O444" s="2"/>
      <c r="P444" s="2"/>
      <c r="Q444" s="2"/>
      <c r="R444" s="2"/>
      <c r="S444" s="2"/>
      <c r="T444" s="2"/>
      <c r="U444" s="2"/>
      <c r="V444" s="2"/>
      <c r="W444" s="157"/>
      <c r="X444" s="157"/>
      <c r="Y444" s="157"/>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customHeight="1">
      <c r="A445" s="2"/>
      <c r="B445" s="2"/>
      <c r="C445" s="2"/>
      <c r="D445" s="2"/>
      <c r="E445" s="2"/>
      <c r="F445" s="2"/>
      <c r="G445" s="2"/>
      <c r="H445" s="2"/>
      <c r="I445" s="2"/>
      <c r="J445" s="2"/>
      <c r="K445" s="2"/>
      <c r="L445" s="2"/>
      <c r="M445" s="2"/>
      <c r="N445" s="2"/>
      <c r="O445" s="2"/>
      <c r="P445" s="2"/>
      <c r="Q445" s="2"/>
      <c r="R445" s="2"/>
      <c r="S445" s="2"/>
      <c r="T445" s="2"/>
      <c r="U445" s="2"/>
      <c r="V445" s="2"/>
      <c r="W445" s="157"/>
      <c r="X445" s="157"/>
      <c r="Y445" s="157"/>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customHeight="1">
      <c r="A446" s="2"/>
      <c r="B446" s="2"/>
      <c r="C446" s="2"/>
      <c r="D446" s="2"/>
      <c r="E446" s="2"/>
      <c r="F446" s="2"/>
      <c r="G446" s="2"/>
      <c r="H446" s="2"/>
      <c r="I446" s="2"/>
      <c r="J446" s="2"/>
      <c r="K446" s="2"/>
      <c r="L446" s="2"/>
      <c r="M446" s="2"/>
      <c r="N446" s="2"/>
      <c r="O446" s="2"/>
      <c r="P446" s="2"/>
      <c r="Q446" s="2"/>
      <c r="R446" s="2"/>
      <c r="S446" s="2"/>
      <c r="T446" s="2"/>
      <c r="U446" s="2"/>
      <c r="V446" s="2"/>
      <c r="W446" s="157"/>
      <c r="X446" s="157"/>
      <c r="Y446" s="157"/>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customHeight="1">
      <c r="A447" s="2"/>
      <c r="B447" s="2"/>
      <c r="C447" s="2"/>
      <c r="D447" s="2"/>
      <c r="E447" s="2"/>
      <c r="F447" s="2"/>
      <c r="G447" s="2"/>
      <c r="H447" s="2"/>
      <c r="I447" s="2"/>
      <c r="J447" s="2"/>
      <c r="K447" s="2"/>
      <c r="L447" s="2"/>
      <c r="M447" s="2"/>
      <c r="N447" s="2"/>
      <c r="O447" s="2"/>
      <c r="P447" s="2"/>
      <c r="Q447" s="2"/>
      <c r="R447" s="2"/>
      <c r="S447" s="2"/>
      <c r="T447" s="2"/>
      <c r="U447" s="2"/>
      <c r="V447" s="2"/>
      <c r="W447" s="157"/>
      <c r="X447" s="157"/>
      <c r="Y447" s="157"/>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customHeight="1">
      <c r="A448" s="2"/>
      <c r="B448" s="2"/>
      <c r="C448" s="2"/>
      <c r="D448" s="2"/>
      <c r="E448" s="2"/>
      <c r="F448" s="2"/>
      <c r="G448" s="2"/>
      <c r="H448" s="2"/>
      <c r="I448" s="2"/>
      <c r="J448" s="2"/>
      <c r="K448" s="2"/>
      <c r="L448" s="2"/>
      <c r="M448" s="2"/>
      <c r="N448" s="2"/>
      <c r="O448" s="2"/>
      <c r="P448" s="2"/>
      <c r="Q448" s="2"/>
      <c r="R448" s="2"/>
      <c r="S448" s="2"/>
      <c r="T448" s="2"/>
      <c r="U448" s="2"/>
      <c r="V448" s="2"/>
      <c r="W448" s="157"/>
      <c r="X448" s="157"/>
      <c r="Y448" s="157"/>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customHeight="1">
      <c r="A449" s="2"/>
      <c r="B449" s="2"/>
      <c r="C449" s="2"/>
      <c r="D449" s="2"/>
      <c r="E449" s="2"/>
      <c r="F449" s="2"/>
      <c r="G449" s="2"/>
      <c r="H449" s="2"/>
      <c r="I449" s="2"/>
      <c r="J449" s="2"/>
      <c r="K449" s="2"/>
      <c r="L449" s="2"/>
      <c r="M449" s="2"/>
      <c r="N449" s="2"/>
      <c r="O449" s="2"/>
      <c r="P449" s="2"/>
      <c r="Q449" s="2"/>
      <c r="R449" s="2"/>
      <c r="S449" s="2"/>
      <c r="T449" s="2"/>
      <c r="U449" s="2"/>
      <c r="V449" s="2"/>
      <c r="W449" s="157"/>
      <c r="X449" s="157"/>
      <c r="Y449" s="157"/>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customHeight="1">
      <c r="A450" s="2"/>
      <c r="B450" s="2"/>
      <c r="C450" s="2"/>
      <c r="D450" s="2"/>
      <c r="E450" s="2"/>
      <c r="F450" s="2"/>
      <c r="G450" s="2"/>
      <c r="H450" s="2"/>
      <c r="I450" s="2"/>
      <c r="J450" s="2"/>
      <c r="K450" s="2"/>
      <c r="L450" s="2"/>
      <c r="M450" s="2"/>
      <c r="N450" s="2"/>
      <c r="O450" s="2"/>
      <c r="P450" s="2"/>
      <c r="Q450" s="2"/>
      <c r="R450" s="2"/>
      <c r="S450" s="2"/>
      <c r="T450" s="2"/>
      <c r="U450" s="2"/>
      <c r="V450" s="2"/>
      <c r="W450" s="157"/>
      <c r="X450" s="157"/>
      <c r="Y450" s="157"/>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customHeight="1">
      <c r="A451" s="2"/>
      <c r="B451" s="2"/>
      <c r="C451" s="2"/>
      <c r="D451" s="2"/>
      <c r="E451" s="2"/>
      <c r="F451" s="2"/>
      <c r="G451" s="2"/>
      <c r="H451" s="2"/>
      <c r="I451" s="2"/>
      <c r="J451" s="2"/>
      <c r="K451" s="2"/>
      <c r="L451" s="2"/>
      <c r="M451" s="2"/>
      <c r="N451" s="2"/>
      <c r="O451" s="2"/>
      <c r="P451" s="2"/>
      <c r="Q451" s="2"/>
      <c r="R451" s="2"/>
      <c r="S451" s="2"/>
      <c r="T451" s="2"/>
      <c r="U451" s="2"/>
      <c r="V451" s="2"/>
      <c r="W451" s="157"/>
      <c r="X451" s="157"/>
      <c r="Y451" s="157"/>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customHeight="1">
      <c r="A452" s="2"/>
      <c r="B452" s="2"/>
      <c r="C452" s="2"/>
      <c r="D452" s="2"/>
      <c r="E452" s="2"/>
      <c r="F452" s="2"/>
      <c r="G452" s="2"/>
      <c r="H452" s="2"/>
      <c r="I452" s="2"/>
      <c r="J452" s="2"/>
      <c r="K452" s="2"/>
      <c r="L452" s="2"/>
      <c r="M452" s="2"/>
      <c r="N452" s="2"/>
      <c r="O452" s="2"/>
      <c r="P452" s="2"/>
      <c r="Q452" s="2"/>
      <c r="R452" s="2"/>
      <c r="S452" s="2"/>
      <c r="T452" s="2"/>
      <c r="U452" s="2"/>
      <c r="V452" s="2"/>
      <c r="W452" s="157"/>
      <c r="X452" s="157"/>
      <c r="Y452" s="157"/>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customHeight="1">
      <c r="A453" s="2"/>
      <c r="B453" s="2"/>
      <c r="C453" s="2"/>
      <c r="D453" s="2"/>
      <c r="E453" s="2"/>
      <c r="F453" s="2"/>
      <c r="G453" s="2"/>
      <c r="H453" s="2"/>
      <c r="I453" s="2"/>
      <c r="J453" s="2"/>
      <c r="K453" s="2"/>
      <c r="L453" s="2"/>
      <c r="M453" s="2"/>
      <c r="N453" s="2"/>
      <c r="O453" s="2"/>
      <c r="P453" s="2"/>
      <c r="Q453" s="2"/>
      <c r="R453" s="2"/>
      <c r="S453" s="2"/>
      <c r="T453" s="2"/>
      <c r="U453" s="2"/>
      <c r="V453" s="2"/>
      <c r="W453" s="157"/>
      <c r="X453" s="157"/>
      <c r="Y453" s="157"/>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customHeight="1">
      <c r="A454" s="2"/>
      <c r="B454" s="2"/>
      <c r="C454" s="2"/>
      <c r="D454" s="2"/>
      <c r="E454" s="2"/>
      <c r="F454" s="2"/>
      <c r="G454" s="2"/>
      <c r="H454" s="2"/>
      <c r="I454" s="2"/>
      <c r="J454" s="2"/>
      <c r="K454" s="2"/>
      <c r="L454" s="2"/>
      <c r="M454" s="2"/>
      <c r="N454" s="2"/>
      <c r="O454" s="2"/>
      <c r="P454" s="2"/>
      <c r="Q454" s="2"/>
      <c r="R454" s="2"/>
      <c r="S454" s="2"/>
      <c r="T454" s="2"/>
      <c r="U454" s="2"/>
      <c r="V454" s="2"/>
      <c r="W454" s="157"/>
      <c r="X454" s="157"/>
      <c r="Y454" s="157"/>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customHeight="1">
      <c r="A455" s="2"/>
      <c r="B455" s="2"/>
      <c r="C455" s="2"/>
      <c r="D455" s="2"/>
      <c r="E455" s="2"/>
      <c r="F455" s="2"/>
      <c r="G455" s="2"/>
      <c r="H455" s="2"/>
      <c r="I455" s="2"/>
      <c r="J455" s="2"/>
      <c r="K455" s="2"/>
      <c r="L455" s="2"/>
      <c r="M455" s="2"/>
      <c r="N455" s="2"/>
      <c r="O455" s="2"/>
      <c r="P455" s="2"/>
      <c r="Q455" s="2"/>
      <c r="R455" s="2"/>
      <c r="S455" s="2"/>
      <c r="T455" s="2"/>
      <c r="U455" s="2"/>
      <c r="V455" s="2"/>
      <c r="W455" s="157"/>
      <c r="X455" s="157"/>
      <c r="Y455" s="157"/>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customHeight="1">
      <c r="A456" s="2"/>
      <c r="B456" s="2"/>
      <c r="C456" s="2"/>
      <c r="D456" s="2"/>
      <c r="E456" s="2"/>
      <c r="F456" s="2"/>
      <c r="G456" s="2"/>
      <c r="H456" s="2"/>
      <c r="I456" s="2"/>
      <c r="J456" s="2"/>
      <c r="K456" s="2"/>
      <c r="L456" s="2"/>
      <c r="M456" s="2"/>
      <c r="N456" s="2"/>
      <c r="O456" s="2"/>
      <c r="P456" s="2"/>
      <c r="Q456" s="2"/>
      <c r="R456" s="2"/>
      <c r="S456" s="2"/>
      <c r="T456" s="2"/>
      <c r="U456" s="2"/>
      <c r="V456" s="2"/>
      <c r="W456" s="157"/>
      <c r="X456" s="157"/>
      <c r="Y456" s="157"/>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customHeight="1">
      <c r="A457" s="2"/>
      <c r="B457" s="2"/>
      <c r="C457" s="2"/>
      <c r="D457" s="2"/>
      <c r="E457" s="2"/>
      <c r="F457" s="2"/>
      <c r="G457" s="2"/>
      <c r="H457" s="2"/>
      <c r="I457" s="2"/>
      <c r="J457" s="2"/>
      <c r="K457" s="2"/>
      <c r="L457" s="2"/>
      <c r="M457" s="2"/>
      <c r="N457" s="2"/>
      <c r="O457" s="2"/>
      <c r="P457" s="2"/>
      <c r="Q457" s="2"/>
      <c r="R457" s="2"/>
      <c r="S457" s="2"/>
      <c r="T457" s="2"/>
      <c r="U457" s="2"/>
      <c r="V457" s="2"/>
      <c r="W457" s="157"/>
      <c r="X457" s="157"/>
      <c r="Y457" s="157"/>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customHeight="1">
      <c r="A458" s="2"/>
      <c r="B458" s="2"/>
      <c r="C458" s="2"/>
      <c r="D458" s="2"/>
      <c r="E458" s="2"/>
      <c r="F458" s="2"/>
      <c r="G458" s="2"/>
      <c r="H458" s="2"/>
      <c r="I458" s="2"/>
      <c r="J458" s="2"/>
      <c r="K458" s="2"/>
      <c r="L458" s="2"/>
      <c r="M458" s="2"/>
      <c r="N458" s="2"/>
      <c r="O458" s="2"/>
      <c r="P458" s="2"/>
      <c r="Q458" s="2"/>
      <c r="R458" s="2"/>
      <c r="S458" s="2"/>
      <c r="T458" s="2"/>
      <c r="U458" s="2"/>
      <c r="V458" s="2"/>
      <c r="W458" s="157"/>
      <c r="X458" s="157"/>
      <c r="Y458" s="157"/>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customHeight="1">
      <c r="A459" s="2"/>
      <c r="B459" s="2"/>
      <c r="C459" s="2"/>
      <c r="D459" s="2"/>
      <c r="E459" s="2"/>
      <c r="F459" s="2"/>
      <c r="G459" s="2"/>
      <c r="H459" s="2"/>
      <c r="I459" s="2"/>
      <c r="J459" s="2"/>
      <c r="K459" s="2"/>
      <c r="L459" s="2"/>
      <c r="M459" s="2"/>
      <c r="N459" s="2"/>
      <c r="O459" s="2"/>
      <c r="P459" s="2"/>
      <c r="Q459" s="2"/>
      <c r="R459" s="2"/>
      <c r="S459" s="2"/>
      <c r="T459" s="2"/>
      <c r="U459" s="2"/>
      <c r="V459" s="2"/>
      <c r="W459" s="157"/>
      <c r="X459" s="157"/>
      <c r="Y459" s="157"/>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customHeight="1">
      <c r="A460" s="2"/>
      <c r="B460" s="2"/>
      <c r="C460" s="2"/>
      <c r="D460" s="2"/>
      <c r="E460" s="2"/>
      <c r="F460" s="2"/>
      <c r="G460" s="2"/>
      <c r="H460" s="2"/>
      <c r="I460" s="2"/>
      <c r="J460" s="2"/>
      <c r="K460" s="2"/>
      <c r="L460" s="2"/>
      <c r="M460" s="2"/>
      <c r="N460" s="2"/>
      <c r="O460" s="2"/>
      <c r="P460" s="2"/>
      <c r="Q460" s="2"/>
      <c r="R460" s="2"/>
      <c r="S460" s="2"/>
      <c r="T460" s="2"/>
      <c r="U460" s="2"/>
      <c r="V460" s="2"/>
      <c r="W460" s="157"/>
      <c r="X460" s="157"/>
      <c r="Y460" s="157"/>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customHeight="1">
      <c r="A461" s="2"/>
      <c r="B461" s="2"/>
      <c r="C461" s="2"/>
      <c r="D461" s="2"/>
      <c r="E461" s="2"/>
      <c r="F461" s="2"/>
      <c r="G461" s="2"/>
      <c r="H461" s="2"/>
      <c r="I461" s="2"/>
      <c r="J461" s="2"/>
      <c r="K461" s="2"/>
      <c r="L461" s="2"/>
      <c r="M461" s="2"/>
      <c r="N461" s="2"/>
      <c r="O461" s="2"/>
      <c r="P461" s="2"/>
      <c r="Q461" s="2"/>
      <c r="R461" s="2"/>
      <c r="S461" s="2"/>
      <c r="T461" s="2"/>
      <c r="U461" s="2"/>
      <c r="V461" s="2"/>
      <c r="W461" s="157"/>
      <c r="X461" s="157"/>
      <c r="Y461" s="157"/>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customHeight="1">
      <c r="A462" s="2"/>
      <c r="B462" s="2"/>
      <c r="C462" s="2"/>
      <c r="D462" s="2"/>
      <c r="E462" s="2"/>
      <c r="F462" s="2"/>
      <c r="G462" s="2"/>
      <c r="H462" s="2"/>
      <c r="I462" s="2"/>
      <c r="J462" s="2"/>
      <c r="K462" s="2"/>
      <c r="L462" s="2"/>
      <c r="M462" s="2"/>
      <c r="N462" s="2"/>
      <c r="O462" s="2"/>
      <c r="P462" s="2"/>
      <c r="Q462" s="2"/>
      <c r="R462" s="2"/>
      <c r="S462" s="2"/>
      <c r="T462" s="2"/>
      <c r="U462" s="2"/>
      <c r="V462" s="2"/>
      <c r="W462" s="157"/>
      <c r="X462" s="157"/>
      <c r="Y462" s="157"/>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customHeight="1">
      <c r="A463" s="2"/>
      <c r="B463" s="2"/>
      <c r="C463" s="2"/>
      <c r="D463" s="2"/>
      <c r="E463" s="2"/>
      <c r="F463" s="2"/>
      <c r="G463" s="2"/>
      <c r="H463" s="2"/>
      <c r="I463" s="2"/>
      <c r="J463" s="2"/>
      <c r="K463" s="2"/>
      <c r="L463" s="2"/>
      <c r="M463" s="2"/>
      <c r="N463" s="2"/>
      <c r="O463" s="2"/>
      <c r="P463" s="2"/>
      <c r="Q463" s="2"/>
      <c r="R463" s="2"/>
      <c r="S463" s="2"/>
      <c r="T463" s="2"/>
      <c r="U463" s="2"/>
      <c r="V463" s="2"/>
      <c r="W463" s="157"/>
      <c r="X463" s="157"/>
      <c r="Y463" s="157"/>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customHeight="1">
      <c r="A464" s="2"/>
      <c r="B464" s="2"/>
      <c r="C464" s="2"/>
      <c r="D464" s="2"/>
      <c r="E464" s="2"/>
      <c r="F464" s="2"/>
      <c r="G464" s="2"/>
      <c r="H464" s="2"/>
      <c r="I464" s="2"/>
      <c r="J464" s="2"/>
      <c r="K464" s="2"/>
      <c r="L464" s="2"/>
      <c r="M464" s="2"/>
      <c r="N464" s="2"/>
      <c r="O464" s="2"/>
      <c r="P464" s="2"/>
      <c r="Q464" s="2"/>
      <c r="R464" s="2"/>
      <c r="S464" s="2"/>
      <c r="T464" s="2"/>
      <c r="U464" s="2"/>
      <c r="V464" s="2"/>
      <c r="W464" s="157"/>
      <c r="X464" s="157"/>
      <c r="Y464" s="157"/>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customHeight="1">
      <c r="A465" s="2"/>
      <c r="B465" s="2"/>
      <c r="C465" s="2"/>
      <c r="D465" s="2"/>
      <c r="E465" s="2"/>
      <c r="F465" s="2"/>
      <c r="G465" s="2"/>
      <c r="H465" s="2"/>
      <c r="I465" s="2"/>
      <c r="J465" s="2"/>
      <c r="K465" s="2"/>
      <c r="L465" s="2"/>
      <c r="M465" s="2"/>
      <c r="N465" s="2"/>
      <c r="O465" s="2"/>
      <c r="P465" s="2"/>
      <c r="Q465" s="2"/>
      <c r="R465" s="2"/>
      <c r="S465" s="2"/>
      <c r="T465" s="2"/>
      <c r="U465" s="2"/>
      <c r="V465" s="2"/>
      <c r="W465" s="157"/>
      <c r="X465" s="157"/>
      <c r="Y465" s="157"/>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customHeight="1">
      <c r="A466" s="2"/>
      <c r="B466" s="2"/>
      <c r="C466" s="2"/>
      <c r="D466" s="2"/>
      <c r="E466" s="2"/>
      <c r="F466" s="2"/>
      <c r="G466" s="2"/>
      <c r="H466" s="2"/>
      <c r="I466" s="2"/>
      <c r="J466" s="2"/>
      <c r="K466" s="2"/>
      <c r="L466" s="2"/>
      <c r="M466" s="2"/>
      <c r="N466" s="2"/>
      <c r="O466" s="2"/>
      <c r="P466" s="2"/>
      <c r="Q466" s="2"/>
      <c r="R466" s="2"/>
      <c r="S466" s="2"/>
      <c r="T466" s="2"/>
      <c r="U466" s="2"/>
      <c r="V466" s="2"/>
      <c r="W466" s="157"/>
      <c r="X466" s="157"/>
      <c r="Y466" s="157"/>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customHeight="1">
      <c r="A467" s="2"/>
      <c r="B467" s="2"/>
      <c r="C467" s="2"/>
      <c r="D467" s="2"/>
      <c r="E467" s="2"/>
      <c r="F467" s="2"/>
      <c r="G467" s="2"/>
      <c r="H467" s="2"/>
      <c r="I467" s="2"/>
      <c r="J467" s="2"/>
      <c r="K467" s="2"/>
      <c r="L467" s="2"/>
      <c r="M467" s="2"/>
      <c r="N467" s="2"/>
      <c r="O467" s="2"/>
      <c r="P467" s="2"/>
      <c r="Q467" s="2"/>
      <c r="R467" s="2"/>
      <c r="S467" s="2"/>
      <c r="T467" s="2"/>
      <c r="U467" s="2"/>
      <c r="V467" s="2"/>
      <c r="W467" s="157"/>
      <c r="X467" s="157"/>
      <c r="Y467" s="157"/>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customHeight="1">
      <c r="A468" s="2"/>
      <c r="B468" s="2"/>
      <c r="C468" s="2"/>
      <c r="D468" s="2"/>
      <c r="E468" s="2"/>
      <c r="F468" s="2"/>
      <c r="G468" s="2"/>
      <c r="H468" s="2"/>
      <c r="I468" s="2"/>
      <c r="J468" s="2"/>
      <c r="K468" s="2"/>
      <c r="L468" s="2"/>
      <c r="M468" s="2"/>
      <c r="N468" s="2"/>
      <c r="O468" s="2"/>
      <c r="P468" s="2"/>
      <c r="Q468" s="2"/>
      <c r="R468" s="2"/>
      <c r="S468" s="2"/>
      <c r="T468" s="2"/>
      <c r="U468" s="2"/>
      <c r="V468" s="2"/>
      <c r="W468" s="157"/>
      <c r="X468" s="157"/>
      <c r="Y468" s="157"/>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customHeight="1">
      <c r="A469" s="2"/>
      <c r="B469" s="2"/>
      <c r="C469" s="2"/>
      <c r="D469" s="2"/>
      <c r="E469" s="2"/>
      <c r="F469" s="2"/>
      <c r="G469" s="2"/>
      <c r="H469" s="2"/>
      <c r="I469" s="2"/>
      <c r="J469" s="2"/>
      <c r="K469" s="2"/>
      <c r="L469" s="2"/>
      <c r="M469" s="2"/>
      <c r="N469" s="2"/>
      <c r="O469" s="2"/>
      <c r="P469" s="2"/>
      <c r="Q469" s="2"/>
      <c r="R469" s="2"/>
      <c r="S469" s="2"/>
      <c r="T469" s="2"/>
      <c r="U469" s="2"/>
      <c r="V469" s="2"/>
      <c r="W469" s="157"/>
      <c r="X469" s="157"/>
      <c r="Y469" s="157"/>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customHeight="1">
      <c r="A470" s="2"/>
      <c r="B470" s="2"/>
      <c r="C470" s="2"/>
      <c r="D470" s="2"/>
      <c r="E470" s="2"/>
      <c r="F470" s="2"/>
      <c r="G470" s="2"/>
      <c r="H470" s="2"/>
      <c r="I470" s="2"/>
      <c r="J470" s="2"/>
      <c r="K470" s="2"/>
      <c r="L470" s="2"/>
      <c r="M470" s="2"/>
      <c r="N470" s="2"/>
      <c r="O470" s="2"/>
      <c r="P470" s="2"/>
      <c r="Q470" s="2"/>
      <c r="R470" s="2"/>
      <c r="S470" s="2"/>
      <c r="T470" s="2"/>
      <c r="U470" s="2"/>
      <c r="V470" s="2"/>
      <c r="W470" s="157"/>
      <c r="X470" s="157"/>
      <c r="Y470" s="157"/>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customHeight="1">
      <c r="A471" s="2"/>
      <c r="B471" s="2"/>
      <c r="C471" s="2"/>
      <c r="D471" s="2"/>
      <c r="E471" s="2"/>
      <c r="F471" s="2"/>
      <c r="G471" s="2"/>
      <c r="H471" s="2"/>
      <c r="I471" s="2"/>
      <c r="J471" s="2"/>
      <c r="K471" s="2"/>
      <c r="L471" s="2"/>
      <c r="M471" s="2"/>
      <c r="N471" s="2"/>
      <c r="O471" s="2"/>
      <c r="P471" s="2"/>
      <c r="Q471" s="2"/>
      <c r="R471" s="2"/>
      <c r="S471" s="2"/>
      <c r="T471" s="2"/>
      <c r="U471" s="2"/>
      <c r="V471" s="2"/>
      <c r="W471" s="157"/>
      <c r="X471" s="157"/>
      <c r="Y471" s="157"/>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customHeight="1">
      <c r="A472" s="2"/>
      <c r="B472" s="2"/>
      <c r="C472" s="2"/>
      <c r="D472" s="2"/>
      <c r="E472" s="2"/>
      <c r="F472" s="2"/>
      <c r="G472" s="2"/>
      <c r="H472" s="2"/>
      <c r="I472" s="2"/>
      <c r="J472" s="2"/>
      <c r="K472" s="2"/>
      <c r="L472" s="2"/>
      <c r="M472" s="2"/>
      <c r="N472" s="2"/>
      <c r="O472" s="2"/>
      <c r="P472" s="2"/>
      <c r="Q472" s="2"/>
      <c r="R472" s="2"/>
      <c r="S472" s="2"/>
      <c r="T472" s="2"/>
      <c r="U472" s="2"/>
      <c r="V472" s="2"/>
      <c r="W472" s="157"/>
      <c r="X472" s="157"/>
      <c r="Y472" s="157"/>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customHeight="1">
      <c r="A473" s="2"/>
      <c r="B473" s="2"/>
      <c r="C473" s="2"/>
      <c r="D473" s="2"/>
      <c r="E473" s="2"/>
      <c r="F473" s="2"/>
      <c r="G473" s="2"/>
      <c r="H473" s="2"/>
      <c r="I473" s="2"/>
      <c r="J473" s="2"/>
      <c r="K473" s="2"/>
      <c r="L473" s="2"/>
      <c r="M473" s="2"/>
      <c r="N473" s="2"/>
      <c r="O473" s="2"/>
      <c r="P473" s="2"/>
      <c r="Q473" s="2"/>
      <c r="R473" s="2"/>
      <c r="S473" s="2"/>
      <c r="T473" s="2"/>
      <c r="U473" s="2"/>
      <c r="V473" s="2"/>
      <c r="W473" s="157"/>
      <c r="X473" s="157"/>
      <c r="Y473" s="157"/>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customHeight="1">
      <c r="A474" s="2"/>
      <c r="B474" s="2"/>
      <c r="C474" s="2"/>
      <c r="D474" s="2"/>
      <c r="E474" s="2"/>
      <c r="F474" s="2"/>
      <c r="G474" s="2"/>
      <c r="H474" s="2"/>
      <c r="I474" s="2"/>
      <c r="J474" s="2"/>
      <c r="K474" s="2"/>
      <c r="L474" s="2"/>
      <c r="M474" s="2"/>
      <c r="N474" s="2"/>
      <c r="O474" s="2"/>
      <c r="P474" s="2"/>
      <c r="Q474" s="2"/>
      <c r="R474" s="2"/>
      <c r="S474" s="2"/>
      <c r="T474" s="2"/>
      <c r="U474" s="2"/>
      <c r="V474" s="2"/>
      <c r="W474" s="157"/>
      <c r="X474" s="157"/>
      <c r="Y474" s="157"/>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customHeight="1">
      <c r="A475" s="2"/>
      <c r="B475" s="2"/>
      <c r="C475" s="2"/>
      <c r="D475" s="2"/>
      <c r="E475" s="2"/>
      <c r="F475" s="2"/>
      <c r="G475" s="2"/>
      <c r="H475" s="2"/>
      <c r="I475" s="2"/>
      <c r="J475" s="2"/>
      <c r="K475" s="2"/>
      <c r="L475" s="2"/>
      <c r="M475" s="2"/>
      <c r="N475" s="2"/>
      <c r="O475" s="2"/>
      <c r="P475" s="2"/>
      <c r="Q475" s="2"/>
      <c r="R475" s="2"/>
      <c r="S475" s="2"/>
      <c r="T475" s="2"/>
      <c r="U475" s="2"/>
      <c r="V475" s="2"/>
      <c r="W475" s="157"/>
      <c r="X475" s="157"/>
      <c r="Y475" s="157"/>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customHeight="1">
      <c r="A476" s="2"/>
      <c r="B476" s="2"/>
      <c r="C476" s="2"/>
      <c r="D476" s="2"/>
      <c r="E476" s="2"/>
      <c r="F476" s="2"/>
      <c r="G476" s="2"/>
      <c r="H476" s="2"/>
      <c r="I476" s="2"/>
      <c r="J476" s="2"/>
      <c r="K476" s="2"/>
      <c r="L476" s="2"/>
      <c r="M476" s="2"/>
      <c r="N476" s="2"/>
      <c r="O476" s="2"/>
      <c r="P476" s="2"/>
      <c r="Q476" s="2"/>
      <c r="R476" s="2"/>
      <c r="S476" s="2"/>
      <c r="T476" s="2"/>
      <c r="U476" s="2"/>
      <c r="V476" s="2"/>
      <c r="W476" s="157"/>
      <c r="X476" s="157"/>
      <c r="Y476" s="157"/>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customHeight="1">
      <c r="A477" s="2"/>
      <c r="B477" s="2"/>
      <c r="C477" s="2"/>
      <c r="D477" s="2"/>
      <c r="E477" s="2"/>
      <c r="F477" s="2"/>
      <c r="G477" s="2"/>
      <c r="H477" s="2"/>
      <c r="I477" s="2"/>
      <c r="J477" s="2"/>
      <c r="K477" s="2"/>
      <c r="L477" s="2"/>
      <c r="M477" s="2"/>
      <c r="N477" s="2"/>
      <c r="O477" s="2"/>
      <c r="P477" s="2"/>
      <c r="Q477" s="2"/>
      <c r="R477" s="2"/>
      <c r="S477" s="2"/>
      <c r="T477" s="2"/>
      <c r="U477" s="2"/>
      <c r="V477" s="2"/>
      <c r="W477" s="157"/>
      <c r="X477" s="157"/>
      <c r="Y477" s="157"/>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customHeight="1">
      <c r="A478" s="2"/>
      <c r="B478" s="2"/>
      <c r="C478" s="2"/>
      <c r="D478" s="2"/>
      <c r="E478" s="2"/>
      <c r="F478" s="2"/>
      <c r="G478" s="2"/>
      <c r="H478" s="2"/>
      <c r="I478" s="2"/>
      <c r="J478" s="2"/>
      <c r="K478" s="2"/>
      <c r="L478" s="2"/>
      <c r="M478" s="2"/>
      <c r="N478" s="2"/>
      <c r="O478" s="2"/>
      <c r="P478" s="2"/>
      <c r="Q478" s="2"/>
      <c r="R478" s="2"/>
      <c r="S478" s="2"/>
      <c r="T478" s="2"/>
      <c r="U478" s="2"/>
      <c r="V478" s="2"/>
      <c r="W478" s="157"/>
      <c r="X478" s="157"/>
      <c r="Y478" s="157"/>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customHeight="1">
      <c r="A479" s="2"/>
      <c r="B479" s="2"/>
      <c r="C479" s="2"/>
      <c r="D479" s="2"/>
      <c r="E479" s="2"/>
      <c r="F479" s="2"/>
      <c r="G479" s="2"/>
      <c r="H479" s="2"/>
      <c r="I479" s="2"/>
      <c r="J479" s="2"/>
      <c r="K479" s="2"/>
      <c r="L479" s="2"/>
      <c r="M479" s="2"/>
      <c r="N479" s="2"/>
      <c r="O479" s="2"/>
      <c r="P479" s="2"/>
      <c r="Q479" s="2"/>
      <c r="R479" s="2"/>
      <c r="S479" s="2"/>
      <c r="T479" s="2"/>
      <c r="U479" s="2"/>
      <c r="V479" s="2"/>
      <c r="W479" s="157"/>
      <c r="X479" s="157"/>
      <c r="Y479" s="157"/>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customHeight="1">
      <c r="A480" s="2"/>
      <c r="B480" s="2"/>
      <c r="C480" s="2"/>
      <c r="D480" s="2"/>
      <c r="E480" s="2"/>
      <c r="F480" s="2"/>
      <c r="G480" s="2"/>
      <c r="H480" s="2"/>
      <c r="I480" s="2"/>
      <c r="J480" s="2"/>
      <c r="K480" s="2"/>
      <c r="L480" s="2"/>
      <c r="M480" s="2"/>
      <c r="N480" s="2"/>
      <c r="O480" s="2"/>
      <c r="P480" s="2"/>
      <c r="Q480" s="2"/>
      <c r="R480" s="2"/>
      <c r="S480" s="2"/>
      <c r="T480" s="2"/>
      <c r="U480" s="2"/>
      <c r="V480" s="2"/>
      <c r="W480" s="157"/>
      <c r="X480" s="157"/>
      <c r="Y480" s="157"/>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customHeight="1">
      <c r="A481" s="2"/>
      <c r="B481" s="2"/>
      <c r="C481" s="2"/>
      <c r="D481" s="2"/>
      <c r="E481" s="2"/>
      <c r="F481" s="2"/>
      <c r="G481" s="2"/>
      <c r="H481" s="2"/>
      <c r="I481" s="2"/>
      <c r="J481" s="2"/>
      <c r="K481" s="2"/>
      <c r="L481" s="2"/>
      <c r="M481" s="2"/>
      <c r="N481" s="2"/>
      <c r="O481" s="2"/>
      <c r="P481" s="2"/>
      <c r="Q481" s="2"/>
      <c r="R481" s="2"/>
      <c r="S481" s="2"/>
      <c r="T481" s="2"/>
      <c r="U481" s="2"/>
      <c r="V481" s="2"/>
      <c r="W481" s="157"/>
      <c r="X481" s="157"/>
      <c r="Y481" s="157"/>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customHeight="1">
      <c r="A482" s="2"/>
      <c r="B482" s="2"/>
      <c r="C482" s="2"/>
      <c r="D482" s="2"/>
      <c r="E482" s="2"/>
      <c r="F482" s="2"/>
      <c r="G482" s="2"/>
      <c r="H482" s="2"/>
      <c r="I482" s="2"/>
      <c r="J482" s="2"/>
      <c r="K482" s="2"/>
      <c r="L482" s="2"/>
      <c r="M482" s="2"/>
      <c r="N482" s="2"/>
      <c r="O482" s="2"/>
      <c r="P482" s="2"/>
      <c r="Q482" s="2"/>
      <c r="R482" s="2"/>
      <c r="S482" s="2"/>
      <c r="T482" s="2"/>
      <c r="U482" s="2"/>
      <c r="V482" s="2"/>
      <c r="W482" s="157"/>
      <c r="X482" s="157"/>
      <c r="Y482" s="157"/>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customHeight="1">
      <c r="A483" s="2"/>
      <c r="B483" s="2"/>
      <c r="C483" s="2"/>
      <c r="D483" s="2"/>
      <c r="E483" s="2"/>
      <c r="F483" s="2"/>
      <c r="G483" s="2"/>
      <c r="H483" s="2"/>
      <c r="I483" s="2"/>
      <c r="J483" s="2"/>
      <c r="K483" s="2"/>
      <c r="L483" s="2"/>
      <c r="M483" s="2"/>
      <c r="N483" s="2"/>
      <c r="O483" s="2"/>
      <c r="P483" s="2"/>
      <c r="Q483" s="2"/>
      <c r="R483" s="2"/>
      <c r="S483" s="2"/>
      <c r="T483" s="2"/>
      <c r="U483" s="2"/>
      <c r="V483" s="2"/>
      <c r="W483" s="157"/>
      <c r="X483" s="157"/>
      <c r="Y483" s="157"/>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customHeight="1">
      <c r="A484" s="2"/>
      <c r="B484" s="2"/>
      <c r="C484" s="2"/>
      <c r="D484" s="2"/>
      <c r="E484" s="2"/>
      <c r="F484" s="2"/>
      <c r="G484" s="2"/>
      <c r="H484" s="2"/>
      <c r="I484" s="2"/>
      <c r="J484" s="2"/>
      <c r="K484" s="2"/>
      <c r="L484" s="2"/>
      <c r="M484" s="2"/>
      <c r="N484" s="2"/>
      <c r="O484" s="2"/>
      <c r="P484" s="2"/>
      <c r="Q484" s="2"/>
      <c r="R484" s="2"/>
      <c r="S484" s="2"/>
      <c r="T484" s="2"/>
      <c r="U484" s="2"/>
      <c r="V484" s="2"/>
      <c r="W484" s="157"/>
      <c r="X484" s="157"/>
      <c r="Y484" s="157"/>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customHeight="1">
      <c r="A485" s="2"/>
      <c r="B485" s="2"/>
      <c r="C485" s="2"/>
      <c r="D485" s="2"/>
      <c r="E485" s="2"/>
      <c r="F485" s="2"/>
      <c r="G485" s="2"/>
      <c r="H485" s="2"/>
      <c r="I485" s="2"/>
      <c r="J485" s="2"/>
      <c r="K485" s="2"/>
      <c r="L485" s="2"/>
      <c r="M485" s="2"/>
      <c r="N485" s="2"/>
      <c r="O485" s="2"/>
      <c r="P485" s="2"/>
      <c r="Q485" s="2"/>
      <c r="R485" s="2"/>
      <c r="S485" s="2"/>
      <c r="T485" s="2"/>
      <c r="U485" s="2"/>
      <c r="V485" s="2"/>
      <c r="W485" s="157"/>
      <c r="X485" s="157"/>
      <c r="Y485" s="157"/>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customHeight="1">
      <c r="A486" s="2"/>
      <c r="B486" s="2"/>
      <c r="C486" s="2"/>
      <c r="D486" s="2"/>
      <c r="E486" s="2"/>
      <c r="F486" s="2"/>
      <c r="G486" s="2"/>
      <c r="H486" s="2"/>
      <c r="I486" s="2"/>
      <c r="J486" s="2"/>
      <c r="K486" s="2"/>
      <c r="L486" s="2"/>
      <c r="M486" s="2"/>
      <c r="N486" s="2"/>
      <c r="O486" s="2"/>
      <c r="P486" s="2"/>
      <c r="Q486" s="2"/>
      <c r="R486" s="2"/>
      <c r="S486" s="2"/>
      <c r="T486" s="2"/>
      <c r="U486" s="2"/>
      <c r="V486" s="2"/>
      <c r="W486" s="157"/>
      <c r="X486" s="157"/>
      <c r="Y486" s="157"/>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customHeight="1">
      <c r="A487" s="2"/>
      <c r="B487" s="2"/>
      <c r="C487" s="2"/>
      <c r="D487" s="2"/>
      <c r="E487" s="2"/>
      <c r="F487" s="2"/>
      <c r="G487" s="2"/>
      <c r="H487" s="2"/>
      <c r="I487" s="2"/>
      <c r="J487" s="2"/>
      <c r="K487" s="2"/>
      <c r="L487" s="2"/>
      <c r="M487" s="2"/>
      <c r="N487" s="2"/>
      <c r="O487" s="2"/>
      <c r="P487" s="2"/>
      <c r="Q487" s="2"/>
      <c r="R487" s="2"/>
      <c r="S487" s="2"/>
      <c r="T487" s="2"/>
      <c r="U487" s="2"/>
      <c r="V487" s="2"/>
      <c r="W487" s="157"/>
      <c r="X487" s="157"/>
      <c r="Y487" s="157"/>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customHeight="1">
      <c r="A488" s="2"/>
      <c r="B488" s="2"/>
      <c r="C488" s="2"/>
      <c r="D488" s="2"/>
      <c r="E488" s="2"/>
      <c r="F488" s="2"/>
      <c r="G488" s="2"/>
      <c r="H488" s="2"/>
      <c r="I488" s="2"/>
      <c r="J488" s="2"/>
      <c r="K488" s="2"/>
      <c r="L488" s="2"/>
      <c r="M488" s="2"/>
      <c r="N488" s="2"/>
      <c r="O488" s="2"/>
      <c r="P488" s="2"/>
      <c r="Q488" s="2"/>
      <c r="R488" s="2"/>
      <c r="S488" s="2"/>
      <c r="T488" s="2"/>
      <c r="U488" s="2"/>
      <c r="V488" s="2"/>
      <c r="W488" s="157"/>
      <c r="X488" s="157"/>
      <c r="Y488" s="157"/>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customHeight="1">
      <c r="A489" s="2"/>
      <c r="B489" s="2"/>
      <c r="C489" s="2"/>
      <c r="D489" s="2"/>
      <c r="E489" s="2"/>
      <c r="F489" s="2"/>
      <c r="G489" s="2"/>
      <c r="H489" s="2"/>
      <c r="I489" s="2"/>
      <c r="J489" s="2"/>
      <c r="K489" s="2"/>
      <c r="L489" s="2"/>
      <c r="M489" s="2"/>
      <c r="N489" s="2"/>
      <c r="O489" s="2"/>
      <c r="P489" s="2"/>
      <c r="Q489" s="2"/>
      <c r="R489" s="2"/>
      <c r="S489" s="2"/>
      <c r="T489" s="2"/>
      <c r="U489" s="2"/>
      <c r="V489" s="2"/>
      <c r="W489" s="157"/>
      <c r="X489" s="157"/>
      <c r="Y489" s="157"/>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customHeight="1">
      <c r="A490" s="2"/>
      <c r="B490" s="2"/>
      <c r="C490" s="2"/>
      <c r="D490" s="2"/>
      <c r="E490" s="2"/>
      <c r="F490" s="2"/>
      <c r="G490" s="2"/>
      <c r="H490" s="2"/>
      <c r="I490" s="2"/>
      <c r="J490" s="2"/>
      <c r="K490" s="2"/>
      <c r="L490" s="2"/>
      <c r="M490" s="2"/>
      <c r="N490" s="2"/>
      <c r="O490" s="2"/>
      <c r="P490" s="2"/>
      <c r="Q490" s="2"/>
      <c r="R490" s="2"/>
      <c r="S490" s="2"/>
      <c r="T490" s="2"/>
      <c r="U490" s="2"/>
      <c r="V490" s="2"/>
      <c r="W490" s="157"/>
      <c r="X490" s="157"/>
      <c r="Y490" s="157"/>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customHeight="1">
      <c r="A491" s="2"/>
      <c r="B491" s="2"/>
      <c r="C491" s="2"/>
      <c r="D491" s="2"/>
      <c r="E491" s="2"/>
      <c r="F491" s="2"/>
      <c r="G491" s="2"/>
      <c r="H491" s="2"/>
      <c r="I491" s="2"/>
      <c r="J491" s="2"/>
      <c r="K491" s="2"/>
      <c r="L491" s="2"/>
      <c r="M491" s="2"/>
      <c r="N491" s="2"/>
      <c r="O491" s="2"/>
      <c r="P491" s="2"/>
      <c r="Q491" s="2"/>
      <c r="R491" s="2"/>
      <c r="S491" s="2"/>
      <c r="T491" s="2"/>
      <c r="U491" s="2"/>
      <c r="V491" s="2"/>
      <c r="W491" s="157"/>
      <c r="X491" s="157"/>
      <c r="Y491" s="157"/>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customHeight="1">
      <c r="A492" s="2"/>
      <c r="B492" s="2"/>
      <c r="C492" s="2"/>
      <c r="D492" s="2"/>
      <c r="E492" s="2"/>
      <c r="F492" s="2"/>
      <c r="G492" s="2"/>
      <c r="H492" s="2"/>
      <c r="I492" s="2"/>
      <c r="J492" s="2"/>
      <c r="K492" s="2"/>
      <c r="L492" s="2"/>
      <c r="M492" s="2"/>
      <c r="N492" s="2"/>
      <c r="O492" s="2"/>
      <c r="P492" s="2"/>
      <c r="Q492" s="2"/>
      <c r="R492" s="2"/>
      <c r="S492" s="2"/>
      <c r="T492" s="2"/>
      <c r="U492" s="2"/>
      <c r="V492" s="2"/>
      <c r="W492" s="157"/>
      <c r="X492" s="157"/>
      <c r="Y492" s="157"/>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customHeight="1">
      <c r="A493" s="2"/>
      <c r="B493" s="2"/>
      <c r="C493" s="2"/>
      <c r="D493" s="2"/>
      <c r="E493" s="2"/>
      <c r="F493" s="2"/>
      <c r="G493" s="2"/>
      <c r="H493" s="2"/>
      <c r="I493" s="2"/>
      <c r="J493" s="2"/>
      <c r="K493" s="2"/>
      <c r="L493" s="2"/>
      <c r="M493" s="2"/>
      <c r="N493" s="2"/>
      <c r="O493" s="2"/>
      <c r="P493" s="2"/>
      <c r="Q493" s="2"/>
      <c r="R493" s="2"/>
      <c r="S493" s="2"/>
      <c r="T493" s="2"/>
      <c r="U493" s="2"/>
      <c r="V493" s="2"/>
      <c r="W493" s="157"/>
      <c r="X493" s="157"/>
      <c r="Y493" s="157"/>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customHeight="1">
      <c r="A494" s="2"/>
      <c r="B494" s="2"/>
      <c r="C494" s="2"/>
      <c r="D494" s="2"/>
      <c r="E494" s="2"/>
      <c r="F494" s="2"/>
      <c r="G494" s="2"/>
      <c r="H494" s="2"/>
      <c r="I494" s="2"/>
      <c r="J494" s="2"/>
      <c r="K494" s="2"/>
      <c r="L494" s="2"/>
      <c r="M494" s="2"/>
      <c r="N494" s="2"/>
      <c r="O494" s="2"/>
      <c r="P494" s="2"/>
      <c r="Q494" s="2"/>
      <c r="R494" s="2"/>
      <c r="S494" s="2"/>
      <c r="T494" s="2"/>
      <c r="U494" s="2"/>
      <c r="V494" s="2"/>
      <c r="W494" s="157"/>
      <c r="X494" s="157"/>
      <c r="Y494" s="157"/>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customHeight="1">
      <c r="A495" s="2"/>
      <c r="B495" s="2"/>
      <c r="C495" s="2"/>
      <c r="D495" s="2"/>
      <c r="E495" s="2"/>
      <c r="F495" s="2"/>
      <c r="G495" s="2"/>
      <c r="H495" s="2"/>
      <c r="I495" s="2"/>
      <c r="J495" s="2"/>
      <c r="K495" s="2"/>
      <c r="L495" s="2"/>
      <c r="M495" s="2"/>
      <c r="N495" s="2"/>
      <c r="O495" s="2"/>
      <c r="P495" s="2"/>
      <c r="Q495" s="2"/>
      <c r="R495" s="2"/>
      <c r="S495" s="2"/>
      <c r="T495" s="2"/>
      <c r="U495" s="2"/>
      <c r="V495" s="2"/>
      <c r="W495" s="157"/>
      <c r="X495" s="157"/>
      <c r="Y495" s="157"/>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customHeight="1">
      <c r="A496" s="2"/>
      <c r="B496" s="2"/>
      <c r="C496" s="2"/>
      <c r="D496" s="2"/>
      <c r="E496" s="2"/>
      <c r="F496" s="2"/>
      <c r="G496" s="2"/>
      <c r="H496" s="2"/>
      <c r="I496" s="2"/>
      <c r="J496" s="2"/>
      <c r="K496" s="2"/>
      <c r="L496" s="2"/>
      <c r="M496" s="2"/>
      <c r="N496" s="2"/>
      <c r="O496" s="2"/>
      <c r="P496" s="2"/>
      <c r="Q496" s="2"/>
      <c r="R496" s="2"/>
      <c r="S496" s="2"/>
      <c r="T496" s="2"/>
      <c r="U496" s="2"/>
      <c r="V496" s="2"/>
      <c r="W496" s="157"/>
      <c r="X496" s="157"/>
      <c r="Y496" s="157"/>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customHeight="1">
      <c r="A497" s="2"/>
      <c r="B497" s="2"/>
      <c r="C497" s="2"/>
      <c r="D497" s="2"/>
      <c r="E497" s="2"/>
      <c r="F497" s="2"/>
      <c r="G497" s="2"/>
      <c r="H497" s="2"/>
      <c r="I497" s="2"/>
      <c r="J497" s="2"/>
      <c r="K497" s="2"/>
      <c r="L497" s="2"/>
      <c r="M497" s="2"/>
      <c r="N497" s="2"/>
      <c r="O497" s="2"/>
      <c r="P497" s="2"/>
      <c r="Q497" s="2"/>
      <c r="R497" s="2"/>
      <c r="S497" s="2"/>
      <c r="T497" s="2"/>
      <c r="U497" s="2"/>
      <c r="V497" s="2"/>
      <c r="W497" s="157"/>
      <c r="X497" s="157"/>
      <c r="Y497" s="157"/>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customHeight="1">
      <c r="A498" s="2"/>
      <c r="B498" s="2"/>
      <c r="C498" s="2"/>
      <c r="D498" s="2"/>
      <c r="E498" s="2"/>
      <c r="F498" s="2"/>
      <c r="G498" s="2"/>
      <c r="H498" s="2"/>
      <c r="I498" s="2"/>
      <c r="J498" s="2"/>
      <c r="K498" s="2"/>
      <c r="L498" s="2"/>
      <c r="M498" s="2"/>
      <c r="N498" s="2"/>
      <c r="O498" s="2"/>
      <c r="P498" s="2"/>
      <c r="Q498" s="2"/>
      <c r="R498" s="2"/>
      <c r="S498" s="2"/>
      <c r="T498" s="2"/>
      <c r="U498" s="2"/>
      <c r="V498" s="2"/>
      <c r="W498" s="157"/>
      <c r="X498" s="157"/>
      <c r="Y498" s="157"/>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customHeight="1">
      <c r="A499" s="2"/>
      <c r="B499" s="2"/>
      <c r="C499" s="2"/>
      <c r="D499" s="2"/>
      <c r="E499" s="2"/>
      <c r="F499" s="2"/>
      <c r="G499" s="2"/>
      <c r="H499" s="2"/>
      <c r="I499" s="2"/>
      <c r="J499" s="2"/>
      <c r="K499" s="2"/>
      <c r="L499" s="2"/>
      <c r="M499" s="2"/>
      <c r="N499" s="2"/>
      <c r="O499" s="2"/>
      <c r="P499" s="2"/>
      <c r="Q499" s="2"/>
      <c r="R499" s="2"/>
      <c r="S499" s="2"/>
      <c r="T499" s="2"/>
      <c r="U499" s="2"/>
      <c r="V499" s="2"/>
      <c r="W499" s="157"/>
      <c r="X499" s="157"/>
      <c r="Y499" s="157"/>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customHeight="1">
      <c r="A500" s="2"/>
      <c r="B500" s="2"/>
      <c r="C500" s="2"/>
      <c r="D500" s="2"/>
      <c r="E500" s="2"/>
      <c r="F500" s="2"/>
      <c r="G500" s="2"/>
      <c r="H500" s="2"/>
      <c r="I500" s="2"/>
      <c r="J500" s="2"/>
      <c r="K500" s="2"/>
      <c r="L500" s="2"/>
      <c r="M500" s="2"/>
      <c r="N500" s="2"/>
      <c r="O500" s="2"/>
      <c r="P500" s="2"/>
      <c r="Q500" s="2"/>
      <c r="R500" s="2"/>
      <c r="S500" s="2"/>
      <c r="T500" s="2"/>
      <c r="U500" s="2"/>
      <c r="V500" s="2"/>
      <c r="W500" s="157"/>
      <c r="X500" s="157"/>
      <c r="Y500" s="157"/>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customHeight="1">
      <c r="A501" s="2"/>
      <c r="B501" s="2"/>
      <c r="C501" s="2"/>
      <c r="D501" s="2"/>
      <c r="E501" s="2"/>
      <c r="F501" s="2"/>
      <c r="G501" s="2"/>
      <c r="H501" s="2"/>
      <c r="I501" s="2"/>
      <c r="J501" s="2"/>
      <c r="K501" s="2"/>
      <c r="L501" s="2"/>
      <c r="M501" s="2"/>
      <c r="N501" s="2"/>
      <c r="O501" s="2"/>
      <c r="P501" s="2"/>
      <c r="Q501" s="2"/>
      <c r="R501" s="2"/>
      <c r="S501" s="2"/>
      <c r="T501" s="2"/>
      <c r="U501" s="2"/>
      <c r="V501" s="2"/>
      <c r="W501" s="157"/>
      <c r="X501" s="157"/>
      <c r="Y501" s="157"/>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customHeight="1">
      <c r="A502" s="2"/>
      <c r="B502" s="2"/>
      <c r="C502" s="2"/>
      <c r="D502" s="2"/>
      <c r="E502" s="2"/>
      <c r="F502" s="2"/>
      <c r="G502" s="2"/>
      <c r="H502" s="2"/>
      <c r="I502" s="2"/>
      <c r="J502" s="2"/>
      <c r="K502" s="2"/>
      <c r="L502" s="2"/>
      <c r="M502" s="2"/>
      <c r="N502" s="2"/>
      <c r="O502" s="2"/>
      <c r="P502" s="2"/>
      <c r="Q502" s="2"/>
      <c r="R502" s="2"/>
      <c r="S502" s="2"/>
      <c r="T502" s="2"/>
      <c r="U502" s="2"/>
      <c r="V502" s="2"/>
      <c r="W502" s="157"/>
      <c r="X502" s="157"/>
      <c r="Y502" s="157"/>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customHeight="1">
      <c r="A503" s="2"/>
      <c r="B503" s="2"/>
      <c r="C503" s="2"/>
      <c r="D503" s="2"/>
      <c r="E503" s="2"/>
      <c r="F503" s="2"/>
      <c r="G503" s="2"/>
      <c r="H503" s="2"/>
      <c r="I503" s="2"/>
      <c r="J503" s="2"/>
      <c r="K503" s="2"/>
      <c r="L503" s="2"/>
      <c r="M503" s="2"/>
      <c r="N503" s="2"/>
      <c r="O503" s="2"/>
      <c r="P503" s="2"/>
      <c r="Q503" s="2"/>
      <c r="R503" s="2"/>
      <c r="S503" s="2"/>
      <c r="T503" s="2"/>
      <c r="U503" s="2"/>
      <c r="V503" s="2"/>
      <c r="W503" s="157"/>
      <c r="X503" s="157"/>
      <c r="Y503" s="157"/>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customHeight="1">
      <c r="A504" s="2"/>
      <c r="B504" s="2"/>
      <c r="C504" s="2"/>
      <c r="D504" s="2"/>
      <c r="E504" s="2"/>
      <c r="F504" s="2"/>
      <c r="G504" s="2"/>
      <c r="H504" s="2"/>
      <c r="I504" s="2"/>
      <c r="J504" s="2"/>
      <c r="K504" s="2"/>
      <c r="L504" s="2"/>
      <c r="M504" s="2"/>
      <c r="N504" s="2"/>
      <c r="O504" s="2"/>
      <c r="P504" s="2"/>
      <c r="Q504" s="2"/>
      <c r="R504" s="2"/>
      <c r="S504" s="2"/>
      <c r="T504" s="2"/>
      <c r="U504" s="2"/>
      <c r="V504" s="2"/>
      <c r="W504" s="157"/>
      <c r="X504" s="157"/>
      <c r="Y504" s="157"/>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customHeight="1">
      <c r="A505" s="2"/>
      <c r="B505" s="2"/>
      <c r="C505" s="2"/>
      <c r="D505" s="2"/>
      <c r="E505" s="2"/>
      <c r="F505" s="2"/>
      <c r="G505" s="2"/>
      <c r="H505" s="2"/>
      <c r="I505" s="2"/>
      <c r="J505" s="2"/>
      <c r="K505" s="2"/>
      <c r="L505" s="2"/>
      <c r="M505" s="2"/>
      <c r="N505" s="2"/>
      <c r="O505" s="2"/>
      <c r="P505" s="2"/>
      <c r="Q505" s="2"/>
      <c r="R505" s="2"/>
      <c r="S505" s="2"/>
      <c r="T505" s="2"/>
      <c r="U505" s="2"/>
      <c r="V505" s="2"/>
      <c r="W505" s="157"/>
      <c r="X505" s="157"/>
      <c r="Y505" s="157"/>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customHeight="1">
      <c r="A506" s="2"/>
      <c r="B506" s="2"/>
      <c r="C506" s="2"/>
      <c r="D506" s="2"/>
      <c r="E506" s="2"/>
      <c r="F506" s="2"/>
      <c r="G506" s="2"/>
      <c r="H506" s="2"/>
      <c r="I506" s="2"/>
      <c r="J506" s="2"/>
      <c r="K506" s="2"/>
      <c r="L506" s="2"/>
      <c r="M506" s="2"/>
      <c r="N506" s="2"/>
      <c r="O506" s="2"/>
      <c r="P506" s="2"/>
      <c r="Q506" s="2"/>
      <c r="R506" s="2"/>
      <c r="S506" s="2"/>
      <c r="T506" s="2"/>
      <c r="U506" s="2"/>
      <c r="V506" s="2"/>
      <c r="W506" s="157"/>
      <c r="X506" s="157"/>
      <c r="Y506" s="157"/>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customHeight="1">
      <c r="A507" s="2"/>
      <c r="B507" s="2"/>
      <c r="C507" s="2"/>
      <c r="D507" s="2"/>
      <c r="E507" s="2"/>
      <c r="F507" s="2"/>
      <c r="G507" s="2"/>
      <c r="H507" s="2"/>
      <c r="I507" s="2"/>
      <c r="J507" s="2"/>
      <c r="K507" s="2"/>
      <c r="L507" s="2"/>
      <c r="M507" s="2"/>
      <c r="N507" s="2"/>
      <c r="O507" s="2"/>
      <c r="P507" s="2"/>
      <c r="Q507" s="2"/>
      <c r="R507" s="2"/>
      <c r="S507" s="2"/>
      <c r="T507" s="2"/>
      <c r="U507" s="2"/>
      <c r="V507" s="2"/>
      <c r="W507" s="157"/>
      <c r="X507" s="157"/>
      <c r="Y507" s="157"/>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customHeight="1">
      <c r="A508" s="2"/>
      <c r="B508" s="2"/>
      <c r="C508" s="2"/>
      <c r="D508" s="2"/>
      <c r="E508" s="2"/>
      <c r="F508" s="2"/>
      <c r="G508" s="2"/>
      <c r="H508" s="2"/>
      <c r="I508" s="2"/>
      <c r="J508" s="2"/>
      <c r="K508" s="2"/>
      <c r="L508" s="2"/>
      <c r="M508" s="2"/>
      <c r="N508" s="2"/>
      <c r="O508" s="2"/>
      <c r="P508" s="2"/>
      <c r="Q508" s="2"/>
      <c r="R508" s="2"/>
      <c r="S508" s="2"/>
      <c r="T508" s="2"/>
      <c r="U508" s="2"/>
      <c r="V508" s="2"/>
      <c r="W508" s="157"/>
      <c r="X508" s="157"/>
      <c r="Y508" s="157"/>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customHeight="1">
      <c r="A509" s="2"/>
      <c r="B509" s="2"/>
      <c r="C509" s="2"/>
      <c r="D509" s="2"/>
      <c r="E509" s="2"/>
      <c r="F509" s="2"/>
      <c r="G509" s="2"/>
      <c r="H509" s="2"/>
      <c r="I509" s="2"/>
      <c r="J509" s="2"/>
      <c r="K509" s="2"/>
      <c r="L509" s="2"/>
      <c r="M509" s="2"/>
      <c r="N509" s="2"/>
      <c r="O509" s="2"/>
      <c r="P509" s="2"/>
      <c r="Q509" s="2"/>
      <c r="R509" s="2"/>
      <c r="S509" s="2"/>
      <c r="T509" s="2"/>
      <c r="U509" s="2"/>
      <c r="V509" s="2"/>
      <c r="W509" s="157"/>
      <c r="X509" s="157"/>
      <c r="Y509" s="157"/>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customHeight="1">
      <c r="A510" s="2"/>
      <c r="B510" s="2"/>
      <c r="C510" s="2"/>
      <c r="D510" s="2"/>
      <c r="E510" s="2"/>
      <c r="F510" s="2"/>
      <c r="G510" s="2"/>
      <c r="H510" s="2"/>
      <c r="I510" s="2"/>
      <c r="J510" s="2"/>
      <c r="K510" s="2"/>
      <c r="L510" s="2"/>
      <c r="M510" s="2"/>
      <c r="N510" s="2"/>
      <c r="O510" s="2"/>
      <c r="P510" s="2"/>
      <c r="Q510" s="2"/>
      <c r="R510" s="2"/>
      <c r="S510" s="2"/>
      <c r="T510" s="2"/>
      <c r="U510" s="2"/>
      <c r="V510" s="2"/>
      <c r="W510" s="157"/>
      <c r="X510" s="157"/>
      <c r="Y510" s="157"/>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customHeight="1">
      <c r="A511" s="2"/>
      <c r="B511" s="2"/>
      <c r="C511" s="2"/>
      <c r="D511" s="2"/>
      <c r="E511" s="2"/>
      <c r="F511" s="2"/>
      <c r="G511" s="2"/>
      <c r="H511" s="2"/>
      <c r="I511" s="2"/>
      <c r="J511" s="2"/>
      <c r="K511" s="2"/>
      <c r="L511" s="2"/>
      <c r="M511" s="2"/>
      <c r="N511" s="2"/>
      <c r="O511" s="2"/>
      <c r="P511" s="2"/>
      <c r="Q511" s="2"/>
      <c r="R511" s="2"/>
      <c r="S511" s="2"/>
      <c r="T511" s="2"/>
      <c r="U511" s="2"/>
      <c r="V511" s="2"/>
      <c r="W511" s="157"/>
      <c r="X511" s="157"/>
      <c r="Y511" s="157"/>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customHeight="1">
      <c r="A512" s="2"/>
      <c r="B512" s="2"/>
      <c r="C512" s="2"/>
      <c r="D512" s="2"/>
      <c r="E512" s="2"/>
      <c r="F512" s="2"/>
      <c r="G512" s="2"/>
      <c r="H512" s="2"/>
      <c r="I512" s="2"/>
      <c r="J512" s="2"/>
      <c r="K512" s="2"/>
      <c r="L512" s="2"/>
      <c r="M512" s="2"/>
      <c r="N512" s="2"/>
      <c r="O512" s="2"/>
      <c r="P512" s="2"/>
      <c r="Q512" s="2"/>
      <c r="R512" s="2"/>
      <c r="S512" s="2"/>
      <c r="T512" s="2"/>
      <c r="U512" s="2"/>
      <c r="V512" s="2"/>
      <c r="W512" s="157"/>
      <c r="X512" s="157"/>
      <c r="Y512" s="157"/>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customHeight="1">
      <c r="A513" s="2"/>
      <c r="B513" s="2"/>
      <c r="C513" s="2"/>
      <c r="D513" s="2"/>
      <c r="E513" s="2"/>
      <c r="F513" s="2"/>
      <c r="G513" s="2"/>
      <c r="H513" s="2"/>
      <c r="I513" s="2"/>
      <c r="J513" s="2"/>
      <c r="K513" s="2"/>
      <c r="L513" s="2"/>
      <c r="M513" s="2"/>
      <c r="N513" s="2"/>
      <c r="O513" s="2"/>
      <c r="P513" s="2"/>
      <c r="Q513" s="2"/>
      <c r="R513" s="2"/>
      <c r="S513" s="2"/>
      <c r="T513" s="2"/>
      <c r="U513" s="2"/>
      <c r="V513" s="2"/>
      <c r="W513" s="157"/>
      <c r="X513" s="157"/>
      <c r="Y513" s="157"/>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customHeight="1">
      <c r="A514" s="2"/>
      <c r="B514" s="2"/>
      <c r="C514" s="2"/>
      <c r="D514" s="2"/>
      <c r="E514" s="2"/>
      <c r="F514" s="2"/>
      <c r="G514" s="2"/>
      <c r="H514" s="2"/>
      <c r="I514" s="2"/>
      <c r="J514" s="2"/>
      <c r="K514" s="2"/>
      <c r="L514" s="2"/>
      <c r="M514" s="2"/>
      <c r="N514" s="2"/>
      <c r="O514" s="2"/>
      <c r="P514" s="2"/>
      <c r="Q514" s="2"/>
      <c r="R514" s="2"/>
      <c r="S514" s="2"/>
      <c r="T514" s="2"/>
      <c r="U514" s="2"/>
      <c r="V514" s="2"/>
      <c r="W514" s="157"/>
      <c r="X514" s="157"/>
      <c r="Y514" s="157"/>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customHeight="1">
      <c r="A515" s="2"/>
      <c r="B515" s="2"/>
      <c r="C515" s="2"/>
      <c r="D515" s="2"/>
      <c r="E515" s="2"/>
      <c r="F515" s="2"/>
      <c r="G515" s="2"/>
      <c r="H515" s="2"/>
      <c r="I515" s="2"/>
      <c r="J515" s="2"/>
      <c r="K515" s="2"/>
      <c r="L515" s="2"/>
      <c r="M515" s="2"/>
      <c r="N515" s="2"/>
      <c r="O515" s="2"/>
      <c r="P515" s="2"/>
      <c r="Q515" s="2"/>
      <c r="R515" s="2"/>
      <c r="S515" s="2"/>
      <c r="T515" s="2"/>
      <c r="U515" s="2"/>
      <c r="V515" s="2"/>
      <c r="W515" s="157"/>
      <c r="X515" s="157"/>
      <c r="Y515" s="157"/>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customHeight="1">
      <c r="A516" s="2"/>
      <c r="B516" s="2"/>
      <c r="C516" s="2"/>
      <c r="D516" s="2"/>
      <c r="E516" s="2"/>
      <c r="F516" s="2"/>
      <c r="G516" s="2"/>
      <c r="H516" s="2"/>
      <c r="I516" s="2"/>
      <c r="J516" s="2"/>
      <c r="K516" s="2"/>
      <c r="L516" s="2"/>
      <c r="M516" s="2"/>
      <c r="N516" s="2"/>
      <c r="O516" s="2"/>
      <c r="P516" s="2"/>
      <c r="Q516" s="2"/>
      <c r="R516" s="2"/>
      <c r="S516" s="2"/>
      <c r="T516" s="2"/>
      <c r="U516" s="2"/>
      <c r="V516" s="2"/>
      <c r="W516" s="157"/>
      <c r="X516" s="157"/>
      <c r="Y516" s="157"/>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customHeight="1">
      <c r="A517" s="2"/>
      <c r="B517" s="2"/>
      <c r="C517" s="2"/>
      <c r="D517" s="2"/>
      <c r="E517" s="2"/>
      <c r="F517" s="2"/>
      <c r="G517" s="2"/>
      <c r="H517" s="2"/>
      <c r="I517" s="2"/>
      <c r="J517" s="2"/>
      <c r="K517" s="2"/>
      <c r="L517" s="2"/>
      <c r="M517" s="2"/>
      <c r="N517" s="2"/>
      <c r="O517" s="2"/>
      <c r="P517" s="2"/>
      <c r="Q517" s="2"/>
      <c r="R517" s="2"/>
      <c r="S517" s="2"/>
      <c r="T517" s="2"/>
      <c r="U517" s="2"/>
      <c r="V517" s="2"/>
      <c r="W517" s="157"/>
      <c r="X517" s="157"/>
      <c r="Y517" s="157"/>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customHeight="1">
      <c r="A518" s="2"/>
      <c r="B518" s="2"/>
      <c r="C518" s="2"/>
      <c r="D518" s="2"/>
      <c r="E518" s="2"/>
      <c r="F518" s="2"/>
      <c r="G518" s="2"/>
      <c r="H518" s="2"/>
      <c r="I518" s="2"/>
      <c r="J518" s="2"/>
      <c r="K518" s="2"/>
      <c r="L518" s="2"/>
      <c r="M518" s="2"/>
      <c r="N518" s="2"/>
      <c r="O518" s="2"/>
      <c r="P518" s="2"/>
      <c r="Q518" s="2"/>
      <c r="R518" s="2"/>
      <c r="S518" s="2"/>
      <c r="T518" s="2"/>
      <c r="U518" s="2"/>
      <c r="V518" s="2"/>
      <c r="W518" s="157"/>
      <c r="X518" s="157"/>
      <c r="Y518" s="157"/>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customHeight="1">
      <c r="A519" s="2"/>
      <c r="B519" s="2"/>
      <c r="C519" s="2"/>
      <c r="D519" s="2"/>
      <c r="E519" s="2"/>
      <c r="F519" s="2"/>
      <c r="G519" s="2"/>
      <c r="H519" s="2"/>
      <c r="I519" s="2"/>
      <c r="J519" s="2"/>
      <c r="K519" s="2"/>
      <c r="L519" s="2"/>
      <c r="M519" s="2"/>
      <c r="N519" s="2"/>
      <c r="O519" s="2"/>
      <c r="P519" s="2"/>
      <c r="Q519" s="2"/>
      <c r="R519" s="2"/>
      <c r="S519" s="2"/>
      <c r="T519" s="2"/>
      <c r="U519" s="2"/>
      <c r="V519" s="2"/>
      <c r="W519" s="157"/>
      <c r="X519" s="157"/>
      <c r="Y519" s="157"/>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customHeight="1">
      <c r="A520" s="2"/>
      <c r="B520" s="2"/>
      <c r="C520" s="2"/>
      <c r="D520" s="2"/>
      <c r="E520" s="2"/>
      <c r="F520" s="2"/>
      <c r="G520" s="2"/>
      <c r="H520" s="2"/>
      <c r="I520" s="2"/>
      <c r="J520" s="2"/>
      <c r="K520" s="2"/>
      <c r="L520" s="2"/>
      <c r="M520" s="2"/>
      <c r="N520" s="2"/>
      <c r="O520" s="2"/>
      <c r="P520" s="2"/>
      <c r="Q520" s="2"/>
      <c r="R520" s="2"/>
      <c r="S520" s="2"/>
      <c r="T520" s="2"/>
      <c r="U520" s="2"/>
      <c r="V520" s="2"/>
      <c r="W520" s="157"/>
      <c r="X520" s="157"/>
      <c r="Y520" s="157"/>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customHeight="1">
      <c r="A521" s="2"/>
      <c r="B521" s="2"/>
      <c r="C521" s="2"/>
      <c r="D521" s="2"/>
      <c r="E521" s="2"/>
      <c r="F521" s="2"/>
      <c r="G521" s="2"/>
      <c r="H521" s="2"/>
      <c r="I521" s="2"/>
      <c r="J521" s="2"/>
      <c r="K521" s="2"/>
      <c r="L521" s="2"/>
      <c r="M521" s="2"/>
      <c r="N521" s="2"/>
      <c r="O521" s="2"/>
      <c r="P521" s="2"/>
      <c r="Q521" s="2"/>
      <c r="R521" s="2"/>
      <c r="S521" s="2"/>
      <c r="T521" s="2"/>
      <c r="U521" s="2"/>
      <c r="V521" s="2"/>
      <c r="W521" s="157"/>
      <c r="X521" s="157"/>
      <c r="Y521" s="157"/>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customHeight="1">
      <c r="A522" s="2"/>
      <c r="B522" s="2"/>
      <c r="C522" s="2"/>
      <c r="D522" s="2"/>
      <c r="E522" s="2"/>
      <c r="F522" s="2"/>
      <c r="G522" s="2"/>
      <c r="H522" s="2"/>
      <c r="I522" s="2"/>
      <c r="J522" s="2"/>
      <c r="K522" s="2"/>
      <c r="L522" s="2"/>
      <c r="M522" s="2"/>
      <c r="N522" s="2"/>
      <c r="O522" s="2"/>
      <c r="P522" s="2"/>
      <c r="Q522" s="2"/>
      <c r="R522" s="2"/>
      <c r="S522" s="2"/>
      <c r="T522" s="2"/>
      <c r="U522" s="2"/>
      <c r="V522" s="2"/>
      <c r="W522" s="157"/>
      <c r="X522" s="157"/>
      <c r="Y522" s="157"/>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customHeight="1">
      <c r="A523" s="2"/>
      <c r="B523" s="2"/>
      <c r="C523" s="2"/>
      <c r="D523" s="2"/>
      <c r="E523" s="2"/>
      <c r="F523" s="2"/>
      <c r="G523" s="2"/>
      <c r="H523" s="2"/>
      <c r="I523" s="2"/>
      <c r="J523" s="2"/>
      <c r="K523" s="2"/>
      <c r="L523" s="2"/>
      <c r="M523" s="2"/>
      <c r="N523" s="2"/>
      <c r="O523" s="2"/>
      <c r="P523" s="2"/>
      <c r="Q523" s="2"/>
      <c r="R523" s="2"/>
      <c r="S523" s="2"/>
      <c r="T523" s="2"/>
      <c r="U523" s="2"/>
      <c r="V523" s="2"/>
      <c r="W523" s="157"/>
      <c r="X523" s="157"/>
      <c r="Y523" s="157"/>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customHeight="1">
      <c r="A524" s="2"/>
      <c r="B524" s="2"/>
      <c r="C524" s="2"/>
      <c r="D524" s="2"/>
      <c r="E524" s="2"/>
      <c r="F524" s="2"/>
      <c r="G524" s="2"/>
      <c r="H524" s="2"/>
      <c r="I524" s="2"/>
      <c r="J524" s="2"/>
      <c r="K524" s="2"/>
      <c r="L524" s="2"/>
      <c r="M524" s="2"/>
      <c r="N524" s="2"/>
      <c r="O524" s="2"/>
      <c r="P524" s="2"/>
      <c r="Q524" s="2"/>
      <c r="R524" s="2"/>
      <c r="S524" s="2"/>
      <c r="T524" s="2"/>
      <c r="U524" s="2"/>
      <c r="V524" s="2"/>
      <c r="W524" s="157"/>
      <c r="X524" s="157"/>
      <c r="Y524" s="157"/>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customHeight="1">
      <c r="A525" s="2"/>
      <c r="B525" s="2"/>
      <c r="C525" s="2"/>
      <c r="D525" s="2"/>
      <c r="E525" s="2"/>
      <c r="F525" s="2"/>
      <c r="G525" s="2"/>
      <c r="H525" s="2"/>
      <c r="I525" s="2"/>
      <c r="J525" s="2"/>
      <c r="K525" s="2"/>
      <c r="L525" s="2"/>
      <c r="M525" s="2"/>
      <c r="N525" s="2"/>
      <c r="O525" s="2"/>
      <c r="P525" s="2"/>
      <c r="Q525" s="2"/>
      <c r="R525" s="2"/>
      <c r="S525" s="2"/>
      <c r="T525" s="2"/>
      <c r="U525" s="2"/>
      <c r="V525" s="2"/>
      <c r="W525" s="157"/>
      <c r="X525" s="157"/>
      <c r="Y525" s="157"/>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customHeight="1">
      <c r="A526" s="2"/>
      <c r="B526" s="2"/>
      <c r="C526" s="2"/>
      <c r="D526" s="2"/>
      <c r="E526" s="2"/>
      <c r="F526" s="2"/>
      <c r="G526" s="2"/>
      <c r="H526" s="2"/>
      <c r="I526" s="2"/>
      <c r="J526" s="2"/>
      <c r="K526" s="2"/>
      <c r="L526" s="2"/>
      <c r="M526" s="2"/>
      <c r="N526" s="2"/>
      <c r="O526" s="2"/>
      <c r="P526" s="2"/>
      <c r="Q526" s="2"/>
      <c r="R526" s="2"/>
      <c r="S526" s="2"/>
      <c r="T526" s="2"/>
      <c r="U526" s="2"/>
      <c r="V526" s="2"/>
      <c r="W526" s="157"/>
      <c r="X526" s="157"/>
      <c r="Y526" s="157"/>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customHeight="1">
      <c r="A527" s="2"/>
      <c r="B527" s="2"/>
      <c r="C527" s="2"/>
      <c r="D527" s="2"/>
      <c r="E527" s="2"/>
      <c r="F527" s="2"/>
      <c r="G527" s="2"/>
      <c r="H527" s="2"/>
      <c r="I527" s="2"/>
      <c r="J527" s="2"/>
      <c r="K527" s="2"/>
      <c r="L527" s="2"/>
      <c r="M527" s="2"/>
      <c r="N527" s="2"/>
      <c r="O527" s="2"/>
      <c r="P527" s="2"/>
      <c r="Q527" s="2"/>
      <c r="R527" s="2"/>
      <c r="S527" s="2"/>
      <c r="T527" s="2"/>
      <c r="U527" s="2"/>
      <c r="V527" s="2"/>
      <c r="W527" s="157"/>
      <c r="X527" s="157"/>
      <c r="Y527" s="157"/>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customHeight="1">
      <c r="A528" s="2"/>
      <c r="B528" s="2"/>
      <c r="C528" s="2"/>
      <c r="D528" s="2"/>
      <c r="E528" s="2"/>
      <c r="F528" s="2"/>
      <c r="G528" s="2"/>
      <c r="H528" s="2"/>
      <c r="I528" s="2"/>
      <c r="J528" s="2"/>
      <c r="K528" s="2"/>
      <c r="L528" s="2"/>
      <c r="M528" s="2"/>
      <c r="N528" s="2"/>
      <c r="O528" s="2"/>
      <c r="P528" s="2"/>
      <c r="Q528" s="2"/>
      <c r="R528" s="2"/>
      <c r="S528" s="2"/>
      <c r="T528" s="2"/>
      <c r="U528" s="2"/>
      <c r="V528" s="2"/>
      <c r="W528" s="157"/>
      <c r="X528" s="157"/>
      <c r="Y528" s="157"/>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customHeight="1">
      <c r="A529" s="2"/>
      <c r="B529" s="2"/>
      <c r="C529" s="2"/>
      <c r="D529" s="2"/>
      <c r="E529" s="2"/>
      <c r="F529" s="2"/>
      <c r="G529" s="2"/>
      <c r="H529" s="2"/>
      <c r="I529" s="2"/>
      <c r="J529" s="2"/>
      <c r="K529" s="2"/>
      <c r="L529" s="2"/>
      <c r="M529" s="2"/>
      <c r="N529" s="2"/>
      <c r="O529" s="2"/>
      <c r="P529" s="2"/>
      <c r="Q529" s="2"/>
      <c r="R529" s="2"/>
      <c r="S529" s="2"/>
      <c r="T529" s="2"/>
      <c r="U529" s="2"/>
      <c r="V529" s="2"/>
      <c r="W529" s="157"/>
      <c r="X529" s="157"/>
      <c r="Y529" s="157"/>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customHeight="1">
      <c r="A530" s="2"/>
      <c r="B530" s="2"/>
      <c r="C530" s="2"/>
      <c r="D530" s="2"/>
      <c r="E530" s="2"/>
      <c r="F530" s="2"/>
      <c r="G530" s="2"/>
      <c r="H530" s="2"/>
      <c r="I530" s="2"/>
      <c r="J530" s="2"/>
      <c r="K530" s="2"/>
      <c r="L530" s="2"/>
      <c r="M530" s="2"/>
      <c r="N530" s="2"/>
      <c r="O530" s="2"/>
      <c r="P530" s="2"/>
      <c r="Q530" s="2"/>
      <c r="R530" s="2"/>
      <c r="S530" s="2"/>
      <c r="T530" s="2"/>
      <c r="U530" s="2"/>
      <c r="V530" s="2"/>
      <c r="W530" s="157"/>
      <c r="X530" s="157"/>
      <c r="Y530" s="157"/>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customHeight="1">
      <c r="A531" s="2"/>
      <c r="B531" s="2"/>
      <c r="C531" s="2"/>
      <c r="D531" s="2"/>
      <c r="E531" s="2"/>
      <c r="F531" s="2"/>
      <c r="G531" s="2"/>
      <c r="H531" s="2"/>
      <c r="I531" s="2"/>
      <c r="J531" s="2"/>
      <c r="K531" s="2"/>
      <c r="L531" s="2"/>
      <c r="M531" s="2"/>
      <c r="N531" s="2"/>
      <c r="O531" s="2"/>
      <c r="P531" s="2"/>
      <c r="Q531" s="2"/>
      <c r="R531" s="2"/>
      <c r="S531" s="2"/>
      <c r="T531" s="2"/>
      <c r="U531" s="2"/>
      <c r="V531" s="2"/>
      <c r="W531" s="157"/>
      <c r="X531" s="157"/>
      <c r="Y531" s="157"/>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customHeight="1">
      <c r="A532" s="2"/>
      <c r="B532" s="2"/>
      <c r="C532" s="2"/>
      <c r="D532" s="2"/>
      <c r="E532" s="2"/>
      <c r="F532" s="2"/>
      <c r="G532" s="2"/>
      <c r="H532" s="2"/>
      <c r="I532" s="2"/>
      <c r="J532" s="2"/>
      <c r="K532" s="2"/>
      <c r="L532" s="2"/>
      <c r="M532" s="2"/>
      <c r="N532" s="2"/>
      <c r="O532" s="2"/>
      <c r="P532" s="2"/>
      <c r="Q532" s="2"/>
      <c r="R532" s="2"/>
      <c r="S532" s="2"/>
      <c r="T532" s="2"/>
      <c r="U532" s="2"/>
      <c r="V532" s="2"/>
      <c r="W532" s="157"/>
      <c r="X532" s="157"/>
      <c r="Y532" s="157"/>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customHeight="1">
      <c r="A533" s="2"/>
      <c r="B533" s="2"/>
      <c r="C533" s="2"/>
      <c r="D533" s="2"/>
      <c r="E533" s="2"/>
      <c r="F533" s="2"/>
      <c r="G533" s="2"/>
      <c r="H533" s="2"/>
      <c r="I533" s="2"/>
      <c r="J533" s="2"/>
      <c r="K533" s="2"/>
      <c r="L533" s="2"/>
      <c r="M533" s="2"/>
      <c r="N533" s="2"/>
      <c r="O533" s="2"/>
      <c r="P533" s="2"/>
      <c r="Q533" s="2"/>
      <c r="R533" s="2"/>
      <c r="S533" s="2"/>
      <c r="T533" s="2"/>
      <c r="U533" s="2"/>
      <c r="V533" s="2"/>
      <c r="W533" s="157"/>
      <c r="X533" s="157"/>
      <c r="Y533" s="157"/>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customHeight="1">
      <c r="A534" s="2"/>
      <c r="B534" s="2"/>
      <c r="C534" s="2"/>
      <c r="D534" s="2"/>
      <c r="E534" s="2"/>
      <c r="F534" s="2"/>
      <c r="G534" s="2"/>
      <c r="H534" s="2"/>
      <c r="I534" s="2"/>
      <c r="J534" s="2"/>
      <c r="K534" s="2"/>
      <c r="L534" s="2"/>
      <c r="M534" s="2"/>
      <c r="N534" s="2"/>
      <c r="O534" s="2"/>
      <c r="P534" s="2"/>
      <c r="Q534" s="2"/>
      <c r="R534" s="2"/>
      <c r="S534" s="2"/>
      <c r="T534" s="2"/>
      <c r="U534" s="2"/>
      <c r="V534" s="2"/>
      <c r="W534" s="157"/>
      <c r="X534" s="157"/>
      <c r="Y534" s="157"/>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customHeight="1">
      <c r="A535" s="2"/>
      <c r="B535" s="2"/>
      <c r="C535" s="2"/>
      <c r="D535" s="2"/>
      <c r="E535" s="2"/>
      <c r="F535" s="2"/>
      <c r="G535" s="2"/>
      <c r="H535" s="2"/>
      <c r="I535" s="2"/>
      <c r="J535" s="2"/>
      <c r="K535" s="2"/>
      <c r="L535" s="2"/>
      <c r="M535" s="2"/>
      <c r="N535" s="2"/>
      <c r="O535" s="2"/>
      <c r="P535" s="2"/>
      <c r="Q535" s="2"/>
      <c r="R535" s="2"/>
      <c r="S535" s="2"/>
      <c r="T535" s="2"/>
      <c r="U535" s="2"/>
      <c r="V535" s="2"/>
      <c r="W535" s="157"/>
      <c r="X535" s="157"/>
      <c r="Y535" s="157"/>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customHeight="1">
      <c r="A536" s="2"/>
      <c r="B536" s="2"/>
      <c r="C536" s="2"/>
      <c r="D536" s="2"/>
      <c r="E536" s="2"/>
      <c r="F536" s="2"/>
      <c r="G536" s="2"/>
      <c r="H536" s="2"/>
      <c r="I536" s="2"/>
      <c r="J536" s="2"/>
      <c r="K536" s="2"/>
      <c r="L536" s="2"/>
      <c r="M536" s="2"/>
      <c r="N536" s="2"/>
      <c r="O536" s="2"/>
      <c r="P536" s="2"/>
      <c r="Q536" s="2"/>
      <c r="R536" s="2"/>
      <c r="S536" s="2"/>
      <c r="T536" s="2"/>
      <c r="U536" s="2"/>
      <c r="V536" s="2"/>
      <c r="W536" s="157"/>
      <c r="X536" s="157"/>
      <c r="Y536" s="157"/>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customHeight="1">
      <c r="A537" s="2"/>
      <c r="B537" s="2"/>
      <c r="C537" s="2"/>
      <c r="D537" s="2"/>
      <c r="E537" s="2"/>
      <c r="F537" s="2"/>
      <c r="G537" s="2"/>
      <c r="H537" s="2"/>
      <c r="I537" s="2"/>
      <c r="J537" s="2"/>
      <c r="K537" s="2"/>
      <c r="L537" s="2"/>
      <c r="M537" s="2"/>
      <c r="N537" s="2"/>
      <c r="O537" s="2"/>
      <c r="P537" s="2"/>
      <c r="Q537" s="2"/>
      <c r="R537" s="2"/>
      <c r="S537" s="2"/>
      <c r="T537" s="2"/>
      <c r="U537" s="2"/>
      <c r="V537" s="2"/>
      <c r="W537" s="157"/>
      <c r="X537" s="157"/>
      <c r="Y537" s="157"/>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customHeight="1">
      <c r="A538" s="2"/>
      <c r="B538" s="2"/>
      <c r="C538" s="2"/>
      <c r="D538" s="2"/>
      <c r="E538" s="2"/>
      <c r="F538" s="2"/>
      <c r="G538" s="2"/>
      <c r="H538" s="2"/>
      <c r="I538" s="2"/>
      <c r="J538" s="2"/>
      <c r="K538" s="2"/>
      <c r="L538" s="2"/>
      <c r="M538" s="2"/>
      <c r="N538" s="2"/>
      <c r="O538" s="2"/>
      <c r="P538" s="2"/>
      <c r="Q538" s="2"/>
      <c r="R538" s="2"/>
      <c r="S538" s="2"/>
      <c r="T538" s="2"/>
      <c r="U538" s="2"/>
      <c r="V538" s="2"/>
      <c r="W538" s="157"/>
      <c r="X538" s="157"/>
      <c r="Y538" s="157"/>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customHeight="1">
      <c r="A539" s="2"/>
      <c r="B539" s="2"/>
      <c r="C539" s="2"/>
      <c r="D539" s="2"/>
      <c r="E539" s="2"/>
      <c r="F539" s="2"/>
      <c r="G539" s="2"/>
      <c r="H539" s="2"/>
      <c r="I539" s="2"/>
      <c r="J539" s="2"/>
      <c r="K539" s="2"/>
      <c r="L539" s="2"/>
      <c r="M539" s="2"/>
      <c r="N539" s="2"/>
      <c r="O539" s="2"/>
      <c r="P539" s="2"/>
      <c r="Q539" s="2"/>
      <c r="R539" s="2"/>
      <c r="S539" s="2"/>
      <c r="T539" s="2"/>
      <c r="U539" s="2"/>
      <c r="V539" s="2"/>
      <c r="W539" s="157"/>
      <c r="X539" s="157"/>
      <c r="Y539" s="157"/>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customHeight="1">
      <c r="A540" s="2"/>
      <c r="B540" s="2"/>
      <c r="C540" s="2"/>
      <c r="D540" s="2"/>
      <c r="E540" s="2"/>
      <c r="F540" s="2"/>
      <c r="G540" s="2"/>
      <c r="H540" s="2"/>
      <c r="I540" s="2"/>
      <c r="J540" s="2"/>
      <c r="K540" s="2"/>
      <c r="L540" s="2"/>
      <c r="M540" s="2"/>
      <c r="N540" s="2"/>
      <c r="O540" s="2"/>
      <c r="P540" s="2"/>
      <c r="Q540" s="2"/>
      <c r="R540" s="2"/>
      <c r="S540" s="2"/>
      <c r="T540" s="2"/>
      <c r="U540" s="2"/>
      <c r="V540" s="2"/>
      <c r="W540" s="157"/>
      <c r="X540" s="157"/>
      <c r="Y540" s="157"/>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customHeight="1">
      <c r="A541" s="2"/>
      <c r="B541" s="2"/>
      <c r="C541" s="2"/>
      <c r="D541" s="2"/>
      <c r="E541" s="2"/>
      <c r="F541" s="2"/>
      <c r="G541" s="2"/>
      <c r="H541" s="2"/>
      <c r="I541" s="2"/>
      <c r="J541" s="2"/>
      <c r="K541" s="2"/>
      <c r="L541" s="2"/>
      <c r="M541" s="2"/>
      <c r="N541" s="2"/>
      <c r="O541" s="2"/>
      <c r="P541" s="2"/>
      <c r="Q541" s="2"/>
      <c r="R541" s="2"/>
      <c r="S541" s="2"/>
      <c r="T541" s="2"/>
      <c r="U541" s="2"/>
      <c r="V541" s="2"/>
      <c r="W541" s="157"/>
      <c r="X541" s="157"/>
      <c r="Y541" s="157"/>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customHeight="1">
      <c r="A542" s="2"/>
      <c r="B542" s="2"/>
      <c r="C542" s="2"/>
      <c r="D542" s="2"/>
      <c r="E542" s="2"/>
      <c r="F542" s="2"/>
      <c r="G542" s="2"/>
      <c r="H542" s="2"/>
      <c r="I542" s="2"/>
      <c r="J542" s="2"/>
      <c r="K542" s="2"/>
      <c r="L542" s="2"/>
      <c r="M542" s="2"/>
      <c r="N542" s="2"/>
      <c r="O542" s="2"/>
      <c r="P542" s="2"/>
      <c r="Q542" s="2"/>
      <c r="R542" s="2"/>
      <c r="S542" s="2"/>
      <c r="T542" s="2"/>
      <c r="U542" s="2"/>
      <c r="V542" s="2"/>
      <c r="W542" s="157"/>
      <c r="X542" s="157"/>
      <c r="Y542" s="157"/>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customHeight="1">
      <c r="A543" s="2"/>
      <c r="B543" s="2"/>
      <c r="C543" s="2"/>
      <c r="D543" s="2"/>
      <c r="E543" s="2"/>
      <c r="F543" s="2"/>
      <c r="G543" s="2"/>
      <c r="H543" s="2"/>
      <c r="I543" s="2"/>
      <c r="J543" s="2"/>
      <c r="K543" s="2"/>
      <c r="L543" s="2"/>
      <c r="M543" s="2"/>
      <c r="N543" s="2"/>
      <c r="O543" s="2"/>
      <c r="P543" s="2"/>
      <c r="Q543" s="2"/>
      <c r="R543" s="2"/>
      <c r="S543" s="2"/>
      <c r="T543" s="2"/>
      <c r="U543" s="2"/>
      <c r="V543" s="2"/>
      <c r="W543" s="157"/>
      <c r="X543" s="157"/>
      <c r="Y543" s="157"/>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customHeight="1">
      <c r="A544" s="2"/>
      <c r="B544" s="2"/>
      <c r="C544" s="2"/>
      <c r="D544" s="2"/>
      <c r="E544" s="2"/>
      <c r="F544" s="2"/>
      <c r="G544" s="2"/>
      <c r="H544" s="2"/>
      <c r="I544" s="2"/>
      <c r="J544" s="2"/>
      <c r="K544" s="2"/>
      <c r="L544" s="2"/>
      <c r="M544" s="2"/>
      <c r="N544" s="2"/>
      <c r="O544" s="2"/>
      <c r="P544" s="2"/>
      <c r="Q544" s="2"/>
      <c r="R544" s="2"/>
      <c r="S544" s="2"/>
      <c r="T544" s="2"/>
      <c r="U544" s="2"/>
      <c r="V544" s="2"/>
      <c r="W544" s="157"/>
      <c r="X544" s="157"/>
      <c r="Y544" s="157"/>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customHeight="1">
      <c r="A545" s="2"/>
      <c r="B545" s="2"/>
      <c r="C545" s="2"/>
      <c r="D545" s="2"/>
      <c r="E545" s="2"/>
      <c r="F545" s="2"/>
      <c r="G545" s="2"/>
      <c r="H545" s="2"/>
      <c r="I545" s="2"/>
      <c r="J545" s="2"/>
      <c r="K545" s="2"/>
      <c r="L545" s="2"/>
      <c r="M545" s="2"/>
      <c r="N545" s="2"/>
      <c r="O545" s="2"/>
      <c r="P545" s="2"/>
      <c r="Q545" s="2"/>
      <c r="R545" s="2"/>
      <c r="S545" s="2"/>
      <c r="T545" s="2"/>
      <c r="U545" s="2"/>
      <c r="V545" s="2"/>
      <c r="W545" s="157"/>
      <c r="X545" s="157"/>
      <c r="Y545" s="157"/>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customHeight="1">
      <c r="A546" s="2"/>
      <c r="B546" s="2"/>
      <c r="C546" s="2"/>
      <c r="D546" s="2"/>
      <c r="E546" s="2"/>
      <c r="F546" s="2"/>
      <c r="G546" s="2"/>
      <c r="H546" s="2"/>
      <c r="I546" s="2"/>
      <c r="J546" s="2"/>
      <c r="K546" s="2"/>
      <c r="L546" s="2"/>
      <c r="M546" s="2"/>
      <c r="N546" s="2"/>
      <c r="O546" s="2"/>
      <c r="P546" s="2"/>
      <c r="Q546" s="2"/>
      <c r="R546" s="2"/>
      <c r="S546" s="2"/>
      <c r="T546" s="2"/>
      <c r="U546" s="2"/>
      <c r="V546" s="2"/>
      <c r="W546" s="157"/>
      <c r="X546" s="157"/>
      <c r="Y546" s="157"/>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customHeight="1">
      <c r="A547" s="2"/>
      <c r="B547" s="2"/>
      <c r="C547" s="2"/>
      <c r="D547" s="2"/>
      <c r="E547" s="2"/>
      <c r="F547" s="2"/>
      <c r="G547" s="2"/>
      <c r="H547" s="2"/>
      <c r="I547" s="2"/>
      <c r="J547" s="2"/>
      <c r="K547" s="2"/>
      <c r="L547" s="2"/>
      <c r="M547" s="2"/>
      <c r="N547" s="2"/>
      <c r="O547" s="2"/>
      <c r="P547" s="2"/>
      <c r="Q547" s="2"/>
      <c r="R547" s="2"/>
      <c r="S547" s="2"/>
      <c r="T547" s="2"/>
      <c r="U547" s="2"/>
      <c r="V547" s="2"/>
      <c r="W547" s="157"/>
      <c r="X547" s="157"/>
      <c r="Y547" s="157"/>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customHeight="1">
      <c r="A548" s="2"/>
      <c r="B548" s="2"/>
      <c r="C548" s="2"/>
      <c r="D548" s="2"/>
      <c r="E548" s="2"/>
      <c r="F548" s="2"/>
      <c r="G548" s="2"/>
      <c r="H548" s="2"/>
      <c r="I548" s="2"/>
      <c r="J548" s="2"/>
      <c r="K548" s="2"/>
      <c r="L548" s="2"/>
      <c r="M548" s="2"/>
      <c r="N548" s="2"/>
      <c r="O548" s="2"/>
      <c r="P548" s="2"/>
      <c r="Q548" s="2"/>
      <c r="R548" s="2"/>
      <c r="S548" s="2"/>
      <c r="T548" s="2"/>
      <c r="U548" s="2"/>
      <c r="V548" s="2"/>
      <c r="W548" s="157"/>
      <c r="X548" s="157"/>
      <c r="Y548" s="157"/>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customHeight="1">
      <c r="A549" s="2"/>
      <c r="B549" s="2"/>
      <c r="C549" s="2"/>
      <c r="D549" s="2"/>
      <c r="E549" s="2"/>
      <c r="F549" s="2"/>
      <c r="G549" s="2"/>
      <c r="H549" s="2"/>
      <c r="I549" s="2"/>
      <c r="J549" s="2"/>
      <c r="K549" s="2"/>
      <c r="L549" s="2"/>
      <c r="M549" s="2"/>
      <c r="N549" s="2"/>
      <c r="O549" s="2"/>
      <c r="P549" s="2"/>
      <c r="Q549" s="2"/>
      <c r="R549" s="2"/>
      <c r="S549" s="2"/>
      <c r="T549" s="2"/>
      <c r="U549" s="2"/>
      <c r="V549" s="2"/>
      <c r="W549" s="157"/>
      <c r="X549" s="157"/>
      <c r="Y549" s="157"/>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customHeight="1">
      <c r="A550" s="2"/>
      <c r="B550" s="2"/>
      <c r="C550" s="2"/>
      <c r="D550" s="2"/>
      <c r="E550" s="2"/>
      <c r="F550" s="2"/>
      <c r="G550" s="2"/>
      <c r="H550" s="2"/>
      <c r="I550" s="2"/>
      <c r="J550" s="2"/>
      <c r="K550" s="2"/>
      <c r="L550" s="2"/>
      <c r="M550" s="2"/>
      <c r="N550" s="2"/>
      <c r="O550" s="2"/>
      <c r="P550" s="2"/>
      <c r="Q550" s="2"/>
      <c r="R550" s="2"/>
      <c r="S550" s="2"/>
      <c r="T550" s="2"/>
      <c r="U550" s="2"/>
      <c r="V550" s="2"/>
      <c r="W550" s="157"/>
      <c r="X550" s="157"/>
      <c r="Y550" s="157"/>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customHeight="1">
      <c r="A551" s="2"/>
      <c r="B551" s="2"/>
      <c r="C551" s="2"/>
      <c r="D551" s="2"/>
      <c r="E551" s="2"/>
      <c r="F551" s="2"/>
      <c r="G551" s="2"/>
      <c r="H551" s="2"/>
      <c r="I551" s="2"/>
      <c r="J551" s="2"/>
      <c r="K551" s="2"/>
      <c r="L551" s="2"/>
      <c r="M551" s="2"/>
      <c r="N551" s="2"/>
      <c r="O551" s="2"/>
      <c r="P551" s="2"/>
      <c r="Q551" s="2"/>
      <c r="R551" s="2"/>
      <c r="S551" s="2"/>
      <c r="T551" s="2"/>
      <c r="U551" s="2"/>
      <c r="V551" s="2"/>
      <c r="W551" s="157"/>
      <c r="X551" s="157"/>
      <c r="Y551" s="157"/>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customHeight="1">
      <c r="A552" s="2"/>
      <c r="B552" s="2"/>
      <c r="C552" s="2"/>
      <c r="D552" s="2"/>
      <c r="E552" s="2"/>
      <c r="F552" s="2"/>
      <c r="G552" s="2"/>
      <c r="H552" s="2"/>
      <c r="I552" s="2"/>
      <c r="J552" s="2"/>
      <c r="K552" s="2"/>
      <c r="L552" s="2"/>
      <c r="M552" s="2"/>
      <c r="N552" s="2"/>
      <c r="O552" s="2"/>
      <c r="P552" s="2"/>
      <c r="Q552" s="2"/>
      <c r="R552" s="2"/>
      <c r="S552" s="2"/>
      <c r="T552" s="2"/>
      <c r="U552" s="2"/>
      <c r="V552" s="2"/>
      <c r="W552" s="157"/>
      <c r="X552" s="157"/>
      <c r="Y552" s="157"/>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customHeight="1">
      <c r="A553" s="2"/>
      <c r="B553" s="2"/>
      <c r="C553" s="2"/>
      <c r="D553" s="2"/>
      <c r="E553" s="2"/>
      <c r="F553" s="2"/>
      <c r="G553" s="2"/>
      <c r="H553" s="2"/>
      <c r="I553" s="2"/>
      <c r="J553" s="2"/>
      <c r="K553" s="2"/>
      <c r="L553" s="2"/>
      <c r="M553" s="2"/>
      <c r="N553" s="2"/>
      <c r="O553" s="2"/>
      <c r="P553" s="2"/>
      <c r="Q553" s="2"/>
      <c r="R553" s="2"/>
      <c r="S553" s="2"/>
      <c r="T553" s="2"/>
      <c r="U553" s="2"/>
      <c r="V553" s="2"/>
      <c r="W553" s="157"/>
      <c r="X553" s="157"/>
      <c r="Y553" s="157"/>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customHeight="1">
      <c r="A554" s="2"/>
      <c r="B554" s="2"/>
      <c r="C554" s="2"/>
      <c r="D554" s="2"/>
      <c r="E554" s="2"/>
      <c r="F554" s="2"/>
      <c r="G554" s="2"/>
      <c r="H554" s="2"/>
      <c r="I554" s="2"/>
      <c r="J554" s="2"/>
      <c r="K554" s="2"/>
      <c r="L554" s="2"/>
      <c r="M554" s="2"/>
      <c r="N554" s="2"/>
      <c r="O554" s="2"/>
      <c r="P554" s="2"/>
      <c r="Q554" s="2"/>
      <c r="R554" s="2"/>
      <c r="S554" s="2"/>
      <c r="T554" s="2"/>
      <c r="U554" s="2"/>
      <c r="V554" s="2"/>
      <c r="W554" s="157"/>
      <c r="X554" s="157"/>
      <c r="Y554" s="157"/>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customHeight="1">
      <c r="A555" s="2"/>
      <c r="B555" s="2"/>
      <c r="C555" s="2"/>
      <c r="D555" s="2"/>
      <c r="E555" s="2"/>
      <c r="F555" s="2"/>
      <c r="G555" s="2"/>
      <c r="H555" s="2"/>
      <c r="I555" s="2"/>
      <c r="J555" s="2"/>
      <c r="K555" s="2"/>
      <c r="L555" s="2"/>
      <c r="M555" s="2"/>
      <c r="N555" s="2"/>
      <c r="O555" s="2"/>
      <c r="P555" s="2"/>
      <c r="Q555" s="2"/>
      <c r="R555" s="2"/>
      <c r="S555" s="2"/>
      <c r="T555" s="2"/>
      <c r="U555" s="2"/>
      <c r="V555" s="2"/>
      <c r="W555" s="157"/>
      <c r="X555" s="157"/>
      <c r="Y555" s="157"/>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customHeight="1">
      <c r="A556" s="2"/>
      <c r="B556" s="2"/>
      <c r="C556" s="2"/>
      <c r="D556" s="2"/>
      <c r="E556" s="2"/>
      <c r="F556" s="2"/>
      <c r="G556" s="2"/>
      <c r="H556" s="2"/>
      <c r="I556" s="2"/>
      <c r="J556" s="2"/>
      <c r="K556" s="2"/>
      <c r="L556" s="2"/>
      <c r="M556" s="2"/>
      <c r="N556" s="2"/>
      <c r="O556" s="2"/>
      <c r="P556" s="2"/>
      <c r="Q556" s="2"/>
      <c r="R556" s="2"/>
      <c r="S556" s="2"/>
      <c r="T556" s="2"/>
      <c r="U556" s="2"/>
      <c r="V556" s="2"/>
      <c r="W556" s="157"/>
      <c r="X556" s="157"/>
      <c r="Y556" s="157"/>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customHeight="1">
      <c r="A557" s="2"/>
      <c r="B557" s="2"/>
      <c r="C557" s="2"/>
      <c r="D557" s="2"/>
      <c r="E557" s="2"/>
      <c r="F557" s="2"/>
      <c r="G557" s="2"/>
      <c r="H557" s="2"/>
      <c r="I557" s="2"/>
      <c r="J557" s="2"/>
      <c r="K557" s="2"/>
      <c r="L557" s="2"/>
      <c r="M557" s="2"/>
      <c r="N557" s="2"/>
      <c r="O557" s="2"/>
      <c r="P557" s="2"/>
      <c r="Q557" s="2"/>
      <c r="R557" s="2"/>
      <c r="S557" s="2"/>
      <c r="T557" s="2"/>
      <c r="U557" s="2"/>
      <c r="V557" s="2"/>
      <c r="W557" s="157"/>
      <c r="X557" s="157"/>
      <c r="Y557" s="157"/>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customHeight="1">
      <c r="A558" s="2"/>
      <c r="B558" s="2"/>
      <c r="C558" s="2"/>
      <c r="D558" s="2"/>
      <c r="E558" s="2"/>
      <c r="F558" s="2"/>
      <c r="G558" s="2"/>
      <c r="H558" s="2"/>
      <c r="I558" s="2"/>
      <c r="J558" s="2"/>
      <c r="K558" s="2"/>
      <c r="L558" s="2"/>
      <c r="M558" s="2"/>
      <c r="N558" s="2"/>
      <c r="O558" s="2"/>
      <c r="P558" s="2"/>
      <c r="Q558" s="2"/>
      <c r="R558" s="2"/>
      <c r="S558" s="2"/>
      <c r="T558" s="2"/>
      <c r="U558" s="2"/>
      <c r="V558" s="2"/>
      <c r="W558" s="157"/>
      <c r="X558" s="157"/>
      <c r="Y558" s="157"/>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customHeight="1">
      <c r="A559" s="2"/>
      <c r="B559" s="2"/>
      <c r="C559" s="2"/>
      <c r="D559" s="2"/>
      <c r="E559" s="2"/>
      <c r="F559" s="2"/>
      <c r="G559" s="2"/>
      <c r="H559" s="2"/>
      <c r="I559" s="2"/>
      <c r="J559" s="2"/>
      <c r="K559" s="2"/>
      <c r="L559" s="2"/>
      <c r="M559" s="2"/>
      <c r="N559" s="2"/>
      <c r="O559" s="2"/>
      <c r="P559" s="2"/>
      <c r="Q559" s="2"/>
      <c r="R559" s="2"/>
      <c r="S559" s="2"/>
      <c r="T559" s="2"/>
      <c r="U559" s="2"/>
      <c r="V559" s="2"/>
      <c r="W559" s="157"/>
      <c r="X559" s="157"/>
      <c r="Y559" s="157"/>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customHeight="1">
      <c r="A560" s="2"/>
      <c r="B560" s="2"/>
      <c r="C560" s="2"/>
      <c r="D560" s="2"/>
      <c r="E560" s="2"/>
      <c r="F560" s="2"/>
      <c r="G560" s="2"/>
      <c r="H560" s="2"/>
      <c r="I560" s="2"/>
      <c r="J560" s="2"/>
      <c r="K560" s="2"/>
      <c r="L560" s="2"/>
      <c r="M560" s="2"/>
      <c r="N560" s="2"/>
      <c r="O560" s="2"/>
      <c r="P560" s="2"/>
      <c r="Q560" s="2"/>
      <c r="R560" s="2"/>
      <c r="S560" s="2"/>
      <c r="T560" s="2"/>
      <c r="U560" s="2"/>
      <c r="V560" s="2"/>
      <c r="W560" s="157"/>
      <c r="X560" s="157"/>
      <c r="Y560" s="157"/>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customHeight="1">
      <c r="A561" s="2"/>
      <c r="B561" s="2"/>
      <c r="C561" s="2"/>
      <c r="D561" s="2"/>
      <c r="E561" s="2"/>
      <c r="F561" s="2"/>
      <c r="G561" s="2"/>
      <c r="H561" s="2"/>
      <c r="I561" s="2"/>
      <c r="J561" s="2"/>
      <c r="K561" s="2"/>
      <c r="L561" s="2"/>
      <c r="M561" s="2"/>
      <c r="N561" s="2"/>
      <c r="O561" s="2"/>
      <c r="P561" s="2"/>
      <c r="Q561" s="2"/>
      <c r="R561" s="2"/>
      <c r="S561" s="2"/>
      <c r="T561" s="2"/>
      <c r="U561" s="2"/>
      <c r="V561" s="2"/>
      <c r="W561" s="157"/>
      <c r="X561" s="157"/>
      <c r="Y561" s="157"/>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customHeight="1">
      <c r="A562" s="2"/>
      <c r="B562" s="2"/>
      <c r="C562" s="2"/>
      <c r="D562" s="2"/>
      <c r="E562" s="2"/>
      <c r="F562" s="2"/>
      <c r="G562" s="2"/>
      <c r="H562" s="2"/>
      <c r="I562" s="2"/>
      <c r="J562" s="2"/>
      <c r="K562" s="2"/>
      <c r="L562" s="2"/>
      <c r="M562" s="2"/>
      <c r="N562" s="2"/>
      <c r="O562" s="2"/>
      <c r="P562" s="2"/>
      <c r="Q562" s="2"/>
      <c r="R562" s="2"/>
      <c r="S562" s="2"/>
      <c r="T562" s="2"/>
      <c r="U562" s="2"/>
      <c r="V562" s="2"/>
      <c r="W562" s="157"/>
      <c r="X562" s="157"/>
      <c r="Y562" s="157"/>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customHeight="1">
      <c r="A563" s="2"/>
      <c r="B563" s="2"/>
      <c r="C563" s="2"/>
      <c r="D563" s="2"/>
      <c r="E563" s="2"/>
      <c r="F563" s="2"/>
      <c r="G563" s="2"/>
      <c r="H563" s="2"/>
      <c r="I563" s="2"/>
      <c r="J563" s="2"/>
      <c r="K563" s="2"/>
      <c r="L563" s="2"/>
      <c r="M563" s="2"/>
      <c r="N563" s="2"/>
      <c r="O563" s="2"/>
      <c r="P563" s="2"/>
      <c r="Q563" s="2"/>
      <c r="R563" s="2"/>
      <c r="S563" s="2"/>
      <c r="T563" s="2"/>
      <c r="U563" s="2"/>
      <c r="V563" s="2"/>
      <c r="W563" s="157"/>
      <c r="X563" s="157"/>
      <c r="Y563" s="157"/>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customHeight="1">
      <c r="A564" s="2"/>
      <c r="B564" s="2"/>
      <c r="C564" s="2"/>
      <c r="D564" s="2"/>
      <c r="E564" s="2"/>
      <c r="F564" s="2"/>
      <c r="G564" s="2"/>
      <c r="H564" s="2"/>
      <c r="I564" s="2"/>
      <c r="J564" s="2"/>
      <c r="K564" s="2"/>
      <c r="L564" s="2"/>
      <c r="M564" s="2"/>
      <c r="N564" s="2"/>
      <c r="O564" s="2"/>
      <c r="P564" s="2"/>
      <c r="Q564" s="2"/>
      <c r="R564" s="2"/>
      <c r="S564" s="2"/>
      <c r="T564" s="2"/>
      <c r="U564" s="2"/>
      <c r="V564" s="2"/>
      <c r="W564" s="157"/>
      <c r="X564" s="157"/>
      <c r="Y564" s="157"/>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customHeight="1">
      <c r="A565" s="2"/>
      <c r="B565" s="2"/>
      <c r="C565" s="2"/>
      <c r="D565" s="2"/>
      <c r="E565" s="2"/>
      <c r="F565" s="2"/>
      <c r="G565" s="2"/>
      <c r="H565" s="2"/>
      <c r="I565" s="2"/>
      <c r="J565" s="2"/>
      <c r="K565" s="2"/>
      <c r="L565" s="2"/>
      <c r="M565" s="2"/>
      <c r="N565" s="2"/>
      <c r="O565" s="2"/>
      <c r="P565" s="2"/>
      <c r="Q565" s="2"/>
      <c r="R565" s="2"/>
      <c r="S565" s="2"/>
      <c r="T565" s="2"/>
      <c r="U565" s="2"/>
      <c r="V565" s="2"/>
      <c r="W565" s="157"/>
      <c r="X565" s="157"/>
      <c r="Y565" s="157"/>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customHeight="1">
      <c r="A566" s="2"/>
      <c r="B566" s="2"/>
      <c r="C566" s="2"/>
      <c r="D566" s="2"/>
      <c r="E566" s="2"/>
      <c r="F566" s="2"/>
      <c r="G566" s="2"/>
      <c r="H566" s="2"/>
      <c r="I566" s="2"/>
      <c r="J566" s="2"/>
      <c r="K566" s="2"/>
      <c r="L566" s="2"/>
      <c r="M566" s="2"/>
      <c r="N566" s="2"/>
      <c r="O566" s="2"/>
      <c r="P566" s="2"/>
      <c r="Q566" s="2"/>
      <c r="R566" s="2"/>
      <c r="S566" s="2"/>
      <c r="T566" s="2"/>
      <c r="U566" s="2"/>
      <c r="V566" s="2"/>
      <c r="W566" s="157"/>
      <c r="X566" s="157"/>
      <c r="Y566" s="157"/>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customHeight="1">
      <c r="A567" s="2"/>
      <c r="B567" s="2"/>
      <c r="C567" s="2"/>
      <c r="D567" s="2"/>
      <c r="E567" s="2"/>
      <c r="F567" s="2"/>
      <c r="G567" s="2"/>
      <c r="H567" s="2"/>
      <c r="I567" s="2"/>
      <c r="J567" s="2"/>
      <c r="K567" s="2"/>
      <c r="L567" s="2"/>
      <c r="M567" s="2"/>
      <c r="N567" s="2"/>
      <c r="O567" s="2"/>
      <c r="P567" s="2"/>
      <c r="Q567" s="2"/>
      <c r="R567" s="2"/>
      <c r="S567" s="2"/>
      <c r="T567" s="2"/>
      <c r="U567" s="2"/>
      <c r="V567" s="2"/>
      <c r="W567" s="157"/>
      <c r="X567" s="157"/>
      <c r="Y567" s="157"/>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customHeight="1">
      <c r="A568" s="2"/>
      <c r="B568" s="2"/>
      <c r="C568" s="2"/>
      <c r="D568" s="2"/>
      <c r="E568" s="2"/>
      <c r="F568" s="2"/>
      <c r="G568" s="2"/>
      <c r="H568" s="2"/>
      <c r="I568" s="2"/>
      <c r="J568" s="2"/>
      <c r="K568" s="2"/>
      <c r="L568" s="2"/>
      <c r="M568" s="2"/>
      <c r="N568" s="2"/>
      <c r="O568" s="2"/>
      <c r="P568" s="2"/>
      <c r="Q568" s="2"/>
      <c r="R568" s="2"/>
      <c r="S568" s="2"/>
      <c r="T568" s="2"/>
      <c r="U568" s="2"/>
      <c r="V568" s="2"/>
      <c r="W568" s="157"/>
      <c r="X568" s="157"/>
      <c r="Y568" s="157"/>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customHeight="1">
      <c r="A569" s="2"/>
      <c r="B569" s="2"/>
      <c r="C569" s="2"/>
      <c r="D569" s="2"/>
      <c r="E569" s="2"/>
      <c r="F569" s="2"/>
      <c r="G569" s="2"/>
      <c r="H569" s="2"/>
      <c r="I569" s="2"/>
      <c r="J569" s="2"/>
      <c r="K569" s="2"/>
      <c r="L569" s="2"/>
      <c r="M569" s="2"/>
      <c r="N569" s="2"/>
      <c r="O569" s="2"/>
      <c r="P569" s="2"/>
      <c r="Q569" s="2"/>
      <c r="R569" s="2"/>
      <c r="S569" s="2"/>
      <c r="T569" s="2"/>
      <c r="U569" s="2"/>
      <c r="V569" s="2"/>
      <c r="W569" s="157"/>
      <c r="X569" s="157"/>
      <c r="Y569" s="157"/>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customHeight="1">
      <c r="A570" s="2"/>
      <c r="B570" s="2"/>
      <c r="C570" s="2"/>
      <c r="D570" s="2"/>
      <c r="E570" s="2"/>
      <c r="F570" s="2"/>
      <c r="G570" s="2"/>
      <c r="H570" s="2"/>
      <c r="I570" s="2"/>
      <c r="J570" s="2"/>
      <c r="K570" s="2"/>
      <c r="L570" s="2"/>
      <c r="M570" s="2"/>
      <c r="N570" s="2"/>
      <c r="O570" s="2"/>
      <c r="P570" s="2"/>
      <c r="Q570" s="2"/>
      <c r="R570" s="2"/>
      <c r="S570" s="2"/>
      <c r="T570" s="2"/>
      <c r="U570" s="2"/>
      <c r="V570" s="2"/>
      <c r="W570" s="157"/>
      <c r="X570" s="157"/>
      <c r="Y570" s="157"/>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customHeight="1">
      <c r="A571" s="2"/>
      <c r="B571" s="2"/>
      <c r="C571" s="2"/>
      <c r="D571" s="2"/>
      <c r="E571" s="2"/>
      <c r="F571" s="2"/>
      <c r="G571" s="2"/>
      <c r="H571" s="2"/>
      <c r="I571" s="2"/>
      <c r="J571" s="2"/>
      <c r="K571" s="2"/>
      <c r="L571" s="2"/>
      <c r="M571" s="2"/>
      <c r="N571" s="2"/>
      <c r="O571" s="2"/>
      <c r="P571" s="2"/>
      <c r="Q571" s="2"/>
      <c r="R571" s="2"/>
      <c r="S571" s="2"/>
      <c r="T571" s="2"/>
      <c r="U571" s="2"/>
      <c r="V571" s="2"/>
      <c r="W571" s="157"/>
      <c r="X571" s="157"/>
      <c r="Y571" s="157"/>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customHeight="1">
      <c r="A572" s="2"/>
      <c r="B572" s="2"/>
      <c r="C572" s="2"/>
      <c r="D572" s="2"/>
      <c r="E572" s="2"/>
      <c r="F572" s="2"/>
      <c r="G572" s="2"/>
      <c r="H572" s="2"/>
      <c r="I572" s="2"/>
      <c r="J572" s="2"/>
      <c r="K572" s="2"/>
      <c r="L572" s="2"/>
      <c r="M572" s="2"/>
      <c r="N572" s="2"/>
      <c r="O572" s="2"/>
      <c r="P572" s="2"/>
      <c r="Q572" s="2"/>
      <c r="R572" s="2"/>
      <c r="S572" s="2"/>
      <c r="T572" s="2"/>
      <c r="U572" s="2"/>
      <c r="V572" s="2"/>
      <c r="W572" s="157"/>
      <c r="X572" s="157"/>
      <c r="Y572" s="157"/>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customHeight="1">
      <c r="A573" s="2"/>
      <c r="B573" s="2"/>
      <c r="C573" s="2"/>
      <c r="D573" s="2"/>
      <c r="E573" s="2"/>
      <c r="F573" s="2"/>
      <c r="G573" s="2"/>
      <c r="H573" s="2"/>
      <c r="I573" s="2"/>
      <c r="J573" s="2"/>
      <c r="K573" s="2"/>
      <c r="L573" s="2"/>
      <c r="M573" s="2"/>
      <c r="N573" s="2"/>
      <c r="O573" s="2"/>
      <c r="P573" s="2"/>
      <c r="Q573" s="2"/>
      <c r="R573" s="2"/>
      <c r="S573" s="2"/>
      <c r="T573" s="2"/>
      <c r="U573" s="2"/>
      <c r="V573" s="2"/>
      <c r="W573" s="157"/>
      <c r="X573" s="157"/>
      <c r="Y573" s="157"/>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customHeight="1">
      <c r="A574" s="2"/>
      <c r="B574" s="2"/>
      <c r="C574" s="2"/>
      <c r="D574" s="2"/>
      <c r="E574" s="2"/>
      <c r="F574" s="2"/>
      <c r="G574" s="2"/>
      <c r="H574" s="2"/>
      <c r="I574" s="2"/>
      <c r="J574" s="2"/>
      <c r="K574" s="2"/>
      <c r="L574" s="2"/>
      <c r="M574" s="2"/>
      <c r="N574" s="2"/>
      <c r="O574" s="2"/>
      <c r="P574" s="2"/>
      <c r="Q574" s="2"/>
      <c r="R574" s="2"/>
      <c r="S574" s="2"/>
      <c r="T574" s="2"/>
      <c r="U574" s="2"/>
      <c r="V574" s="2"/>
      <c r="W574" s="157"/>
      <c r="X574" s="157"/>
      <c r="Y574" s="157"/>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customHeight="1">
      <c r="A575" s="2"/>
      <c r="B575" s="2"/>
      <c r="C575" s="2"/>
      <c r="D575" s="2"/>
      <c r="E575" s="2"/>
      <c r="F575" s="2"/>
      <c r="G575" s="2"/>
      <c r="H575" s="2"/>
      <c r="I575" s="2"/>
      <c r="J575" s="2"/>
      <c r="K575" s="2"/>
      <c r="L575" s="2"/>
      <c r="M575" s="2"/>
      <c r="N575" s="2"/>
      <c r="O575" s="2"/>
      <c r="P575" s="2"/>
      <c r="Q575" s="2"/>
      <c r="R575" s="2"/>
      <c r="S575" s="2"/>
      <c r="T575" s="2"/>
      <c r="U575" s="2"/>
      <c r="V575" s="2"/>
      <c r="W575" s="157"/>
      <c r="X575" s="157"/>
      <c r="Y575" s="157"/>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customHeight="1">
      <c r="A576" s="2"/>
      <c r="B576" s="2"/>
      <c r="C576" s="2"/>
      <c r="D576" s="2"/>
      <c r="E576" s="2"/>
      <c r="F576" s="2"/>
      <c r="G576" s="2"/>
      <c r="H576" s="2"/>
      <c r="I576" s="2"/>
      <c r="J576" s="2"/>
      <c r="K576" s="2"/>
      <c r="L576" s="2"/>
      <c r="M576" s="2"/>
      <c r="N576" s="2"/>
      <c r="O576" s="2"/>
      <c r="P576" s="2"/>
      <c r="Q576" s="2"/>
      <c r="R576" s="2"/>
      <c r="S576" s="2"/>
      <c r="T576" s="2"/>
      <c r="U576" s="2"/>
      <c r="V576" s="2"/>
      <c r="W576" s="157"/>
      <c r="X576" s="157"/>
      <c r="Y576" s="157"/>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customHeight="1">
      <c r="A577" s="2"/>
      <c r="B577" s="2"/>
      <c r="C577" s="2"/>
      <c r="D577" s="2"/>
      <c r="E577" s="2"/>
      <c r="F577" s="2"/>
      <c r="G577" s="2"/>
      <c r="H577" s="2"/>
      <c r="I577" s="2"/>
      <c r="J577" s="2"/>
      <c r="K577" s="2"/>
      <c r="L577" s="2"/>
      <c r="M577" s="2"/>
      <c r="N577" s="2"/>
      <c r="O577" s="2"/>
      <c r="P577" s="2"/>
      <c r="Q577" s="2"/>
      <c r="R577" s="2"/>
      <c r="S577" s="2"/>
      <c r="T577" s="2"/>
      <c r="U577" s="2"/>
      <c r="V577" s="2"/>
      <c r="W577" s="157"/>
      <c r="X577" s="157"/>
      <c r="Y577" s="157"/>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customHeight="1">
      <c r="A578" s="2"/>
      <c r="B578" s="2"/>
      <c r="C578" s="2"/>
      <c r="D578" s="2"/>
      <c r="E578" s="2"/>
      <c r="F578" s="2"/>
      <c r="G578" s="2"/>
      <c r="H578" s="2"/>
      <c r="I578" s="2"/>
      <c r="J578" s="2"/>
      <c r="K578" s="2"/>
      <c r="L578" s="2"/>
      <c r="M578" s="2"/>
      <c r="N578" s="2"/>
      <c r="O578" s="2"/>
      <c r="P578" s="2"/>
      <c r="Q578" s="2"/>
      <c r="R578" s="2"/>
      <c r="S578" s="2"/>
      <c r="T578" s="2"/>
      <c r="U578" s="2"/>
      <c r="V578" s="2"/>
      <c r="W578" s="157"/>
      <c r="X578" s="157"/>
      <c r="Y578" s="157"/>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customHeight="1">
      <c r="A579" s="2"/>
      <c r="B579" s="2"/>
      <c r="C579" s="2"/>
      <c r="D579" s="2"/>
      <c r="E579" s="2"/>
      <c r="F579" s="2"/>
      <c r="G579" s="2"/>
      <c r="H579" s="2"/>
      <c r="I579" s="2"/>
      <c r="J579" s="2"/>
      <c r="K579" s="2"/>
      <c r="L579" s="2"/>
      <c r="M579" s="2"/>
      <c r="N579" s="2"/>
      <c r="O579" s="2"/>
      <c r="P579" s="2"/>
      <c r="Q579" s="2"/>
      <c r="R579" s="2"/>
      <c r="S579" s="2"/>
      <c r="T579" s="2"/>
      <c r="U579" s="2"/>
      <c r="V579" s="2"/>
      <c r="W579" s="157"/>
      <c r="X579" s="157"/>
      <c r="Y579" s="157"/>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customHeight="1">
      <c r="A580" s="2"/>
      <c r="B580" s="2"/>
      <c r="C580" s="2"/>
      <c r="D580" s="2"/>
      <c r="E580" s="2"/>
      <c r="F580" s="2"/>
      <c r="G580" s="2"/>
      <c r="H580" s="2"/>
      <c r="I580" s="2"/>
      <c r="J580" s="2"/>
      <c r="K580" s="2"/>
      <c r="L580" s="2"/>
      <c r="M580" s="2"/>
      <c r="N580" s="2"/>
      <c r="O580" s="2"/>
      <c r="P580" s="2"/>
      <c r="Q580" s="2"/>
      <c r="R580" s="2"/>
      <c r="S580" s="2"/>
      <c r="T580" s="2"/>
      <c r="U580" s="2"/>
      <c r="V580" s="2"/>
      <c r="W580" s="157"/>
      <c r="X580" s="157"/>
      <c r="Y580" s="157"/>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customHeight="1">
      <c r="A581" s="2"/>
      <c r="B581" s="2"/>
      <c r="C581" s="2"/>
      <c r="D581" s="2"/>
      <c r="E581" s="2"/>
      <c r="F581" s="2"/>
      <c r="G581" s="2"/>
      <c r="H581" s="2"/>
      <c r="I581" s="2"/>
      <c r="J581" s="2"/>
      <c r="K581" s="2"/>
      <c r="L581" s="2"/>
      <c r="M581" s="2"/>
      <c r="N581" s="2"/>
      <c r="O581" s="2"/>
      <c r="P581" s="2"/>
      <c r="Q581" s="2"/>
      <c r="R581" s="2"/>
      <c r="S581" s="2"/>
      <c r="T581" s="2"/>
      <c r="U581" s="2"/>
      <c r="V581" s="2"/>
      <c r="W581" s="157"/>
      <c r="X581" s="157"/>
      <c r="Y581" s="157"/>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customHeight="1">
      <c r="A582" s="2"/>
      <c r="B582" s="2"/>
      <c r="C582" s="2"/>
      <c r="D582" s="2"/>
      <c r="E582" s="2"/>
      <c r="F582" s="2"/>
      <c r="G582" s="2"/>
      <c r="H582" s="2"/>
      <c r="I582" s="2"/>
      <c r="J582" s="2"/>
      <c r="K582" s="2"/>
      <c r="L582" s="2"/>
      <c r="M582" s="2"/>
      <c r="N582" s="2"/>
      <c r="O582" s="2"/>
      <c r="P582" s="2"/>
      <c r="Q582" s="2"/>
      <c r="R582" s="2"/>
      <c r="S582" s="2"/>
      <c r="T582" s="2"/>
      <c r="U582" s="2"/>
      <c r="V582" s="2"/>
      <c r="W582" s="157"/>
      <c r="X582" s="157"/>
      <c r="Y582" s="157"/>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customHeight="1">
      <c r="A583" s="2"/>
      <c r="B583" s="2"/>
      <c r="C583" s="2"/>
      <c r="D583" s="2"/>
      <c r="E583" s="2"/>
      <c r="F583" s="2"/>
      <c r="G583" s="2"/>
      <c r="H583" s="2"/>
      <c r="I583" s="2"/>
      <c r="J583" s="2"/>
      <c r="K583" s="2"/>
      <c r="L583" s="2"/>
      <c r="M583" s="2"/>
      <c r="N583" s="2"/>
      <c r="O583" s="2"/>
      <c r="P583" s="2"/>
      <c r="Q583" s="2"/>
      <c r="R583" s="2"/>
      <c r="S583" s="2"/>
      <c r="T583" s="2"/>
      <c r="U583" s="2"/>
      <c r="V583" s="2"/>
      <c r="W583" s="157"/>
      <c r="X583" s="157"/>
      <c r="Y583" s="157"/>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customHeight="1">
      <c r="A584" s="2"/>
      <c r="B584" s="2"/>
      <c r="C584" s="2"/>
      <c r="D584" s="2"/>
      <c r="E584" s="2"/>
      <c r="F584" s="2"/>
      <c r="G584" s="2"/>
      <c r="H584" s="2"/>
      <c r="I584" s="2"/>
      <c r="J584" s="2"/>
      <c r="K584" s="2"/>
      <c r="L584" s="2"/>
      <c r="M584" s="2"/>
      <c r="N584" s="2"/>
      <c r="O584" s="2"/>
      <c r="P584" s="2"/>
      <c r="Q584" s="2"/>
      <c r="R584" s="2"/>
      <c r="S584" s="2"/>
      <c r="T584" s="2"/>
      <c r="U584" s="2"/>
      <c r="V584" s="2"/>
      <c r="W584" s="157"/>
      <c r="X584" s="157"/>
      <c r="Y584" s="157"/>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customHeight="1">
      <c r="A585" s="2"/>
      <c r="B585" s="2"/>
      <c r="C585" s="2"/>
      <c r="D585" s="2"/>
      <c r="E585" s="2"/>
      <c r="F585" s="2"/>
      <c r="G585" s="2"/>
      <c r="H585" s="2"/>
      <c r="I585" s="2"/>
      <c r="J585" s="2"/>
      <c r="K585" s="2"/>
      <c r="L585" s="2"/>
      <c r="M585" s="2"/>
      <c r="N585" s="2"/>
      <c r="O585" s="2"/>
      <c r="P585" s="2"/>
      <c r="Q585" s="2"/>
      <c r="R585" s="2"/>
      <c r="S585" s="2"/>
      <c r="T585" s="2"/>
      <c r="U585" s="2"/>
      <c r="V585" s="2"/>
      <c r="W585" s="157"/>
      <c r="X585" s="157"/>
      <c r="Y585" s="157"/>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customHeight="1">
      <c r="A586" s="2"/>
      <c r="B586" s="2"/>
      <c r="C586" s="2"/>
      <c r="D586" s="2"/>
      <c r="E586" s="2"/>
      <c r="F586" s="2"/>
      <c r="G586" s="2"/>
      <c r="H586" s="2"/>
      <c r="I586" s="2"/>
      <c r="J586" s="2"/>
      <c r="K586" s="2"/>
      <c r="L586" s="2"/>
      <c r="M586" s="2"/>
      <c r="N586" s="2"/>
      <c r="O586" s="2"/>
      <c r="P586" s="2"/>
      <c r="Q586" s="2"/>
      <c r="R586" s="2"/>
      <c r="S586" s="2"/>
      <c r="T586" s="2"/>
      <c r="U586" s="2"/>
      <c r="V586" s="2"/>
      <c r="W586" s="157"/>
      <c r="X586" s="157"/>
      <c r="Y586" s="157"/>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customHeight="1">
      <c r="A587" s="2"/>
      <c r="B587" s="2"/>
      <c r="C587" s="2"/>
      <c r="D587" s="2"/>
      <c r="E587" s="2"/>
      <c r="F587" s="2"/>
      <c r="G587" s="2"/>
      <c r="H587" s="2"/>
      <c r="I587" s="2"/>
      <c r="J587" s="2"/>
      <c r="K587" s="2"/>
      <c r="L587" s="2"/>
      <c r="M587" s="2"/>
      <c r="N587" s="2"/>
      <c r="O587" s="2"/>
      <c r="P587" s="2"/>
      <c r="Q587" s="2"/>
      <c r="R587" s="2"/>
      <c r="S587" s="2"/>
      <c r="T587" s="2"/>
      <c r="U587" s="2"/>
      <c r="V587" s="2"/>
      <c r="W587" s="157"/>
      <c r="X587" s="157"/>
      <c r="Y587" s="157"/>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customHeight="1">
      <c r="A588" s="2"/>
      <c r="B588" s="2"/>
      <c r="C588" s="2"/>
      <c r="D588" s="2"/>
      <c r="E588" s="2"/>
      <c r="F588" s="2"/>
      <c r="G588" s="2"/>
      <c r="H588" s="2"/>
      <c r="I588" s="2"/>
      <c r="J588" s="2"/>
      <c r="K588" s="2"/>
      <c r="L588" s="2"/>
      <c r="M588" s="2"/>
      <c r="N588" s="2"/>
      <c r="O588" s="2"/>
      <c r="P588" s="2"/>
      <c r="Q588" s="2"/>
      <c r="R588" s="2"/>
      <c r="S588" s="2"/>
      <c r="T588" s="2"/>
      <c r="U588" s="2"/>
      <c r="V588" s="2"/>
      <c r="W588" s="157"/>
      <c r="X588" s="157"/>
      <c r="Y588" s="157"/>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customHeight="1">
      <c r="A589" s="2"/>
      <c r="B589" s="2"/>
      <c r="C589" s="2"/>
      <c r="D589" s="2"/>
      <c r="E589" s="2"/>
      <c r="F589" s="2"/>
      <c r="G589" s="2"/>
      <c r="H589" s="2"/>
      <c r="I589" s="2"/>
      <c r="J589" s="2"/>
      <c r="K589" s="2"/>
      <c r="L589" s="2"/>
      <c r="M589" s="2"/>
      <c r="N589" s="2"/>
      <c r="O589" s="2"/>
      <c r="P589" s="2"/>
      <c r="Q589" s="2"/>
      <c r="R589" s="2"/>
      <c r="S589" s="2"/>
      <c r="T589" s="2"/>
      <c r="U589" s="2"/>
      <c r="V589" s="2"/>
      <c r="W589" s="157"/>
      <c r="X589" s="157"/>
      <c r="Y589" s="157"/>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customHeight="1">
      <c r="A590" s="2"/>
      <c r="B590" s="2"/>
      <c r="C590" s="2"/>
      <c r="D590" s="2"/>
      <c r="E590" s="2"/>
      <c r="F590" s="2"/>
      <c r="G590" s="2"/>
      <c r="H590" s="2"/>
      <c r="I590" s="2"/>
      <c r="J590" s="2"/>
      <c r="K590" s="2"/>
      <c r="L590" s="2"/>
      <c r="M590" s="2"/>
      <c r="N590" s="2"/>
      <c r="O590" s="2"/>
      <c r="P590" s="2"/>
      <c r="Q590" s="2"/>
      <c r="R590" s="2"/>
      <c r="S590" s="2"/>
      <c r="T590" s="2"/>
      <c r="U590" s="2"/>
      <c r="V590" s="2"/>
      <c r="W590" s="157"/>
      <c r="X590" s="157"/>
      <c r="Y590" s="157"/>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customHeight="1">
      <c r="A591" s="2"/>
      <c r="B591" s="2"/>
      <c r="C591" s="2"/>
      <c r="D591" s="2"/>
      <c r="E591" s="2"/>
      <c r="F591" s="2"/>
      <c r="G591" s="2"/>
      <c r="H591" s="2"/>
      <c r="I591" s="2"/>
      <c r="J591" s="2"/>
      <c r="K591" s="2"/>
      <c r="L591" s="2"/>
      <c r="M591" s="2"/>
      <c r="N591" s="2"/>
      <c r="O591" s="2"/>
      <c r="P591" s="2"/>
      <c r="Q591" s="2"/>
      <c r="R591" s="2"/>
      <c r="S591" s="2"/>
      <c r="T591" s="2"/>
      <c r="U591" s="2"/>
      <c r="V591" s="2"/>
      <c r="W591" s="157"/>
      <c r="X591" s="157"/>
      <c r="Y591" s="157"/>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customHeight="1">
      <c r="A592" s="2"/>
      <c r="B592" s="2"/>
      <c r="C592" s="2"/>
      <c r="D592" s="2"/>
      <c r="E592" s="2"/>
      <c r="F592" s="2"/>
      <c r="G592" s="2"/>
      <c r="H592" s="2"/>
      <c r="I592" s="2"/>
      <c r="J592" s="2"/>
      <c r="K592" s="2"/>
      <c r="L592" s="2"/>
      <c r="M592" s="2"/>
      <c r="N592" s="2"/>
      <c r="O592" s="2"/>
      <c r="P592" s="2"/>
      <c r="Q592" s="2"/>
      <c r="R592" s="2"/>
      <c r="S592" s="2"/>
      <c r="T592" s="2"/>
      <c r="U592" s="2"/>
      <c r="V592" s="2"/>
      <c r="W592" s="157"/>
      <c r="X592" s="157"/>
      <c r="Y592" s="157"/>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customHeight="1">
      <c r="A593" s="2"/>
      <c r="B593" s="2"/>
      <c r="C593" s="2"/>
      <c r="D593" s="2"/>
      <c r="E593" s="2"/>
      <c r="F593" s="2"/>
      <c r="G593" s="2"/>
      <c r="H593" s="2"/>
      <c r="I593" s="2"/>
      <c r="J593" s="2"/>
      <c r="K593" s="2"/>
      <c r="L593" s="2"/>
      <c r="M593" s="2"/>
      <c r="N593" s="2"/>
      <c r="O593" s="2"/>
      <c r="P593" s="2"/>
      <c r="Q593" s="2"/>
      <c r="R593" s="2"/>
      <c r="S593" s="2"/>
      <c r="T593" s="2"/>
      <c r="U593" s="2"/>
      <c r="V593" s="2"/>
      <c r="W593" s="157"/>
      <c r="X593" s="157"/>
      <c r="Y593" s="157"/>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customHeight="1">
      <c r="A594" s="2"/>
      <c r="B594" s="2"/>
      <c r="C594" s="2"/>
      <c r="D594" s="2"/>
      <c r="E594" s="2"/>
      <c r="F594" s="2"/>
      <c r="G594" s="2"/>
      <c r="H594" s="2"/>
      <c r="I594" s="2"/>
      <c r="J594" s="2"/>
      <c r="K594" s="2"/>
      <c r="L594" s="2"/>
      <c r="M594" s="2"/>
      <c r="N594" s="2"/>
      <c r="O594" s="2"/>
      <c r="P594" s="2"/>
      <c r="Q594" s="2"/>
      <c r="R594" s="2"/>
      <c r="S594" s="2"/>
      <c r="T594" s="2"/>
      <c r="U594" s="2"/>
      <c r="V594" s="2"/>
      <c r="W594" s="157"/>
      <c r="X594" s="157"/>
      <c r="Y594" s="157"/>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customHeight="1">
      <c r="A595" s="2"/>
      <c r="B595" s="2"/>
      <c r="C595" s="2"/>
      <c r="D595" s="2"/>
      <c r="E595" s="2"/>
      <c r="F595" s="2"/>
      <c r="G595" s="2"/>
      <c r="H595" s="2"/>
      <c r="I595" s="2"/>
      <c r="J595" s="2"/>
      <c r="K595" s="2"/>
      <c r="L595" s="2"/>
      <c r="M595" s="2"/>
      <c r="N595" s="2"/>
      <c r="O595" s="2"/>
      <c r="P595" s="2"/>
      <c r="Q595" s="2"/>
      <c r="R595" s="2"/>
      <c r="S595" s="2"/>
      <c r="T595" s="2"/>
      <c r="U595" s="2"/>
      <c r="V595" s="2"/>
      <c r="W595" s="157"/>
      <c r="X595" s="157"/>
      <c r="Y595" s="157"/>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customHeight="1">
      <c r="A596" s="2"/>
      <c r="B596" s="2"/>
      <c r="C596" s="2"/>
      <c r="D596" s="2"/>
      <c r="E596" s="2"/>
      <c r="F596" s="2"/>
      <c r="G596" s="2"/>
      <c r="H596" s="2"/>
      <c r="I596" s="2"/>
      <c r="J596" s="2"/>
      <c r="K596" s="2"/>
      <c r="L596" s="2"/>
      <c r="M596" s="2"/>
      <c r="N596" s="2"/>
      <c r="O596" s="2"/>
      <c r="P596" s="2"/>
      <c r="Q596" s="2"/>
      <c r="R596" s="2"/>
      <c r="S596" s="2"/>
      <c r="T596" s="2"/>
      <c r="U596" s="2"/>
      <c r="V596" s="2"/>
      <c r="W596" s="157"/>
      <c r="X596" s="157"/>
      <c r="Y596" s="157"/>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customHeight="1">
      <c r="A597" s="2"/>
      <c r="B597" s="2"/>
      <c r="C597" s="2"/>
      <c r="D597" s="2"/>
      <c r="E597" s="2"/>
      <c r="F597" s="2"/>
      <c r="G597" s="2"/>
      <c r="H597" s="2"/>
      <c r="I597" s="2"/>
      <c r="J597" s="2"/>
      <c r="K597" s="2"/>
      <c r="L597" s="2"/>
      <c r="M597" s="2"/>
      <c r="N597" s="2"/>
      <c r="O597" s="2"/>
      <c r="P597" s="2"/>
      <c r="Q597" s="2"/>
      <c r="R597" s="2"/>
      <c r="S597" s="2"/>
      <c r="T597" s="2"/>
      <c r="U597" s="2"/>
      <c r="V597" s="2"/>
      <c r="W597" s="157"/>
      <c r="X597" s="157"/>
      <c r="Y597" s="157"/>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customHeight="1">
      <c r="A598" s="2"/>
      <c r="B598" s="2"/>
      <c r="C598" s="2"/>
      <c r="D598" s="2"/>
      <c r="E598" s="2"/>
      <c r="F598" s="2"/>
      <c r="G598" s="2"/>
      <c r="H598" s="2"/>
      <c r="I598" s="2"/>
      <c r="J598" s="2"/>
      <c r="K598" s="2"/>
      <c r="L598" s="2"/>
      <c r="M598" s="2"/>
      <c r="N598" s="2"/>
      <c r="O598" s="2"/>
      <c r="P598" s="2"/>
      <c r="Q598" s="2"/>
      <c r="R598" s="2"/>
      <c r="S598" s="2"/>
      <c r="T598" s="2"/>
      <c r="U598" s="2"/>
      <c r="V598" s="2"/>
      <c r="W598" s="157"/>
      <c r="X598" s="157"/>
      <c r="Y598" s="157"/>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customHeight="1">
      <c r="A599" s="2"/>
      <c r="B599" s="2"/>
      <c r="C599" s="2"/>
      <c r="D599" s="2"/>
      <c r="E599" s="2"/>
      <c r="F599" s="2"/>
      <c r="G599" s="2"/>
      <c r="H599" s="2"/>
      <c r="I599" s="2"/>
      <c r="J599" s="2"/>
      <c r="K599" s="2"/>
      <c r="L599" s="2"/>
      <c r="M599" s="2"/>
      <c r="N599" s="2"/>
      <c r="O599" s="2"/>
      <c r="P599" s="2"/>
      <c r="Q599" s="2"/>
      <c r="R599" s="2"/>
      <c r="S599" s="2"/>
      <c r="T599" s="2"/>
      <c r="U599" s="2"/>
      <c r="V599" s="2"/>
      <c r="W599" s="157"/>
      <c r="X599" s="157"/>
      <c r="Y599" s="157"/>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customHeight="1">
      <c r="A600" s="2"/>
      <c r="B600" s="2"/>
      <c r="C600" s="2"/>
      <c r="D600" s="2"/>
      <c r="E600" s="2"/>
      <c r="F600" s="2"/>
      <c r="G600" s="2"/>
      <c r="H600" s="2"/>
      <c r="I600" s="2"/>
      <c r="J600" s="2"/>
      <c r="K600" s="2"/>
      <c r="L600" s="2"/>
      <c r="M600" s="2"/>
      <c r="N600" s="2"/>
      <c r="O600" s="2"/>
      <c r="P600" s="2"/>
      <c r="Q600" s="2"/>
      <c r="R600" s="2"/>
      <c r="S600" s="2"/>
      <c r="T600" s="2"/>
      <c r="U600" s="2"/>
      <c r="V600" s="2"/>
      <c r="W600" s="157"/>
      <c r="X600" s="157"/>
      <c r="Y600" s="157"/>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customHeight="1">
      <c r="A601" s="2"/>
      <c r="B601" s="2"/>
      <c r="C601" s="2"/>
      <c r="D601" s="2"/>
      <c r="E601" s="2"/>
      <c r="F601" s="2"/>
      <c r="G601" s="2"/>
      <c r="H601" s="2"/>
      <c r="I601" s="2"/>
      <c r="J601" s="2"/>
      <c r="K601" s="2"/>
      <c r="L601" s="2"/>
      <c r="M601" s="2"/>
      <c r="N601" s="2"/>
      <c r="O601" s="2"/>
      <c r="P601" s="2"/>
      <c r="Q601" s="2"/>
      <c r="R601" s="2"/>
      <c r="S601" s="2"/>
      <c r="T601" s="2"/>
      <c r="U601" s="2"/>
      <c r="V601" s="2"/>
      <c r="W601" s="157"/>
      <c r="X601" s="157"/>
      <c r="Y601" s="157"/>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customHeight="1">
      <c r="A602" s="2"/>
      <c r="B602" s="2"/>
      <c r="C602" s="2"/>
      <c r="D602" s="2"/>
      <c r="E602" s="2"/>
      <c r="F602" s="2"/>
      <c r="G602" s="2"/>
      <c r="H602" s="2"/>
      <c r="I602" s="2"/>
      <c r="J602" s="2"/>
      <c r="K602" s="2"/>
      <c r="L602" s="2"/>
      <c r="M602" s="2"/>
      <c r="N602" s="2"/>
      <c r="O602" s="2"/>
      <c r="P602" s="2"/>
      <c r="Q602" s="2"/>
      <c r="R602" s="2"/>
      <c r="S602" s="2"/>
      <c r="T602" s="2"/>
      <c r="U602" s="2"/>
      <c r="V602" s="2"/>
      <c r="W602" s="157"/>
      <c r="X602" s="157"/>
      <c r="Y602" s="157"/>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customHeight="1">
      <c r="A603" s="2"/>
      <c r="B603" s="2"/>
      <c r="C603" s="2"/>
      <c r="D603" s="2"/>
      <c r="E603" s="2"/>
      <c r="F603" s="2"/>
      <c r="G603" s="2"/>
      <c r="H603" s="2"/>
      <c r="I603" s="2"/>
      <c r="J603" s="2"/>
      <c r="K603" s="2"/>
      <c r="L603" s="2"/>
      <c r="M603" s="2"/>
      <c r="N603" s="2"/>
      <c r="O603" s="2"/>
      <c r="P603" s="2"/>
      <c r="Q603" s="2"/>
      <c r="R603" s="2"/>
      <c r="S603" s="2"/>
      <c r="T603" s="2"/>
      <c r="U603" s="2"/>
      <c r="V603" s="2"/>
      <c r="W603" s="157"/>
      <c r="X603" s="157"/>
      <c r="Y603" s="157"/>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customHeight="1">
      <c r="A604" s="2"/>
      <c r="B604" s="2"/>
      <c r="C604" s="2"/>
      <c r="D604" s="2"/>
      <c r="E604" s="2"/>
      <c r="F604" s="2"/>
      <c r="G604" s="2"/>
      <c r="H604" s="2"/>
      <c r="I604" s="2"/>
      <c r="J604" s="2"/>
      <c r="K604" s="2"/>
      <c r="L604" s="2"/>
      <c r="M604" s="2"/>
      <c r="N604" s="2"/>
      <c r="O604" s="2"/>
      <c r="P604" s="2"/>
      <c r="Q604" s="2"/>
      <c r="R604" s="2"/>
      <c r="S604" s="2"/>
      <c r="T604" s="2"/>
      <c r="U604" s="2"/>
      <c r="V604" s="2"/>
      <c r="W604" s="157"/>
      <c r="X604" s="157"/>
      <c r="Y604" s="157"/>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customHeight="1">
      <c r="A605" s="2"/>
      <c r="B605" s="2"/>
      <c r="C605" s="2"/>
      <c r="D605" s="2"/>
      <c r="E605" s="2"/>
      <c r="F605" s="2"/>
      <c r="G605" s="2"/>
      <c r="H605" s="2"/>
      <c r="I605" s="2"/>
      <c r="J605" s="2"/>
      <c r="K605" s="2"/>
      <c r="L605" s="2"/>
      <c r="M605" s="2"/>
      <c r="N605" s="2"/>
      <c r="O605" s="2"/>
      <c r="P605" s="2"/>
      <c r="Q605" s="2"/>
      <c r="R605" s="2"/>
      <c r="S605" s="2"/>
      <c r="T605" s="2"/>
      <c r="U605" s="2"/>
      <c r="V605" s="2"/>
      <c r="W605" s="157"/>
      <c r="X605" s="157"/>
      <c r="Y605" s="157"/>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customHeight="1">
      <c r="A606" s="2"/>
      <c r="B606" s="2"/>
      <c r="C606" s="2"/>
      <c r="D606" s="2"/>
      <c r="E606" s="2"/>
      <c r="F606" s="2"/>
      <c r="G606" s="2"/>
      <c r="H606" s="2"/>
      <c r="I606" s="2"/>
      <c r="J606" s="2"/>
      <c r="K606" s="2"/>
      <c r="L606" s="2"/>
      <c r="M606" s="2"/>
      <c r="N606" s="2"/>
      <c r="O606" s="2"/>
      <c r="P606" s="2"/>
      <c r="Q606" s="2"/>
      <c r="R606" s="2"/>
      <c r="S606" s="2"/>
      <c r="T606" s="2"/>
      <c r="U606" s="2"/>
      <c r="V606" s="2"/>
      <c r="W606" s="157"/>
      <c r="X606" s="157"/>
      <c r="Y606" s="157"/>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customHeight="1">
      <c r="A607" s="2"/>
      <c r="B607" s="2"/>
      <c r="C607" s="2"/>
      <c r="D607" s="2"/>
      <c r="E607" s="2"/>
      <c r="F607" s="2"/>
      <c r="G607" s="2"/>
      <c r="H607" s="2"/>
      <c r="I607" s="2"/>
      <c r="J607" s="2"/>
      <c r="K607" s="2"/>
      <c r="L607" s="2"/>
      <c r="M607" s="2"/>
      <c r="N607" s="2"/>
      <c r="O607" s="2"/>
      <c r="P607" s="2"/>
      <c r="Q607" s="2"/>
      <c r="R607" s="2"/>
      <c r="S607" s="2"/>
      <c r="T607" s="2"/>
      <c r="U607" s="2"/>
      <c r="V607" s="2"/>
      <c r="W607" s="157"/>
      <c r="X607" s="157"/>
      <c r="Y607" s="157"/>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customHeight="1">
      <c r="A608" s="2"/>
      <c r="B608" s="2"/>
      <c r="C608" s="2"/>
      <c r="D608" s="2"/>
      <c r="E608" s="2"/>
      <c r="F608" s="2"/>
      <c r="G608" s="2"/>
      <c r="H608" s="2"/>
      <c r="I608" s="2"/>
      <c r="J608" s="2"/>
      <c r="K608" s="2"/>
      <c r="L608" s="2"/>
      <c r="M608" s="2"/>
      <c r="N608" s="2"/>
      <c r="O608" s="2"/>
      <c r="P608" s="2"/>
      <c r="Q608" s="2"/>
      <c r="R608" s="2"/>
      <c r="S608" s="2"/>
      <c r="T608" s="2"/>
      <c r="U608" s="2"/>
      <c r="V608" s="2"/>
      <c r="W608" s="157"/>
      <c r="X608" s="157"/>
      <c r="Y608" s="157"/>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customHeight="1">
      <c r="A609" s="2"/>
      <c r="B609" s="2"/>
      <c r="C609" s="2"/>
      <c r="D609" s="2"/>
      <c r="E609" s="2"/>
      <c r="F609" s="2"/>
      <c r="G609" s="2"/>
      <c r="H609" s="2"/>
      <c r="I609" s="2"/>
      <c r="J609" s="2"/>
      <c r="K609" s="2"/>
      <c r="L609" s="2"/>
      <c r="M609" s="2"/>
      <c r="N609" s="2"/>
      <c r="O609" s="2"/>
      <c r="P609" s="2"/>
      <c r="Q609" s="2"/>
      <c r="R609" s="2"/>
      <c r="S609" s="2"/>
      <c r="T609" s="2"/>
      <c r="U609" s="2"/>
      <c r="V609" s="2"/>
      <c r="W609" s="157"/>
      <c r="X609" s="157"/>
      <c r="Y609" s="157"/>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customHeight="1">
      <c r="A610" s="2"/>
      <c r="B610" s="2"/>
      <c r="C610" s="2"/>
      <c r="D610" s="2"/>
      <c r="E610" s="2"/>
      <c r="F610" s="2"/>
      <c r="G610" s="2"/>
      <c r="H610" s="2"/>
      <c r="I610" s="2"/>
      <c r="J610" s="2"/>
      <c r="K610" s="2"/>
      <c r="L610" s="2"/>
      <c r="M610" s="2"/>
      <c r="N610" s="2"/>
      <c r="O610" s="2"/>
      <c r="P610" s="2"/>
      <c r="Q610" s="2"/>
      <c r="R610" s="2"/>
      <c r="S610" s="2"/>
      <c r="T610" s="2"/>
      <c r="U610" s="2"/>
      <c r="V610" s="2"/>
      <c r="W610" s="157"/>
      <c r="X610" s="157"/>
      <c r="Y610" s="157"/>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customHeight="1">
      <c r="A611" s="2"/>
      <c r="B611" s="2"/>
      <c r="C611" s="2"/>
      <c r="D611" s="2"/>
      <c r="E611" s="2"/>
      <c r="F611" s="2"/>
      <c r="G611" s="2"/>
      <c r="H611" s="2"/>
      <c r="I611" s="2"/>
      <c r="J611" s="2"/>
      <c r="K611" s="2"/>
      <c r="L611" s="2"/>
      <c r="M611" s="2"/>
      <c r="N611" s="2"/>
      <c r="O611" s="2"/>
      <c r="P611" s="2"/>
      <c r="Q611" s="2"/>
      <c r="R611" s="2"/>
      <c r="S611" s="2"/>
      <c r="T611" s="2"/>
      <c r="U611" s="2"/>
      <c r="V611" s="2"/>
      <c r="W611" s="157"/>
      <c r="X611" s="157"/>
      <c r="Y611" s="157"/>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customHeight="1">
      <c r="A612" s="2"/>
      <c r="B612" s="2"/>
      <c r="C612" s="2"/>
      <c r="D612" s="2"/>
      <c r="E612" s="2"/>
      <c r="F612" s="2"/>
      <c r="G612" s="2"/>
      <c r="H612" s="2"/>
      <c r="I612" s="2"/>
      <c r="J612" s="2"/>
      <c r="K612" s="2"/>
      <c r="L612" s="2"/>
      <c r="M612" s="2"/>
      <c r="N612" s="2"/>
      <c r="O612" s="2"/>
      <c r="P612" s="2"/>
      <c r="Q612" s="2"/>
      <c r="R612" s="2"/>
      <c r="S612" s="2"/>
      <c r="T612" s="2"/>
      <c r="U612" s="2"/>
      <c r="V612" s="2"/>
      <c r="W612" s="157"/>
      <c r="X612" s="157"/>
      <c r="Y612" s="157"/>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customHeight="1">
      <c r="A613" s="2"/>
      <c r="B613" s="2"/>
      <c r="C613" s="2"/>
      <c r="D613" s="2"/>
      <c r="E613" s="2"/>
      <c r="F613" s="2"/>
      <c r="G613" s="2"/>
      <c r="H613" s="2"/>
      <c r="I613" s="2"/>
      <c r="J613" s="2"/>
      <c r="K613" s="2"/>
      <c r="L613" s="2"/>
      <c r="M613" s="2"/>
      <c r="N613" s="2"/>
      <c r="O613" s="2"/>
      <c r="P613" s="2"/>
      <c r="Q613" s="2"/>
      <c r="R613" s="2"/>
      <c r="S613" s="2"/>
      <c r="T613" s="2"/>
      <c r="U613" s="2"/>
      <c r="V613" s="2"/>
      <c r="W613" s="157"/>
      <c r="X613" s="157"/>
      <c r="Y613" s="157"/>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customHeight="1">
      <c r="A614" s="2"/>
      <c r="B614" s="2"/>
      <c r="C614" s="2"/>
      <c r="D614" s="2"/>
      <c r="E614" s="2"/>
      <c r="F614" s="2"/>
      <c r="G614" s="2"/>
      <c r="H614" s="2"/>
      <c r="I614" s="2"/>
      <c r="J614" s="2"/>
      <c r="K614" s="2"/>
      <c r="L614" s="2"/>
      <c r="M614" s="2"/>
      <c r="N614" s="2"/>
      <c r="O614" s="2"/>
      <c r="P614" s="2"/>
      <c r="Q614" s="2"/>
      <c r="R614" s="2"/>
      <c r="S614" s="2"/>
      <c r="T614" s="2"/>
      <c r="U614" s="2"/>
      <c r="V614" s="2"/>
      <c r="W614" s="157"/>
      <c r="X614" s="157"/>
      <c r="Y614" s="157"/>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customHeight="1">
      <c r="A615" s="2"/>
      <c r="B615" s="2"/>
      <c r="C615" s="2"/>
      <c r="D615" s="2"/>
      <c r="E615" s="2"/>
      <c r="F615" s="2"/>
      <c r="G615" s="2"/>
      <c r="H615" s="2"/>
      <c r="I615" s="2"/>
      <c r="J615" s="2"/>
      <c r="K615" s="2"/>
      <c r="L615" s="2"/>
      <c r="M615" s="2"/>
      <c r="N615" s="2"/>
      <c r="O615" s="2"/>
      <c r="P615" s="2"/>
      <c r="Q615" s="2"/>
      <c r="R615" s="2"/>
      <c r="S615" s="2"/>
      <c r="T615" s="2"/>
      <c r="U615" s="2"/>
      <c r="V615" s="2"/>
      <c r="W615" s="157"/>
      <c r="X615" s="157"/>
      <c r="Y615" s="157"/>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customHeight="1">
      <c r="A616" s="2"/>
      <c r="B616" s="2"/>
      <c r="C616" s="2"/>
      <c r="D616" s="2"/>
      <c r="E616" s="2"/>
      <c r="F616" s="2"/>
      <c r="G616" s="2"/>
      <c r="H616" s="2"/>
      <c r="I616" s="2"/>
      <c r="J616" s="2"/>
      <c r="K616" s="2"/>
      <c r="L616" s="2"/>
      <c r="M616" s="2"/>
      <c r="N616" s="2"/>
      <c r="O616" s="2"/>
      <c r="P616" s="2"/>
      <c r="Q616" s="2"/>
      <c r="R616" s="2"/>
      <c r="S616" s="2"/>
      <c r="T616" s="2"/>
      <c r="U616" s="2"/>
      <c r="V616" s="2"/>
      <c r="W616" s="157"/>
      <c r="X616" s="157"/>
      <c r="Y616" s="157"/>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customHeight="1">
      <c r="A617" s="2"/>
      <c r="B617" s="2"/>
      <c r="C617" s="2"/>
      <c r="D617" s="2"/>
      <c r="E617" s="2"/>
      <c r="F617" s="2"/>
      <c r="G617" s="2"/>
      <c r="H617" s="2"/>
      <c r="I617" s="2"/>
      <c r="J617" s="2"/>
      <c r="K617" s="2"/>
      <c r="L617" s="2"/>
      <c r="M617" s="2"/>
      <c r="N617" s="2"/>
      <c r="O617" s="2"/>
      <c r="P617" s="2"/>
      <c r="Q617" s="2"/>
      <c r="R617" s="2"/>
      <c r="S617" s="2"/>
      <c r="T617" s="2"/>
      <c r="U617" s="2"/>
      <c r="V617" s="2"/>
      <c r="W617" s="157"/>
      <c r="X617" s="157"/>
      <c r="Y617" s="157"/>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customHeight="1">
      <c r="A618" s="2"/>
      <c r="B618" s="2"/>
      <c r="C618" s="2"/>
      <c r="D618" s="2"/>
      <c r="E618" s="2"/>
      <c r="F618" s="2"/>
      <c r="G618" s="2"/>
      <c r="H618" s="2"/>
      <c r="I618" s="2"/>
      <c r="J618" s="2"/>
      <c r="K618" s="2"/>
      <c r="L618" s="2"/>
      <c r="M618" s="2"/>
      <c r="N618" s="2"/>
      <c r="O618" s="2"/>
      <c r="P618" s="2"/>
      <c r="Q618" s="2"/>
      <c r="R618" s="2"/>
      <c r="S618" s="2"/>
      <c r="T618" s="2"/>
      <c r="U618" s="2"/>
      <c r="V618" s="2"/>
      <c r="W618" s="157"/>
      <c r="X618" s="157"/>
      <c r="Y618" s="157"/>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customHeight="1">
      <c r="A619" s="2"/>
      <c r="B619" s="2"/>
      <c r="C619" s="2"/>
      <c r="D619" s="2"/>
      <c r="E619" s="2"/>
      <c r="F619" s="2"/>
      <c r="G619" s="2"/>
      <c r="H619" s="2"/>
      <c r="I619" s="2"/>
      <c r="J619" s="2"/>
      <c r="K619" s="2"/>
      <c r="L619" s="2"/>
      <c r="M619" s="2"/>
      <c r="N619" s="2"/>
      <c r="O619" s="2"/>
      <c r="P619" s="2"/>
      <c r="Q619" s="2"/>
      <c r="R619" s="2"/>
      <c r="S619" s="2"/>
      <c r="T619" s="2"/>
      <c r="U619" s="2"/>
      <c r="V619" s="2"/>
      <c r="W619" s="157"/>
      <c r="X619" s="157"/>
      <c r="Y619" s="157"/>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customHeight="1">
      <c r="A620" s="2"/>
      <c r="B620" s="2"/>
      <c r="C620" s="2"/>
      <c r="D620" s="2"/>
      <c r="E620" s="2"/>
      <c r="F620" s="2"/>
      <c r="G620" s="2"/>
      <c r="H620" s="2"/>
      <c r="I620" s="2"/>
      <c r="J620" s="2"/>
      <c r="K620" s="2"/>
      <c r="L620" s="2"/>
      <c r="M620" s="2"/>
      <c r="N620" s="2"/>
      <c r="O620" s="2"/>
      <c r="P620" s="2"/>
      <c r="Q620" s="2"/>
      <c r="R620" s="2"/>
      <c r="S620" s="2"/>
      <c r="T620" s="2"/>
      <c r="U620" s="2"/>
      <c r="V620" s="2"/>
      <c r="W620" s="157"/>
      <c r="X620" s="157"/>
      <c r="Y620" s="157"/>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customHeight="1">
      <c r="A621" s="2"/>
      <c r="B621" s="2"/>
      <c r="C621" s="2"/>
      <c r="D621" s="2"/>
      <c r="E621" s="2"/>
      <c r="F621" s="2"/>
      <c r="G621" s="2"/>
      <c r="H621" s="2"/>
      <c r="I621" s="2"/>
      <c r="J621" s="2"/>
      <c r="K621" s="2"/>
      <c r="L621" s="2"/>
      <c r="M621" s="2"/>
      <c r="N621" s="2"/>
      <c r="O621" s="2"/>
      <c r="P621" s="2"/>
      <c r="Q621" s="2"/>
      <c r="R621" s="2"/>
      <c r="S621" s="2"/>
      <c r="T621" s="2"/>
      <c r="U621" s="2"/>
      <c r="V621" s="2"/>
      <c r="W621" s="157"/>
      <c r="X621" s="157"/>
      <c r="Y621" s="157"/>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customHeight="1">
      <c r="A622" s="2"/>
      <c r="B622" s="2"/>
      <c r="C622" s="2"/>
      <c r="D622" s="2"/>
      <c r="E622" s="2"/>
      <c r="F622" s="2"/>
      <c r="G622" s="2"/>
      <c r="H622" s="2"/>
      <c r="I622" s="2"/>
      <c r="J622" s="2"/>
      <c r="K622" s="2"/>
      <c r="L622" s="2"/>
      <c r="M622" s="2"/>
      <c r="N622" s="2"/>
      <c r="O622" s="2"/>
      <c r="P622" s="2"/>
      <c r="Q622" s="2"/>
      <c r="R622" s="2"/>
      <c r="S622" s="2"/>
      <c r="T622" s="2"/>
      <c r="U622" s="2"/>
      <c r="V622" s="2"/>
      <c r="W622" s="157"/>
      <c r="X622" s="157"/>
      <c r="Y622" s="157"/>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customHeight="1">
      <c r="A623" s="2"/>
      <c r="B623" s="2"/>
      <c r="C623" s="2"/>
      <c r="D623" s="2"/>
      <c r="E623" s="2"/>
      <c r="F623" s="2"/>
      <c r="G623" s="2"/>
      <c r="H623" s="2"/>
      <c r="I623" s="2"/>
      <c r="J623" s="2"/>
      <c r="K623" s="2"/>
      <c r="L623" s="2"/>
      <c r="M623" s="2"/>
      <c r="N623" s="2"/>
      <c r="O623" s="2"/>
      <c r="P623" s="2"/>
      <c r="Q623" s="2"/>
      <c r="R623" s="2"/>
      <c r="S623" s="2"/>
      <c r="T623" s="2"/>
      <c r="U623" s="2"/>
      <c r="V623" s="2"/>
      <c r="W623" s="157"/>
      <c r="X623" s="157"/>
      <c r="Y623" s="157"/>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customHeight="1">
      <c r="A624" s="2"/>
      <c r="B624" s="2"/>
      <c r="C624" s="2"/>
      <c r="D624" s="2"/>
      <c r="E624" s="2"/>
      <c r="F624" s="2"/>
      <c r="G624" s="2"/>
      <c r="H624" s="2"/>
      <c r="I624" s="2"/>
      <c r="J624" s="2"/>
      <c r="K624" s="2"/>
      <c r="L624" s="2"/>
      <c r="M624" s="2"/>
      <c r="N624" s="2"/>
      <c r="O624" s="2"/>
      <c r="P624" s="2"/>
      <c r="Q624" s="2"/>
      <c r="R624" s="2"/>
      <c r="S624" s="2"/>
      <c r="T624" s="2"/>
      <c r="U624" s="2"/>
      <c r="V624" s="2"/>
      <c r="W624" s="157"/>
      <c r="X624" s="157"/>
      <c r="Y624" s="157"/>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customHeight="1">
      <c r="A625" s="2"/>
      <c r="B625" s="2"/>
      <c r="C625" s="2"/>
      <c r="D625" s="2"/>
      <c r="E625" s="2"/>
      <c r="F625" s="2"/>
      <c r="G625" s="2"/>
      <c r="H625" s="2"/>
      <c r="I625" s="2"/>
      <c r="J625" s="2"/>
      <c r="K625" s="2"/>
      <c r="L625" s="2"/>
      <c r="M625" s="2"/>
      <c r="N625" s="2"/>
      <c r="O625" s="2"/>
      <c r="P625" s="2"/>
      <c r="Q625" s="2"/>
      <c r="R625" s="2"/>
      <c r="S625" s="2"/>
      <c r="T625" s="2"/>
      <c r="U625" s="2"/>
      <c r="V625" s="2"/>
      <c r="W625" s="157"/>
      <c r="X625" s="157"/>
      <c r="Y625" s="157"/>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customHeight="1">
      <c r="A626" s="2"/>
      <c r="B626" s="2"/>
      <c r="C626" s="2"/>
      <c r="D626" s="2"/>
      <c r="E626" s="2"/>
      <c r="F626" s="2"/>
      <c r="G626" s="2"/>
      <c r="H626" s="2"/>
      <c r="I626" s="2"/>
      <c r="J626" s="2"/>
      <c r="K626" s="2"/>
      <c r="L626" s="2"/>
      <c r="M626" s="2"/>
      <c r="N626" s="2"/>
      <c r="O626" s="2"/>
      <c r="P626" s="2"/>
      <c r="Q626" s="2"/>
      <c r="R626" s="2"/>
      <c r="S626" s="2"/>
      <c r="T626" s="2"/>
      <c r="U626" s="2"/>
      <c r="V626" s="2"/>
      <c r="W626" s="157"/>
      <c r="X626" s="157"/>
      <c r="Y626" s="157"/>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customHeight="1">
      <c r="A627" s="2"/>
      <c r="B627" s="2"/>
      <c r="C627" s="2"/>
      <c r="D627" s="2"/>
      <c r="E627" s="2"/>
      <c r="F627" s="2"/>
      <c r="G627" s="2"/>
      <c r="H627" s="2"/>
      <c r="I627" s="2"/>
      <c r="J627" s="2"/>
      <c r="K627" s="2"/>
      <c r="L627" s="2"/>
      <c r="M627" s="2"/>
      <c r="N627" s="2"/>
      <c r="O627" s="2"/>
      <c r="P627" s="2"/>
      <c r="Q627" s="2"/>
      <c r="R627" s="2"/>
      <c r="S627" s="2"/>
      <c r="T627" s="2"/>
      <c r="U627" s="2"/>
      <c r="V627" s="2"/>
      <c r="W627" s="157"/>
      <c r="X627" s="157"/>
      <c r="Y627" s="157"/>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customHeight="1">
      <c r="A628" s="2"/>
      <c r="B628" s="2"/>
      <c r="C628" s="2"/>
      <c r="D628" s="2"/>
      <c r="E628" s="2"/>
      <c r="F628" s="2"/>
      <c r="G628" s="2"/>
      <c r="H628" s="2"/>
      <c r="I628" s="2"/>
      <c r="J628" s="2"/>
      <c r="K628" s="2"/>
      <c r="L628" s="2"/>
      <c r="M628" s="2"/>
      <c r="N628" s="2"/>
      <c r="O628" s="2"/>
      <c r="P628" s="2"/>
      <c r="Q628" s="2"/>
      <c r="R628" s="2"/>
      <c r="S628" s="2"/>
      <c r="T628" s="2"/>
      <c r="U628" s="2"/>
      <c r="V628" s="2"/>
      <c r="W628" s="157"/>
      <c r="X628" s="157"/>
      <c r="Y628" s="157"/>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customHeight="1">
      <c r="A629" s="2"/>
      <c r="B629" s="2"/>
      <c r="C629" s="2"/>
      <c r="D629" s="2"/>
      <c r="E629" s="2"/>
      <c r="F629" s="2"/>
      <c r="G629" s="2"/>
      <c r="H629" s="2"/>
      <c r="I629" s="2"/>
      <c r="J629" s="2"/>
      <c r="K629" s="2"/>
      <c r="L629" s="2"/>
      <c r="M629" s="2"/>
      <c r="N629" s="2"/>
      <c r="O629" s="2"/>
      <c r="P629" s="2"/>
      <c r="Q629" s="2"/>
      <c r="R629" s="2"/>
      <c r="S629" s="2"/>
      <c r="T629" s="2"/>
      <c r="U629" s="2"/>
      <c r="V629" s="2"/>
      <c r="W629" s="157"/>
      <c r="X629" s="157"/>
      <c r="Y629" s="157"/>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customHeight="1">
      <c r="A630" s="2"/>
      <c r="B630" s="2"/>
      <c r="C630" s="2"/>
      <c r="D630" s="2"/>
      <c r="E630" s="2"/>
      <c r="F630" s="2"/>
      <c r="G630" s="2"/>
      <c r="H630" s="2"/>
      <c r="I630" s="2"/>
      <c r="J630" s="2"/>
      <c r="K630" s="2"/>
      <c r="L630" s="2"/>
      <c r="M630" s="2"/>
      <c r="N630" s="2"/>
      <c r="O630" s="2"/>
      <c r="P630" s="2"/>
      <c r="Q630" s="2"/>
      <c r="R630" s="2"/>
      <c r="S630" s="2"/>
      <c r="T630" s="2"/>
      <c r="U630" s="2"/>
      <c r="V630" s="2"/>
      <c r="W630" s="157"/>
      <c r="X630" s="157"/>
      <c r="Y630" s="157"/>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customHeight="1">
      <c r="A631" s="2"/>
      <c r="B631" s="2"/>
      <c r="C631" s="2"/>
      <c r="D631" s="2"/>
      <c r="E631" s="2"/>
      <c r="F631" s="2"/>
      <c r="G631" s="2"/>
      <c r="H631" s="2"/>
      <c r="I631" s="2"/>
      <c r="J631" s="2"/>
      <c r="K631" s="2"/>
      <c r="L631" s="2"/>
      <c r="M631" s="2"/>
      <c r="N631" s="2"/>
      <c r="O631" s="2"/>
      <c r="P631" s="2"/>
      <c r="Q631" s="2"/>
      <c r="R631" s="2"/>
      <c r="S631" s="2"/>
      <c r="T631" s="2"/>
      <c r="U631" s="2"/>
      <c r="V631" s="2"/>
      <c r="W631" s="157"/>
      <c r="X631" s="157"/>
      <c r="Y631" s="157"/>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customHeight="1">
      <c r="A632" s="2"/>
      <c r="B632" s="2"/>
      <c r="C632" s="2"/>
      <c r="D632" s="2"/>
      <c r="E632" s="2"/>
      <c r="F632" s="2"/>
      <c r="G632" s="2"/>
      <c r="H632" s="2"/>
      <c r="I632" s="2"/>
      <c r="J632" s="2"/>
      <c r="K632" s="2"/>
      <c r="L632" s="2"/>
      <c r="M632" s="2"/>
      <c r="N632" s="2"/>
      <c r="O632" s="2"/>
      <c r="P632" s="2"/>
      <c r="Q632" s="2"/>
      <c r="R632" s="2"/>
      <c r="S632" s="2"/>
      <c r="T632" s="2"/>
      <c r="U632" s="2"/>
      <c r="V632" s="2"/>
      <c r="W632" s="157"/>
      <c r="X632" s="157"/>
      <c r="Y632" s="157"/>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customHeight="1">
      <c r="A633" s="2"/>
      <c r="B633" s="2"/>
      <c r="C633" s="2"/>
      <c r="D633" s="2"/>
      <c r="E633" s="2"/>
      <c r="F633" s="2"/>
      <c r="G633" s="2"/>
      <c r="H633" s="2"/>
      <c r="I633" s="2"/>
      <c r="J633" s="2"/>
      <c r="K633" s="2"/>
      <c r="L633" s="2"/>
      <c r="M633" s="2"/>
      <c r="N633" s="2"/>
      <c r="O633" s="2"/>
      <c r="P633" s="2"/>
      <c r="Q633" s="2"/>
      <c r="R633" s="2"/>
      <c r="S633" s="2"/>
      <c r="T633" s="2"/>
      <c r="U633" s="2"/>
      <c r="V633" s="2"/>
      <c r="W633" s="157"/>
      <c r="X633" s="157"/>
      <c r="Y633" s="157"/>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customHeight="1">
      <c r="A634" s="2"/>
      <c r="B634" s="2"/>
      <c r="C634" s="2"/>
      <c r="D634" s="2"/>
      <c r="E634" s="2"/>
      <c r="F634" s="2"/>
      <c r="G634" s="2"/>
      <c r="H634" s="2"/>
      <c r="I634" s="2"/>
      <c r="J634" s="2"/>
      <c r="K634" s="2"/>
      <c r="L634" s="2"/>
      <c r="M634" s="2"/>
      <c r="N634" s="2"/>
      <c r="O634" s="2"/>
      <c r="P634" s="2"/>
      <c r="Q634" s="2"/>
      <c r="R634" s="2"/>
      <c r="S634" s="2"/>
      <c r="T634" s="2"/>
      <c r="U634" s="2"/>
      <c r="V634" s="2"/>
      <c r="W634" s="157"/>
      <c r="X634" s="157"/>
      <c r="Y634" s="157"/>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customHeight="1">
      <c r="A635" s="2"/>
      <c r="B635" s="2"/>
      <c r="C635" s="2"/>
      <c r="D635" s="2"/>
      <c r="E635" s="2"/>
      <c r="F635" s="2"/>
      <c r="G635" s="2"/>
      <c r="H635" s="2"/>
      <c r="I635" s="2"/>
      <c r="J635" s="2"/>
      <c r="K635" s="2"/>
      <c r="L635" s="2"/>
      <c r="M635" s="2"/>
      <c r="N635" s="2"/>
      <c r="O635" s="2"/>
      <c r="P635" s="2"/>
      <c r="Q635" s="2"/>
      <c r="R635" s="2"/>
      <c r="S635" s="2"/>
      <c r="T635" s="2"/>
      <c r="U635" s="2"/>
      <c r="V635" s="2"/>
      <c r="W635" s="157"/>
      <c r="X635" s="157"/>
      <c r="Y635" s="157"/>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customHeight="1">
      <c r="A636" s="2"/>
      <c r="B636" s="2"/>
      <c r="C636" s="2"/>
      <c r="D636" s="2"/>
      <c r="E636" s="2"/>
      <c r="F636" s="2"/>
      <c r="G636" s="2"/>
      <c r="H636" s="2"/>
      <c r="I636" s="2"/>
      <c r="J636" s="2"/>
      <c r="K636" s="2"/>
      <c r="L636" s="2"/>
      <c r="M636" s="2"/>
      <c r="N636" s="2"/>
      <c r="O636" s="2"/>
      <c r="P636" s="2"/>
      <c r="Q636" s="2"/>
      <c r="R636" s="2"/>
      <c r="S636" s="2"/>
      <c r="T636" s="2"/>
      <c r="U636" s="2"/>
      <c r="V636" s="2"/>
      <c r="W636" s="157"/>
      <c r="X636" s="157"/>
      <c r="Y636" s="157"/>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customHeight="1">
      <c r="A637" s="2"/>
      <c r="B637" s="2"/>
      <c r="C637" s="2"/>
      <c r="D637" s="2"/>
      <c r="E637" s="2"/>
      <c r="F637" s="2"/>
      <c r="G637" s="2"/>
      <c r="H637" s="2"/>
      <c r="I637" s="2"/>
      <c r="J637" s="2"/>
      <c r="K637" s="2"/>
      <c r="L637" s="2"/>
      <c r="M637" s="2"/>
      <c r="N637" s="2"/>
      <c r="O637" s="2"/>
      <c r="P637" s="2"/>
      <c r="Q637" s="2"/>
      <c r="R637" s="2"/>
      <c r="S637" s="2"/>
      <c r="T637" s="2"/>
      <c r="U637" s="2"/>
      <c r="V637" s="2"/>
      <c r="W637" s="157"/>
      <c r="X637" s="157"/>
      <c r="Y637" s="157"/>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customHeight="1">
      <c r="A638" s="2"/>
      <c r="B638" s="2"/>
      <c r="C638" s="2"/>
      <c r="D638" s="2"/>
      <c r="E638" s="2"/>
      <c r="F638" s="2"/>
      <c r="G638" s="2"/>
      <c r="H638" s="2"/>
      <c r="I638" s="2"/>
      <c r="J638" s="2"/>
      <c r="K638" s="2"/>
      <c r="L638" s="2"/>
      <c r="M638" s="2"/>
      <c r="N638" s="2"/>
      <c r="O638" s="2"/>
      <c r="P638" s="2"/>
      <c r="Q638" s="2"/>
      <c r="R638" s="2"/>
      <c r="S638" s="2"/>
      <c r="T638" s="2"/>
      <c r="U638" s="2"/>
      <c r="V638" s="2"/>
      <c r="W638" s="157"/>
      <c r="X638" s="157"/>
      <c r="Y638" s="157"/>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customHeight="1">
      <c r="A639" s="2"/>
      <c r="B639" s="2"/>
      <c r="C639" s="2"/>
      <c r="D639" s="2"/>
      <c r="E639" s="2"/>
      <c r="F639" s="2"/>
      <c r="G639" s="2"/>
      <c r="H639" s="2"/>
      <c r="I639" s="2"/>
      <c r="J639" s="2"/>
      <c r="K639" s="2"/>
      <c r="L639" s="2"/>
      <c r="M639" s="2"/>
      <c r="N639" s="2"/>
      <c r="O639" s="2"/>
      <c r="P639" s="2"/>
      <c r="Q639" s="2"/>
      <c r="R639" s="2"/>
      <c r="S639" s="2"/>
      <c r="T639" s="2"/>
      <c r="U639" s="2"/>
      <c r="V639" s="2"/>
      <c r="W639" s="157"/>
      <c r="X639" s="157"/>
      <c r="Y639" s="157"/>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customHeight="1">
      <c r="A640" s="2"/>
      <c r="B640" s="2"/>
      <c r="C640" s="2"/>
      <c r="D640" s="2"/>
      <c r="E640" s="2"/>
      <c r="F640" s="2"/>
      <c r="G640" s="2"/>
      <c r="H640" s="2"/>
      <c r="I640" s="2"/>
      <c r="J640" s="2"/>
      <c r="K640" s="2"/>
      <c r="L640" s="2"/>
      <c r="M640" s="2"/>
      <c r="N640" s="2"/>
      <c r="O640" s="2"/>
      <c r="P640" s="2"/>
      <c r="Q640" s="2"/>
      <c r="R640" s="2"/>
      <c r="S640" s="2"/>
      <c r="T640" s="2"/>
      <c r="U640" s="2"/>
      <c r="V640" s="2"/>
      <c r="W640" s="157"/>
      <c r="X640" s="157"/>
      <c r="Y640" s="157"/>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customHeight="1">
      <c r="A641" s="2"/>
      <c r="B641" s="2"/>
      <c r="C641" s="2"/>
      <c r="D641" s="2"/>
      <c r="E641" s="2"/>
      <c r="F641" s="2"/>
      <c r="G641" s="2"/>
      <c r="H641" s="2"/>
      <c r="I641" s="2"/>
      <c r="J641" s="2"/>
      <c r="K641" s="2"/>
      <c r="L641" s="2"/>
      <c r="M641" s="2"/>
      <c r="N641" s="2"/>
      <c r="O641" s="2"/>
      <c r="P641" s="2"/>
      <c r="Q641" s="2"/>
      <c r="R641" s="2"/>
      <c r="S641" s="2"/>
      <c r="T641" s="2"/>
      <c r="U641" s="2"/>
      <c r="V641" s="2"/>
      <c r="W641" s="157"/>
      <c r="X641" s="157"/>
      <c r="Y641" s="157"/>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customHeight="1">
      <c r="A642" s="2"/>
      <c r="B642" s="2"/>
      <c r="C642" s="2"/>
      <c r="D642" s="2"/>
      <c r="E642" s="2"/>
      <c r="F642" s="2"/>
      <c r="G642" s="2"/>
      <c r="H642" s="2"/>
      <c r="I642" s="2"/>
      <c r="J642" s="2"/>
      <c r="K642" s="2"/>
      <c r="L642" s="2"/>
      <c r="M642" s="2"/>
      <c r="N642" s="2"/>
      <c r="O642" s="2"/>
      <c r="P642" s="2"/>
      <c r="Q642" s="2"/>
      <c r="R642" s="2"/>
      <c r="S642" s="2"/>
      <c r="T642" s="2"/>
      <c r="U642" s="2"/>
      <c r="V642" s="2"/>
      <c r="W642" s="157"/>
      <c r="X642" s="157"/>
      <c r="Y642" s="157"/>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customHeight="1">
      <c r="A643" s="2"/>
      <c r="B643" s="2"/>
      <c r="C643" s="2"/>
      <c r="D643" s="2"/>
      <c r="E643" s="2"/>
      <c r="F643" s="2"/>
      <c r="G643" s="2"/>
      <c r="H643" s="2"/>
      <c r="I643" s="2"/>
      <c r="J643" s="2"/>
      <c r="K643" s="2"/>
      <c r="L643" s="2"/>
      <c r="M643" s="2"/>
      <c r="N643" s="2"/>
      <c r="O643" s="2"/>
      <c r="P643" s="2"/>
      <c r="Q643" s="2"/>
      <c r="R643" s="2"/>
      <c r="S643" s="2"/>
      <c r="T643" s="2"/>
      <c r="U643" s="2"/>
      <c r="V643" s="2"/>
      <c r="W643" s="157"/>
      <c r="X643" s="157"/>
      <c r="Y643" s="157"/>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customHeight="1">
      <c r="A644" s="2"/>
      <c r="B644" s="2"/>
      <c r="C644" s="2"/>
      <c r="D644" s="2"/>
      <c r="E644" s="2"/>
      <c r="F644" s="2"/>
      <c r="G644" s="2"/>
      <c r="H644" s="2"/>
      <c r="I644" s="2"/>
      <c r="J644" s="2"/>
      <c r="K644" s="2"/>
      <c r="L644" s="2"/>
      <c r="M644" s="2"/>
      <c r="N644" s="2"/>
      <c r="O644" s="2"/>
      <c r="P644" s="2"/>
      <c r="Q644" s="2"/>
      <c r="R644" s="2"/>
      <c r="S644" s="2"/>
      <c r="T644" s="2"/>
      <c r="U644" s="2"/>
      <c r="V644" s="2"/>
      <c r="W644" s="157"/>
      <c r="X644" s="157"/>
      <c r="Y644" s="157"/>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customHeight="1">
      <c r="A645" s="2"/>
      <c r="B645" s="2"/>
      <c r="C645" s="2"/>
      <c r="D645" s="2"/>
      <c r="E645" s="2"/>
      <c r="F645" s="2"/>
      <c r="G645" s="2"/>
      <c r="H645" s="2"/>
      <c r="I645" s="2"/>
      <c r="J645" s="2"/>
      <c r="K645" s="2"/>
      <c r="L645" s="2"/>
      <c r="M645" s="2"/>
      <c r="N645" s="2"/>
      <c r="O645" s="2"/>
      <c r="P645" s="2"/>
      <c r="Q645" s="2"/>
      <c r="R645" s="2"/>
      <c r="S645" s="2"/>
      <c r="T645" s="2"/>
      <c r="U645" s="2"/>
      <c r="V645" s="2"/>
      <c r="W645" s="157"/>
      <c r="X645" s="157"/>
      <c r="Y645" s="157"/>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customHeight="1">
      <c r="A646" s="2"/>
      <c r="B646" s="2"/>
      <c r="C646" s="2"/>
      <c r="D646" s="2"/>
      <c r="E646" s="2"/>
      <c r="F646" s="2"/>
      <c r="G646" s="2"/>
      <c r="H646" s="2"/>
      <c r="I646" s="2"/>
      <c r="J646" s="2"/>
      <c r="K646" s="2"/>
      <c r="L646" s="2"/>
      <c r="M646" s="2"/>
      <c r="N646" s="2"/>
      <c r="O646" s="2"/>
      <c r="P646" s="2"/>
      <c r="Q646" s="2"/>
      <c r="R646" s="2"/>
      <c r="S646" s="2"/>
      <c r="T646" s="2"/>
      <c r="U646" s="2"/>
      <c r="V646" s="2"/>
      <c r="W646" s="157"/>
      <c r="X646" s="157"/>
      <c r="Y646" s="157"/>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customHeight="1">
      <c r="A647" s="2"/>
      <c r="B647" s="2"/>
      <c r="C647" s="2"/>
      <c r="D647" s="2"/>
      <c r="E647" s="2"/>
      <c r="F647" s="2"/>
      <c r="G647" s="2"/>
      <c r="H647" s="2"/>
      <c r="I647" s="2"/>
      <c r="J647" s="2"/>
      <c r="K647" s="2"/>
      <c r="L647" s="2"/>
      <c r="M647" s="2"/>
      <c r="N647" s="2"/>
      <c r="O647" s="2"/>
      <c r="P647" s="2"/>
      <c r="Q647" s="2"/>
      <c r="R647" s="2"/>
      <c r="S647" s="2"/>
      <c r="T647" s="2"/>
      <c r="U647" s="2"/>
      <c r="V647" s="2"/>
      <c r="W647" s="157"/>
      <c r="X647" s="157"/>
      <c r="Y647" s="157"/>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customHeight="1">
      <c r="A648" s="2"/>
      <c r="B648" s="2"/>
      <c r="C648" s="2"/>
      <c r="D648" s="2"/>
      <c r="E648" s="2"/>
      <c r="F648" s="2"/>
      <c r="G648" s="2"/>
      <c r="H648" s="2"/>
      <c r="I648" s="2"/>
      <c r="J648" s="2"/>
      <c r="K648" s="2"/>
      <c r="L648" s="2"/>
      <c r="M648" s="2"/>
      <c r="N648" s="2"/>
      <c r="O648" s="2"/>
      <c r="P648" s="2"/>
      <c r="Q648" s="2"/>
      <c r="R648" s="2"/>
      <c r="S648" s="2"/>
      <c r="T648" s="2"/>
      <c r="U648" s="2"/>
      <c r="V648" s="2"/>
      <c r="W648" s="157"/>
      <c r="X648" s="157"/>
      <c r="Y648" s="157"/>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customHeight="1">
      <c r="A649" s="2"/>
      <c r="B649" s="2"/>
      <c r="C649" s="2"/>
      <c r="D649" s="2"/>
      <c r="E649" s="2"/>
      <c r="F649" s="2"/>
      <c r="G649" s="2"/>
      <c r="H649" s="2"/>
      <c r="I649" s="2"/>
      <c r="J649" s="2"/>
      <c r="K649" s="2"/>
      <c r="L649" s="2"/>
      <c r="M649" s="2"/>
      <c r="N649" s="2"/>
      <c r="O649" s="2"/>
      <c r="P649" s="2"/>
      <c r="Q649" s="2"/>
      <c r="R649" s="2"/>
      <c r="S649" s="2"/>
      <c r="T649" s="2"/>
      <c r="U649" s="2"/>
      <c r="V649" s="2"/>
      <c r="W649" s="157"/>
      <c r="X649" s="157"/>
      <c r="Y649" s="157"/>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customHeight="1">
      <c r="A650" s="2"/>
      <c r="B650" s="2"/>
      <c r="C650" s="2"/>
      <c r="D650" s="2"/>
      <c r="E650" s="2"/>
      <c r="F650" s="2"/>
      <c r="G650" s="2"/>
      <c r="H650" s="2"/>
      <c r="I650" s="2"/>
      <c r="J650" s="2"/>
      <c r="K650" s="2"/>
      <c r="L650" s="2"/>
      <c r="M650" s="2"/>
      <c r="N650" s="2"/>
      <c r="O650" s="2"/>
      <c r="P650" s="2"/>
      <c r="Q650" s="2"/>
      <c r="R650" s="2"/>
      <c r="S650" s="2"/>
      <c r="T650" s="2"/>
      <c r="U650" s="2"/>
      <c r="V650" s="2"/>
      <c r="W650" s="157"/>
      <c r="X650" s="157"/>
      <c r="Y650" s="157"/>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customHeight="1">
      <c r="A651" s="2"/>
      <c r="B651" s="2"/>
      <c r="C651" s="2"/>
      <c r="D651" s="2"/>
      <c r="E651" s="2"/>
      <c r="F651" s="2"/>
      <c r="G651" s="2"/>
      <c r="H651" s="2"/>
      <c r="I651" s="2"/>
      <c r="J651" s="2"/>
      <c r="K651" s="2"/>
      <c r="L651" s="2"/>
      <c r="M651" s="2"/>
      <c r="N651" s="2"/>
      <c r="O651" s="2"/>
      <c r="P651" s="2"/>
      <c r="Q651" s="2"/>
      <c r="R651" s="2"/>
      <c r="S651" s="2"/>
      <c r="T651" s="2"/>
      <c r="U651" s="2"/>
      <c r="V651" s="2"/>
      <c r="W651" s="157"/>
      <c r="X651" s="157"/>
      <c r="Y651" s="157"/>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customHeight="1">
      <c r="A652" s="2"/>
      <c r="B652" s="2"/>
      <c r="C652" s="2"/>
      <c r="D652" s="2"/>
      <c r="E652" s="2"/>
      <c r="F652" s="2"/>
      <c r="G652" s="2"/>
      <c r="H652" s="2"/>
      <c r="I652" s="2"/>
      <c r="J652" s="2"/>
      <c r="K652" s="2"/>
      <c r="L652" s="2"/>
      <c r="M652" s="2"/>
      <c r="N652" s="2"/>
      <c r="O652" s="2"/>
      <c r="P652" s="2"/>
      <c r="Q652" s="2"/>
      <c r="R652" s="2"/>
      <c r="S652" s="2"/>
      <c r="T652" s="2"/>
      <c r="U652" s="2"/>
      <c r="V652" s="2"/>
      <c r="W652" s="157"/>
      <c r="X652" s="157"/>
      <c r="Y652" s="157"/>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customHeight="1">
      <c r="A653" s="2"/>
      <c r="B653" s="2"/>
      <c r="C653" s="2"/>
      <c r="D653" s="2"/>
      <c r="E653" s="2"/>
      <c r="F653" s="2"/>
      <c r="G653" s="2"/>
      <c r="H653" s="2"/>
      <c r="I653" s="2"/>
      <c r="J653" s="2"/>
      <c r="K653" s="2"/>
      <c r="L653" s="2"/>
      <c r="M653" s="2"/>
      <c r="N653" s="2"/>
      <c r="O653" s="2"/>
      <c r="P653" s="2"/>
      <c r="Q653" s="2"/>
      <c r="R653" s="2"/>
      <c r="S653" s="2"/>
      <c r="T653" s="2"/>
      <c r="U653" s="2"/>
      <c r="V653" s="2"/>
      <c r="W653" s="157"/>
      <c r="X653" s="157"/>
      <c r="Y653" s="157"/>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customHeight="1">
      <c r="A654" s="2"/>
      <c r="B654" s="2"/>
      <c r="C654" s="2"/>
      <c r="D654" s="2"/>
      <c r="E654" s="2"/>
      <c r="F654" s="2"/>
      <c r="G654" s="2"/>
      <c r="H654" s="2"/>
      <c r="I654" s="2"/>
      <c r="J654" s="2"/>
      <c r="K654" s="2"/>
      <c r="L654" s="2"/>
      <c r="M654" s="2"/>
      <c r="N654" s="2"/>
      <c r="O654" s="2"/>
      <c r="P654" s="2"/>
      <c r="Q654" s="2"/>
      <c r="R654" s="2"/>
      <c r="S654" s="2"/>
      <c r="T654" s="2"/>
      <c r="U654" s="2"/>
      <c r="V654" s="2"/>
      <c r="W654" s="157"/>
      <c r="X654" s="157"/>
      <c r="Y654" s="157"/>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customHeight="1">
      <c r="A655" s="2"/>
      <c r="B655" s="2"/>
      <c r="C655" s="2"/>
      <c r="D655" s="2"/>
      <c r="E655" s="2"/>
      <c r="F655" s="2"/>
      <c r="G655" s="2"/>
      <c r="H655" s="2"/>
      <c r="I655" s="2"/>
      <c r="J655" s="2"/>
      <c r="K655" s="2"/>
      <c r="L655" s="2"/>
      <c r="M655" s="2"/>
      <c r="N655" s="2"/>
      <c r="O655" s="2"/>
      <c r="P655" s="2"/>
      <c r="Q655" s="2"/>
      <c r="R655" s="2"/>
      <c r="S655" s="2"/>
      <c r="T655" s="2"/>
      <c r="U655" s="2"/>
      <c r="V655" s="2"/>
      <c r="W655" s="157"/>
      <c r="X655" s="157"/>
      <c r="Y655" s="157"/>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customHeight="1">
      <c r="A656" s="2"/>
      <c r="B656" s="2"/>
      <c r="C656" s="2"/>
      <c r="D656" s="2"/>
      <c r="E656" s="2"/>
      <c r="F656" s="2"/>
      <c r="G656" s="2"/>
      <c r="H656" s="2"/>
      <c r="I656" s="2"/>
      <c r="J656" s="2"/>
      <c r="K656" s="2"/>
      <c r="L656" s="2"/>
      <c r="M656" s="2"/>
      <c r="N656" s="2"/>
      <c r="O656" s="2"/>
      <c r="P656" s="2"/>
      <c r="Q656" s="2"/>
      <c r="R656" s="2"/>
      <c r="S656" s="2"/>
      <c r="T656" s="2"/>
      <c r="U656" s="2"/>
      <c r="V656" s="2"/>
      <c r="W656" s="157"/>
      <c r="X656" s="157"/>
      <c r="Y656" s="157"/>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customHeight="1">
      <c r="A657" s="2"/>
      <c r="B657" s="2"/>
      <c r="C657" s="2"/>
      <c r="D657" s="2"/>
      <c r="E657" s="2"/>
      <c r="F657" s="2"/>
      <c r="G657" s="2"/>
      <c r="H657" s="2"/>
      <c r="I657" s="2"/>
      <c r="J657" s="2"/>
      <c r="K657" s="2"/>
      <c r="L657" s="2"/>
      <c r="M657" s="2"/>
      <c r="N657" s="2"/>
      <c r="O657" s="2"/>
      <c r="P657" s="2"/>
      <c r="Q657" s="2"/>
      <c r="R657" s="2"/>
      <c r="S657" s="2"/>
      <c r="T657" s="2"/>
      <c r="U657" s="2"/>
      <c r="V657" s="2"/>
      <c r="W657" s="157"/>
      <c r="X657" s="157"/>
      <c r="Y657" s="157"/>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customHeight="1">
      <c r="A658" s="2"/>
      <c r="B658" s="2"/>
      <c r="C658" s="2"/>
      <c r="D658" s="2"/>
      <c r="E658" s="2"/>
      <c r="F658" s="2"/>
      <c r="G658" s="2"/>
      <c r="H658" s="2"/>
      <c r="I658" s="2"/>
      <c r="J658" s="2"/>
      <c r="K658" s="2"/>
      <c r="L658" s="2"/>
      <c r="M658" s="2"/>
      <c r="N658" s="2"/>
      <c r="O658" s="2"/>
      <c r="P658" s="2"/>
      <c r="Q658" s="2"/>
      <c r="R658" s="2"/>
      <c r="S658" s="2"/>
      <c r="T658" s="2"/>
      <c r="U658" s="2"/>
      <c r="V658" s="2"/>
      <c r="W658" s="157"/>
      <c r="X658" s="157"/>
      <c r="Y658" s="157"/>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customHeight="1">
      <c r="A659" s="2"/>
      <c r="B659" s="2"/>
      <c r="C659" s="2"/>
      <c r="D659" s="2"/>
      <c r="E659" s="2"/>
      <c r="F659" s="2"/>
      <c r="G659" s="2"/>
      <c r="H659" s="2"/>
      <c r="I659" s="2"/>
      <c r="J659" s="2"/>
      <c r="K659" s="2"/>
      <c r="L659" s="2"/>
      <c r="M659" s="2"/>
      <c r="N659" s="2"/>
      <c r="O659" s="2"/>
      <c r="P659" s="2"/>
      <c r="Q659" s="2"/>
      <c r="R659" s="2"/>
      <c r="S659" s="2"/>
      <c r="T659" s="2"/>
      <c r="U659" s="2"/>
      <c r="V659" s="2"/>
      <c r="W659" s="157"/>
      <c r="X659" s="157"/>
      <c r="Y659" s="157"/>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customHeight="1">
      <c r="A660" s="2"/>
      <c r="B660" s="2"/>
      <c r="C660" s="2"/>
      <c r="D660" s="2"/>
      <c r="E660" s="2"/>
      <c r="F660" s="2"/>
      <c r="G660" s="2"/>
      <c r="H660" s="2"/>
      <c r="I660" s="2"/>
      <c r="J660" s="2"/>
      <c r="K660" s="2"/>
      <c r="L660" s="2"/>
      <c r="M660" s="2"/>
      <c r="N660" s="2"/>
      <c r="O660" s="2"/>
      <c r="P660" s="2"/>
      <c r="Q660" s="2"/>
      <c r="R660" s="2"/>
      <c r="S660" s="2"/>
      <c r="T660" s="2"/>
      <c r="U660" s="2"/>
      <c r="V660" s="2"/>
      <c r="W660" s="157"/>
      <c r="X660" s="157"/>
      <c r="Y660" s="157"/>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customHeight="1">
      <c r="A661" s="2"/>
      <c r="B661" s="2"/>
      <c r="C661" s="2"/>
      <c r="D661" s="2"/>
      <c r="E661" s="2"/>
      <c r="F661" s="2"/>
      <c r="G661" s="2"/>
      <c r="H661" s="2"/>
      <c r="I661" s="2"/>
      <c r="J661" s="2"/>
      <c r="K661" s="2"/>
      <c r="L661" s="2"/>
      <c r="M661" s="2"/>
      <c r="N661" s="2"/>
      <c r="O661" s="2"/>
      <c r="P661" s="2"/>
      <c r="Q661" s="2"/>
      <c r="R661" s="2"/>
      <c r="S661" s="2"/>
      <c r="T661" s="2"/>
      <c r="U661" s="2"/>
      <c r="V661" s="2"/>
      <c r="W661" s="157"/>
      <c r="X661" s="157"/>
      <c r="Y661" s="157"/>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customHeight="1">
      <c r="A662" s="2"/>
      <c r="B662" s="2"/>
      <c r="C662" s="2"/>
      <c r="D662" s="2"/>
      <c r="E662" s="2"/>
      <c r="F662" s="2"/>
      <c r="G662" s="2"/>
      <c r="H662" s="2"/>
      <c r="I662" s="2"/>
      <c r="J662" s="2"/>
      <c r="K662" s="2"/>
      <c r="L662" s="2"/>
      <c r="M662" s="2"/>
      <c r="N662" s="2"/>
      <c r="O662" s="2"/>
      <c r="P662" s="2"/>
      <c r="Q662" s="2"/>
      <c r="R662" s="2"/>
      <c r="S662" s="2"/>
      <c r="T662" s="2"/>
      <c r="U662" s="2"/>
      <c r="V662" s="2"/>
      <c r="W662" s="157"/>
      <c r="X662" s="157"/>
      <c r="Y662" s="157"/>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customHeight="1">
      <c r="A663" s="2"/>
      <c r="B663" s="2"/>
      <c r="C663" s="2"/>
      <c r="D663" s="2"/>
      <c r="E663" s="2"/>
      <c r="F663" s="2"/>
      <c r="G663" s="2"/>
      <c r="H663" s="2"/>
      <c r="I663" s="2"/>
      <c r="J663" s="2"/>
      <c r="K663" s="2"/>
      <c r="L663" s="2"/>
      <c r="M663" s="2"/>
      <c r="N663" s="2"/>
      <c r="O663" s="2"/>
      <c r="P663" s="2"/>
      <c r="Q663" s="2"/>
      <c r="R663" s="2"/>
      <c r="S663" s="2"/>
      <c r="T663" s="2"/>
      <c r="U663" s="2"/>
      <c r="V663" s="2"/>
      <c r="W663" s="157"/>
      <c r="X663" s="157"/>
      <c r="Y663" s="157"/>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customHeight="1">
      <c r="A664" s="2"/>
      <c r="B664" s="2"/>
      <c r="C664" s="2"/>
      <c r="D664" s="2"/>
      <c r="E664" s="2"/>
      <c r="F664" s="2"/>
      <c r="G664" s="2"/>
      <c r="H664" s="2"/>
      <c r="I664" s="2"/>
      <c r="J664" s="2"/>
      <c r="K664" s="2"/>
      <c r="L664" s="2"/>
      <c r="M664" s="2"/>
      <c r="N664" s="2"/>
      <c r="O664" s="2"/>
      <c r="P664" s="2"/>
      <c r="Q664" s="2"/>
      <c r="R664" s="2"/>
      <c r="S664" s="2"/>
      <c r="T664" s="2"/>
      <c r="U664" s="2"/>
      <c r="V664" s="2"/>
      <c r="W664" s="157"/>
      <c r="X664" s="157"/>
      <c r="Y664" s="157"/>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customHeight="1">
      <c r="A665" s="2"/>
      <c r="B665" s="2"/>
      <c r="C665" s="2"/>
      <c r="D665" s="2"/>
      <c r="E665" s="2"/>
      <c r="F665" s="2"/>
      <c r="G665" s="2"/>
      <c r="H665" s="2"/>
      <c r="I665" s="2"/>
      <c r="J665" s="2"/>
      <c r="K665" s="2"/>
      <c r="L665" s="2"/>
      <c r="M665" s="2"/>
      <c r="N665" s="2"/>
      <c r="O665" s="2"/>
      <c r="P665" s="2"/>
      <c r="Q665" s="2"/>
      <c r="R665" s="2"/>
      <c r="S665" s="2"/>
      <c r="T665" s="2"/>
      <c r="U665" s="2"/>
      <c r="V665" s="2"/>
      <c r="W665" s="157"/>
      <c r="X665" s="157"/>
      <c r="Y665" s="157"/>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customHeight="1">
      <c r="A666" s="2"/>
      <c r="B666" s="2"/>
      <c r="C666" s="2"/>
      <c r="D666" s="2"/>
      <c r="E666" s="2"/>
      <c r="F666" s="2"/>
      <c r="G666" s="2"/>
      <c r="H666" s="2"/>
      <c r="I666" s="2"/>
      <c r="J666" s="2"/>
      <c r="K666" s="2"/>
      <c r="L666" s="2"/>
      <c r="M666" s="2"/>
      <c r="N666" s="2"/>
      <c r="O666" s="2"/>
      <c r="P666" s="2"/>
      <c r="Q666" s="2"/>
      <c r="R666" s="2"/>
      <c r="S666" s="2"/>
      <c r="T666" s="2"/>
      <c r="U666" s="2"/>
      <c r="V666" s="2"/>
      <c r="W666" s="157"/>
      <c r="X666" s="157"/>
      <c r="Y666" s="157"/>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customHeight="1">
      <c r="A667" s="2"/>
      <c r="B667" s="2"/>
      <c r="C667" s="2"/>
      <c r="D667" s="2"/>
      <c r="E667" s="2"/>
      <c r="F667" s="2"/>
      <c r="G667" s="2"/>
      <c r="H667" s="2"/>
      <c r="I667" s="2"/>
      <c r="J667" s="2"/>
      <c r="K667" s="2"/>
      <c r="L667" s="2"/>
      <c r="M667" s="2"/>
      <c r="N667" s="2"/>
      <c r="O667" s="2"/>
      <c r="P667" s="2"/>
      <c r="Q667" s="2"/>
      <c r="R667" s="2"/>
      <c r="S667" s="2"/>
      <c r="T667" s="2"/>
      <c r="U667" s="2"/>
      <c r="V667" s="2"/>
      <c r="W667" s="157"/>
      <c r="X667" s="157"/>
      <c r="Y667" s="157"/>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customHeight="1">
      <c r="A668" s="2"/>
      <c r="B668" s="2"/>
      <c r="C668" s="2"/>
      <c r="D668" s="2"/>
      <c r="E668" s="2"/>
      <c r="F668" s="2"/>
      <c r="G668" s="2"/>
      <c r="H668" s="2"/>
      <c r="I668" s="2"/>
      <c r="J668" s="2"/>
      <c r="K668" s="2"/>
      <c r="L668" s="2"/>
      <c r="M668" s="2"/>
      <c r="N668" s="2"/>
      <c r="O668" s="2"/>
      <c r="P668" s="2"/>
      <c r="Q668" s="2"/>
      <c r="R668" s="2"/>
      <c r="S668" s="2"/>
      <c r="T668" s="2"/>
      <c r="U668" s="2"/>
      <c r="V668" s="2"/>
      <c r="W668" s="157"/>
      <c r="X668" s="157"/>
      <c r="Y668" s="157"/>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customHeight="1">
      <c r="A669" s="2"/>
      <c r="B669" s="2"/>
      <c r="C669" s="2"/>
      <c r="D669" s="2"/>
      <c r="E669" s="2"/>
      <c r="F669" s="2"/>
      <c r="G669" s="2"/>
      <c r="H669" s="2"/>
      <c r="I669" s="2"/>
      <c r="J669" s="2"/>
      <c r="K669" s="2"/>
      <c r="L669" s="2"/>
      <c r="M669" s="2"/>
      <c r="N669" s="2"/>
      <c r="O669" s="2"/>
      <c r="P669" s="2"/>
      <c r="Q669" s="2"/>
      <c r="R669" s="2"/>
      <c r="S669" s="2"/>
      <c r="T669" s="2"/>
      <c r="U669" s="2"/>
      <c r="V669" s="2"/>
      <c r="W669" s="157"/>
      <c r="X669" s="157"/>
      <c r="Y669" s="157"/>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customHeight="1">
      <c r="A670" s="2"/>
      <c r="B670" s="2"/>
      <c r="C670" s="2"/>
      <c r="D670" s="2"/>
      <c r="E670" s="2"/>
      <c r="F670" s="2"/>
      <c r="G670" s="2"/>
      <c r="H670" s="2"/>
      <c r="I670" s="2"/>
      <c r="J670" s="2"/>
      <c r="K670" s="2"/>
      <c r="L670" s="2"/>
      <c r="M670" s="2"/>
      <c r="N670" s="2"/>
      <c r="O670" s="2"/>
      <c r="P670" s="2"/>
      <c r="Q670" s="2"/>
      <c r="R670" s="2"/>
      <c r="S670" s="2"/>
      <c r="T670" s="2"/>
      <c r="U670" s="2"/>
      <c r="V670" s="2"/>
      <c r="W670" s="157"/>
      <c r="X670" s="157"/>
      <c r="Y670" s="157"/>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customHeight="1">
      <c r="A671" s="2"/>
      <c r="B671" s="2"/>
      <c r="C671" s="2"/>
      <c r="D671" s="2"/>
      <c r="E671" s="2"/>
      <c r="F671" s="2"/>
      <c r="G671" s="2"/>
      <c r="H671" s="2"/>
      <c r="I671" s="2"/>
      <c r="J671" s="2"/>
      <c r="K671" s="2"/>
      <c r="L671" s="2"/>
      <c r="M671" s="2"/>
      <c r="N671" s="2"/>
      <c r="O671" s="2"/>
      <c r="P671" s="2"/>
      <c r="Q671" s="2"/>
      <c r="R671" s="2"/>
      <c r="S671" s="2"/>
      <c r="T671" s="2"/>
      <c r="U671" s="2"/>
      <c r="V671" s="2"/>
      <c r="W671" s="157"/>
      <c r="X671" s="157"/>
      <c r="Y671" s="157"/>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customHeight="1">
      <c r="A672" s="2"/>
      <c r="B672" s="2"/>
      <c r="C672" s="2"/>
      <c r="D672" s="2"/>
      <c r="E672" s="2"/>
      <c r="F672" s="2"/>
      <c r="G672" s="2"/>
      <c r="H672" s="2"/>
      <c r="I672" s="2"/>
      <c r="J672" s="2"/>
      <c r="K672" s="2"/>
      <c r="L672" s="2"/>
      <c r="M672" s="2"/>
      <c r="N672" s="2"/>
      <c r="O672" s="2"/>
      <c r="P672" s="2"/>
      <c r="Q672" s="2"/>
      <c r="R672" s="2"/>
      <c r="S672" s="2"/>
      <c r="T672" s="2"/>
      <c r="U672" s="2"/>
      <c r="V672" s="2"/>
      <c r="W672" s="157"/>
      <c r="X672" s="157"/>
      <c r="Y672" s="157"/>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customHeight="1">
      <c r="A673" s="2"/>
      <c r="B673" s="2"/>
      <c r="C673" s="2"/>
      <c r="D673" s="2"/>
      <c r="E673" s="2"/>
      <c r="F673" s="2"/>
      <c r="G673" s="2"/>
      <c r="H673" s="2"/>
      <c r="I673" s="2"/>
      <c r="J673" s="2"/>
      <c r="K673" s="2"/>
      <c r="L673" s="2"/>
      <c r="M673" s="2"/>
      <c r="N673" s="2"/>
      <c r="O673" s="2"/>
      <c r="P673" s="2"/>
      <c r="Q673" s="2"/>
      <c r="R673" s="2"/>
      <c r="S673" s="2"/>
      <c r="T673" s="2"/>
      <c r="U673" s="2"/>
      <c r="V673" s="2"/>
      <c r="W673" s="157"/>
      <c r="X673" s="157"/>
      <c r="Y673" s="157"/>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customHeight="1">
      <c r="A674" s="2"/>
      <c r="B674" s="2"/>
      <c r="C674" s="2"/>
      <c r="D674" s="2"/>
      <c r="E674" s="2"/>
      <c r="F674" s="2"/>
      <c r="G674" s="2"/>
      <c r="H674" s="2"/>
      <c r="I674" s="2"/>
      <c r="J674" s="2"/>
      <c r="K674" s="2"/>
      <c r="L674" s="2"/>
      <c r="M674" s="2"/>
      <c r="N674" s="2"/>
      <c r="O674" s="2"/>
      <c r="P674" s="2"/>
      <c r="Q674" s="2"/>
      <c r="R674" s="2"/>
      <c r="S674" s="2"/>
      <c r="T674" s="2"/>
      <c r="U674" s="2"/>
      <c r="V674" s="2"/>
      <c r="W674" s="157"/>
      <c r="X674" s="157"/>
      <c r="Y674" s="157"/>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customHeight="1">
      <c r="A675" s="2"/>
      <c r="B675" s="2"/>
      <c r="C675" s="2"/>
      <c r="D675" s="2"/>
      <c r="E675" s="2"/>
      <c r="F675" s="2"/>
      <c r="G675" s="2"/>
      <c r="H675" s="2"/>
      <c r="I675" s="2"/>
      <c r="J675" s="2"/>
      <c r="K675" s="2"/>
      <c r="L675" s="2"/>
      <c r="M675" s="2"/>
      <c r="N675" s="2"/>
      <c r="O675" s="2"/>
      <c r="P675" s="2"/>
      <c r="Q675" s="2"/>
      <c r="R675" s="2"/>
      <c r="S675" s="2"/>
      <c r="T675" s="2"/>
      <c r="U675" s="2"/>
      <c r="V675" s="2"/>
      <c r="W675" s="157"/>
      <c r="X675" s="157"/>
      <c r="Y675" s="157"/>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customHeight="1">
      <c r="A676" s="2"/>
      <c r="B676" s="2"/>
      <c r="C676" s="2"/>
      <c r="D676" s="2"/>
      <c r="E676" s="2"/>
      <c r="F676" s="2"/>
      <c r="G676" s="2"/>
      <c r="H676" s="2"/>
      <c r="I676" s="2"/>
      <c r="J676" s="2"/>
      <c r="K676" s="2"/>
      <c r="L676" s="2"/>
      <c r="M676" s="2"/>
      <c r="N676" s="2"/>
      <c r="O676" s="2"/>
      <c r="P676" s="2"/>
      <c r="Q676" s="2"/>
      <c r="R676" s="2"/>
      <c r="S676" s="2"/>
      <c r="T676" s="2"/>
      <c r="U676" s="2"/>
      <c r="V676" s="2"/>
      <c r="W676" s="157"/>
      <c r="X676" s="157"/>
      <c r="Y676" s="157"/>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customHeight="1">
      <c r="A677" s="2"/>
      <c r="B677" s="2"/>
      <c r="C677" s="2"/>
      <c r="D677" s="2"/>
      <c r="E677" s="2"/>
      <c r="F677" s="2"/>
      <c r="G677" s="2"/>
      <c r="H677" s="2"/>
      <c r="I677" s="2"/>
      <c r="J677" s="2"/>
      <c r="K677" s="2"/>
      <c r="L677" s="2"/>
      <c r="M677" s="2"/>
      <c r="N677" s="2"/>
      <c r="O677" s="2"/>
      <c r="P677" s="2"/>
      <c r="Q677" s="2"/>
      <c r="R677" s="2"/>
      <c r="S677" s="2"/>
      <c r="T677" s="2"/>
      <c r="U677" s="2"/>
      <c r="V677" s="2"/>
      <c r="W677" s="157"/>
      <c r="X677" s="157"/>
      <c r="Y677" s="157"/>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customHeight="1">
      <c r="A678" s="2"/>
      <c r="B678" s="2"/>
      <c r="C678" s="2"/>
      <c r="D678" s="2"/>
      <c r="E678" s="2"/>
      <c r="F678" s="2"/>
      <c r="G678" s="2"/>
      <c r="H678" s="2"/>
      <c r="I678" s="2"/>
      <c r="J678" s="2"/>
      <c r="K678" s="2"/>
      <c r="L678" s="2"/>
      <c r="M678" s="2"/>
      <c r="N678" s="2"/>
      <c r="O678" s="2"/>
      <c r="P678" s="2"/>
      <c r="Q678" s="2"/>
      <c r="R678" s="2"/>
      <c r="S678" s="2"/>
      <c r="T678" s="2"/>
      <c r="U678" s="2"/>
      <c r="V678" s="2"/>
      <c r="W678" s="157"/>
      <c r="X678" s="157"/>
      <c r="Y678" s="157"/>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customHeight="1">
      <c r="A679" s="2"/>
      <c r="B679" s="2"/>
      <c r="C679" s="2"/>
      <c r="D679" s="2"/>
      <c r="E679" s="2"/>
      <c r="F679" s="2"/>
      <c r="G679" s="2"/>
      <c r="H679" s="2"/>
      <c r="I679" s="2"/>
      <c r="J679" s="2"/>
      <c r="K679" s="2"/>
      <c r="L679" s="2"/>
      <c r="M679" s="2"/>
      <c r="N679" s="2"/>
      <c r="O679" s="2"/>
      <c r="P679" s="2"/>
      <c r="Q679" s="2"/>
      <c r="R679" s="2"/>
      <c r="S679" s="2"/>
      <c r="T679" s="2"/>
      <c r="U679" s="2"/>
      <c r="V679" s="2"/>
      <c r="W679" s="157"/>
      <c r="X679" s="157"/>
      <c r="Y679" s="157"/>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customHeight="1">
      <c r="A680" s="2"/>
      <c r="B680" s="2"/>
      <c r="C680" s="2"/>
      <c r="D680" s="2"/>
      <c r="E680" s="2"/>
      <c r="F680" s="2"/>
      <c r="G680" s="2"/>
      <c r="H680" s="2"/>
      <c r="I680" s="2"/>
      <c r="J680" s="2"/>
      <c r="K680" s="2"/>
      <c r="L680" s="2"/>
      <c r="M680" s="2"/>
      <c r="N680" s="2"/>
      <c r="O680" s="2"/>
      <c r="P680" s="2"/>
      <c r="Q680" s="2"/>
      <c r="R680" s="2"/>
      <c r="S680" s="2"/>
      <c r="T680" s="2"/>
      <c r="U680" s="2"/>
      <c r="V680" s="2"/>
      <c r="W680" s="157"/>
      <c r="X680" s="157"/>
      <c r="Y680" s="157"/>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customHeight="1">
      <c r="A681" s="2"/>
      <c r="B681" s="2"/>
      <c r="C681" s="2"/>
      <c r="D681" s="2"/>
      <c r="E681" s="2"/>
      <c r="F681" s="2"/>
      <c r="G681" s="2"/>
      <c r="H681" s="2"/>
      <c r="I681" s="2"/>
      <c r="J681" s="2"/>
      <c r="K681" s="2"/>
      <c r="L681" s="2"/>
      <c r="M681" s="2"/>
      <c r="N681" s="2"/>
      <c r="O681" s="2"/>
      <c r="P681" s="2"/>
      <c r="Q681" s="2"/>
      <c r="R681" s="2"/>
      <c r="S681" s="2"/>
      <c r="T681" s="2"/>
      <c r="U681" s="2"/>
      <c r="V681" s="2"/>
      <c r="W681" s="157"/>
      <c r="X681" s="157"/>
      <c r="Y681" s="157"/>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customHeight="1">
      <c r="A682" s="2"/>
      <c r="B682" s="2"/>
      <c r="C682" s="2"/>
      <c r="D682" s="2"/>
      <c r="E682" s="2"/>
      <c r="F682" s="2"/>
      <c r="G682" s="2"/>
      <c r="H682" s="2"/>
      <c r="I682" s="2"/>
      <c r="J682" s="2"/>
      <c r="K682" s="2"/>
      <c r="L682" s="2"/>
      <c r="M682" s="2"/>
      <c r="N682" s="2"/>
      <c r="O682" s="2"/>
      <c r="P682" s="2"/>
      <c r="Q682" s="2"/>
      <c r="R682" s="2"/>
      <c r="S682" s="2"/>
      <c r="T682" s="2"/>
      <c r="U682" s="2"/>
      <c r="V682" s="2"/>
      <c r="W682" s="157"/>
      <c r="X682" s="157"/>
      <c r="Y682" s="157"/>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customHeight="1">
      <c r="A683" s="2"/>
      <c r="B683" s="2"/>
      <c r="C683" s="2"/>
      <c r="D683" s="2"/>
      <c r="E683" s="2"/>
      <c r="F683" s="2"/>
      <c r="G683" s="2"/>
      <c r="H683" s="2"/>
      <c r="I683" s="2"/>
      <c r="J683" s="2"/>
      <c r="K683" s="2"/>
      <c r="L683" s="2"/>
      <c r="M683" s="2"/>
      <c r="N683" s="2"/>
      <c r="O683" s="2"/>
      <c r="P683" s="2"/>
      <c r="Q683" s="2"/>
      <c r="R683" s="2"/>
      <c r="S683" s="2"/>
      <c r="T683" s="2"/>
      <c r="U683" s="2"/>
      <c r="V683" s="2"/>
      <c r="W683" s="157"/>
      <c r="X683" s="157"/>
      <c r="Y683" s="157"/>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customHeight="1">
      <c r="A684" s="2"/>
      <c r="B684" s="2"/>
      <c r="C684" s="2"/>
      <c r="D684" s="2"/>
      <c r="E684" s="2"/>
      <c r="F684" s="2"/>
      <c r="G684" s="2"/>
      <c r="H684" s="2"/>
      <c r="I684" s="2"/>
      <c r="J684" s="2"/>
      <c r="K684" s="2"/>
      <c r="L684" s="2"/>
      <c r="M684" s="2"/>
      <c r="N684" s="2"/>
      <c r="O684" s="2"/>
      <c r="P684" s="2"/>
      <c r="Q684" s="2"/>
      <c r="R684" s="2"/>
      <c r="S684" s="2"/>
      <c r="T684" s="2"/>
      <c r="U684" s="2"/>
      <c r="V684" s="2"/>
      <c r="W684" s="157"/>
      <c r="X684" s="157"/>
      <c r="Y684" s="157"/>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customHeight="1">
      <c r="A685" s="2"/>
      <c r="B685" s="2"/>
      <c r="C685" s="2"/>
      <c r="D685" s="2"/>
      <c r="E685" s="2"/>
      <c r="F685" s="2"/>
      <c r="G685" s="2"/>
      <c r="H685" s="2"/>
      <c r="I685" s="2"/>
      <c r="J685" s="2"/>
      <c r="K685" s="2"/>
      <c r="L685" s="2"/>
      <c r="M685" s="2"/>
      <c r="N685" s="2"/>
      <c r="O685" s="2"/>
      <c r="P685" s="2"/>
      <c r="Q685" s="2"/>
      <c r="R685" s="2"/>
      <c r="S685" s="2"/>
      <c r="T685" s="2"/>
      <c r="U685" s="2"/>
      <c r="V685" s="2"/>
      <c r="W685" s="157"/>
      <c r="X685" s="157"/>
      <c r="Y685" s="157"/>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customHeight="1">
      <c r="A686" s="2"/>
      <c r="B686" s="2"/>
      <c r="C686" s="2"/>
      <c r="D686" s="2"/>
      <c r="E686" s="2"/>
      <c r="F686" s="2"/>
      <c r="G686" s="2"/>
      <c r="H686" s="2"/>
      <c r="I686" s="2"/>
      <c r="J686" s="2"/>
      <c r="K686" s="2"/>
      <c r="L686" s="2"/>
      <c r="M686" s="2"/>
      <c r="N686" s="2"/>
      <c r="O686" s="2"/>
      <c r="P686" s="2"/>
      <c r="Q686" s="2"/>
      <c r="R686" s="2"/>
      <c r="S686" s="2"/>
      <c r="T686" s="2"/>
      <c r="U686" s="2"/>
      <c r="V686" s="2"/>
      <c r="W686" s="157"/>
      <c r="X686" s="157"/>
      <c r="Y686" s="157"/>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customHeight="1">
      <c r="A687" s="2"/>
      <c r="B687" s="2"/>
      <c r="C687" s="2"/>
      <c r="D687" s="2"/>
      <c r="E687" s="2"/>
      <c r="F687" s="2"/>
      <c r="G687" s="2"/>
      <c r="H687" s="2"/>
      <c r="I687" s="2"/>
      <c r="J687" s="2"/>
      <c r="K687" s="2"/>
      <c r="L687" s="2"/>
      <c r="M687" s="2"/>
      <c r="N687" s="2"/>
      <c r="O687" s="2"/>
      <c r="P687" s="2"/>
      <c r="Q687" s="2"/>
      <c r="R687" s="2"/>
      <c r="S687" s="2"/>
      <c r="T687" s="2"/>
      <c r="U687" s="2"/>
      <c r="V687" s="2"/>
      <c r="W687" s="157"/>
      <c r="X687" s="157"/>
      <c r="Y687" s="157"/>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customHeight="1">
      <c r="A688" s="2"/>
      <c r="B688" s="2"/>
      <c r="C688" s="2"/>
      <c r="D688" s="2"/>
      <c r="E688" s="2"/>
      <c r="F688" s="2"/>
      <c r="G688" s="2"/>
      <c r="H688" s="2"/>
      <c r="I688" s="2"/>
      <c r="J688" s="2"/>
      <c r="K688" s="2"/>
      <c r="L688" s="2"/>
      <c r="M688" s="2"/>
      <c r="N688" s="2"/>
      <c r="O688" s="2"/>
      <c r="P688" s="2"/>
      <c r="Q688" s="2"/>
      <c r="R688" s="2"/>
      <c r="S688" s="2"/>
      <c r="T688" s="2"/>
      <c r="U688" s="2"/>
      <c r="V688" s="2"/>
      <c r="W688" s="157"/>
      <c r="X688" s="157"/>
      <c r="Y688" s="157"/>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customHeight="1">
      <c r="A689" s="2"/>
      <c r="B689" s="2"/>
      <c r="C689" s="2"/>
      <c r="D689" s="2"/>
      <c r="E689" s="2"/>
      <c r="F689" s="2"/>
      <c r="G689" s="2"/>
      <c r="H689" s="2"/>
      <c r="I689" s="2"/>
      <c r="J689" s="2"/>
      <c r="K689" s="2"/>
      <c r="L689" s="2"/>
      <c r="M689" s="2"/>
      <c r="N689" s="2"/>
      <c r="O689" s="2"/>
      <c r="P689" s="2"/>
      <c r="Q689" s="2"/>
      <c r="R689" s="2"/>
      <c r="S689" s="2"/>
      <c r="T689" s="2"/>
      <c r="U689" s="2"/>
      <c r="V689" s="2"/>
      <c r="W689" s="157"/>
      <c r="X689" s="157"/>
      <c r="Y689" s="157"/>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customHeight="1">
      <c r="A690" s="2"/>
      <c r="B690" s="2"/>
      <c r="C690" s="2"/>
      <c r="D690" s="2"/>
      <c r="E690" s="2"/>
      <c r="F690" s="2"/>
      <c r="G690" s="2"/>
      <c r="H690" s="2"/>
      <c r="I690" s="2"/>
      <c r="J690" s="2"/>
      <c r="K690" s="2"/>
      <c r="L690" s="2"/>
      <c r="M690" s="2"/>
      <c r="N690" s="2"/>
      <c r="O690" s="2"/>
      <c r="P690" s="2"/>
      <c r="Q690" s="2"/>
      <c r="R690" s="2"/>
      <c r="S690" s="2"/>
      <c r="T690" s="2"/>
      <c r="U690" s="2"/>
      <c r="V690" s="2"/>
      <c r="W690" s="157"/>
      <c r="X690" s="157"/>
      <c r="Y690" s="157"/>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customHeight="1">
      <c r="A691" s="2"/>
      <c r="B691" s="2"/>
      <c r="C691" s="2"/>
      <c r="D691" s="2"/>
      <c r="E691" s="2"/>
      <c r="F691" s="2"/>
      <c r="G691" s="2"/>
      <c r="H691" s="2"/>
      <c r="I691" s="2"/>
      <c r="J691" s="2"/>
      <c r="K691" s="2"/>
      <c r="L691" s="2"/>
      <c r="M691" s="2"/>
      <c r="N691" s="2"/>
      <c r="O691" s="2"/>
      <c r="P691" s="2"/>
      <c r="Q691" s="2"/>
      <c r="R691" s="2"/>
      <c r="S691" s="2"/>
      <c r="T691" s="2"/>
      <c r="U691" s="2"/>
      <c r="V691" s="2"/>
      <c r="W691" s="157"/>
      <c r="X691" s="157"/>
      <c r="Y691" s="157"/>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customHeight="1">
      <c r="A692" s="2"/>
      <c r="B692" s="2"/>
      <c r="C692" s="2"/>
      <c r="D692" s="2"/>
      <c r="E692" s="2"/>
      <c r="F692" s="2"/>
      <c r="G692" s="2"/>
      <c r="H692" s="2"/>
      <c r="I692" s="2"/>
      <c r="J692" s="2"/>
      <c r="K692" s="2"/>
      <c r="L692" s="2"/>
      <c r="M692" s="2"/>
      <c r="N692" s="2"/>
      <c r="O692" s="2"/>
      <c r="P692" s="2"/>
      <c r="Q692" s="2"/>
      <c r="R692" s="2"/>
      <c r="S692" s="2"/>
      <c r="T692" s="2"/>
      <c r="U692" s="2"/>
      <c r="V692" s="2"/>
      <c r="W692" s="157"/>
      <c r="X692" s="157"/>
      <c r="Y692" s="157"/>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customHeight="1">
      <c r="A693" s="2"/>
      <c r="B693" s="2"/>
      <c r="C693" s="2"/>
      <c r="D693" s="2"/>
      <c r="E693" s="2"/>
      <c r="F693" s="2"/>
      <c r="G693" s="2"/>
      <c r="H693" s="2"/>
      <c r="I693" s="2"/>
      <c r="J693" s="2"/>
      <c r="K693" s="2"/>
      <c r="L693" s="2"/>
      <c r="M693" s="2"/>
      <c r="N693" s="2"/>
      <c r="O693" s="2"/>
      <c r="P693" s="2"/>
      <c r="Q693" s="2"/>
      <c r="R693" s="2"/>
      <c r="S693" s="2"/>
      <c r="T693" s="2"/>
      <c r="U693" s="2"/>
      <c r="V693" s="2"/>
      <c r="W693" s="157"/>
      <c r="X693" s="157"/>
      <c r="Y693" s="157"/>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customHeight="1">
      <c r="A694" s="2"/>
      <c r="B694" s="2"/>
      <c r="C694" s="2"/>
      <c r="D694" s="2"/>
      <c r="E694" s="2"/>
      <c r="F694" s="2"/>
      <c r="G694" s="2"/>
      <c r="H694" s="2"/>
      <c r="I694" s="2"/>
      <c r="J694" s="2"/>
      <c r="K694" s="2"/>
      <c r="L694" s="2"/>
      <c r="M694" s="2"/>
      <c r="N694" s="2"/>
      <c r="O694" s="2"/>
      <c r="P694" s="2"/>
      <c r="Q694" s="2"/>
      <c r="R694" s="2"/>
      <c r="S694" s="2"/>
      <c r="T694" s="2"/>
      <c r="U694" s="2"/>
      <c r="V694" s="2"/>
      <c r="W694" s="157"/>
      <c r="X694" s="157"/>
      <c r="Y694" s="157"/>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customHeight="1">
      <c r="A695" s="2"/>
      <c r="B695" s="2"/>
      <c r="C695" s="2"/>
      <c r="D695" s="2"/>
      <c r="E695" s="2"/>
      <c r="F695" s="2"/>
      <c r="G695" s="2"/>
      <c r="H695" s="2"/>
      <c r="I695" s="2"/>
      <c r="J695" s="2"/>
      <c r="K695" s="2"/>
      <c r="L695" s="2"/>
      <c r="M695" s="2"/>
      <c r="N695" s="2"/>
      <c r="O695" s="2"/>
      <c r="P695" s="2"/>
      <c r="Q695" s="2"/>
      <c r="R695" s="2"/>
      <c r="S695" s="2"/>
      <c r="T695" s="2"/>
      <c r="U695" s="2"/>
      <c r="V695" s="2"/>
      <c r="W695" s="157"/>
      <c r="X695" s="157"/>
      <c r="Y695" s="157"/>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customHeight="1">
      <c r="A696" s="2"/>
      <c r="B696" s="2"/>
      <c r="C696" s="2"/>
      <c r="D696" s="2"/>
      <c r="E696" s="2"/>
      <c r="F696" s="2"/>
      <c r="G696" s="2"/>
      <c r="H696" s="2"/>
      <c r="I696" s="2"/>
      <c r="J696" s="2"/>
      <c r="K696" s="2"/>
      <c r="L696" s="2"/>
      <c r="M696" s="2"/>
      <c r="N696" s="2"/>
      <c r="O696" s="2"/>
      <c r="P696" s="2"/>
      <c r="Q696" s="2"/>
      <c r="R696" s="2"/>
      <c r="S696" s="2"/>
      <c r="T696" s="2"/>
      <c r="U696" s="2"/>
      <c r="V696" s="2"/>
      <c r="W696" s="157"/>
      <c r="X696" s="157"/>
      <c r="Y696" s="157"/>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customHeight="1">
      <c r="A697" s="2"/>
      <c r="B697" s="2"/>
      <c r="C697" s="2"/>
      <c r="D697" s="2"/>
      <c r="E697" s="2"/>
      <c r="F697" s="2"/>
      <c r="G697" s="2"/>
      <c r="H697" s="2"/>
      <c r="I697" s="2"/>
      <c r="J697" s="2"/>
      <c r="K697" s="2"/>
      <c r="L697" s="2"/>
      <c r="M697" s="2"/>
      <c r="N697" s="2"/>
      <c r="O697" s="2"/>
      <c r="P697" s="2"/>
      <c r="Q697" s="2"/>
      <c r="R697" s="2"/>
      <c r="S697" s="2"/>
      <c r="T697" s="2"/>
      <c r="U697" s="2"/>
      <c r="V697" s="2"/>
      <c r="W697" s="157"/>
      <c r="X697" s="157"/>
      <c r="Y697" s="157"/>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customHeight="1">
      <c r="A698" s="2"/>
      <c r="B698" s="2"/>
      <c r="C698" s="2"/>
      <c r="D698" s="2"/>
      <c r="E698" s="2"/>
      <c r="F698" s="2"/>
      <c r="G698" s="2"/>
      <c r="H698" s="2"/>
      <c r="I698" s="2"/>
      <c r="J698" s="2"/>
      <c r="K698" s="2"/>
      <c r="L698" s="2"/>
      <c r="M698" s="2"/>
      <c r="N698" s="2"/>
      <c r="O698" s="2"/>
      <c r="P698" s="2"/>
      <c r="Q698" s="2"/>
      <c r="R698" s="2"/>
      <c r="S698" s="2"/>
      <c r="T698" s="2"/>
      <c r="U698" s="2"/>
      <c r="V698" s="2"/>
      <c r="W698" s="157"/>
      <c r="X698" s="157"/>
      <c r="Y698" s="157"/>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customHeight="1">
      <c r="A699" s="2"/>
      <c r="B699" s="2"/>
      <c r="C699" s="2"/>
      <c r="D699" s="2"/>
      <c r="E699" s="2"/>
      <c r="F699" s="2"/>
      <c r="G699" s="2"/>
      <c r="H699" s="2"/>
      <c r="I699" s="2"/>
      <c r="J699" s="2"/>
      <c r="K699" s="2"/>
      <c r="L699" s="2"/>
      <c r="M699" s="2"/>
      <c r="N699" s="2"/>
      <c r="O699" s="2"/>
      <c r="P699" s="2"/>
      <c r="Q699" s="2"/>
      <c r="R699" s="2"/>
      <c r="S699" s="2"/>
      <c r="T699" s="2"/>
      <c r="U699" s="2"/>
      <c r="V699" s="2"/>
      <c r="W699" s="157"/>
      <c r="X699" s="157"/>
      <c r="Y699" s="157"/>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customHeight="1">
      <c r="A700" s="2"/>
      <c r="B700" s="2"/>
      <c r="C700" s="2"/>
      <c r="D700" s="2"/>
      <c r="E700" s="2"/>
      <c r="F700" s="2"/>
      <c r="G700" s="2"/>
      <c r="H700" s="2"/>
      <c r="I700" s="2"/>
      <c r="J700" s="2"/>
      <c r="K700" s="2"/>
      <c r="L700" s="2"/>
      <c r="M700" s="2"/>
      <c r="N700" s="2"/>
      <c r="O700" s="2"/>
      <c r="P700" s="2"/>
      <c r="Q700" s="2"/>
      <c r="R700" s="2"/>
      <c r="S700" s="2"/>
      <c r="T700" s="2"/>
      <c r="U700" s="2"/>
      <c r="V700" s="2"/>
      <c r="W700" s="157"/>
      <c r="X700" s="157"/>
      <c r="Y700" s="157"/>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customHeight="1">
      <c r="A701" s="2"/>
      <c r="B701" s="2"/>
      <c r="C701" s="2"/>
      <c r="D701" s="2"/>
      <c r="E701" s="2"/>
      <c r="F701" s="2"/>
      <c r="G701" s="2"/>
      <c r="H701" s="2"/>
      <c r="I701" s="2"/>
      <c r="J701" s="2"/>
      <c r="K701" s="2"/>
      <c r="L701" s="2"/>
      <c r="M701" s="2"/>
      <c r="N701" s="2"/>
      <c r="O701" s="2"/>
      <c r="P701" s="2"/>
      <c r="Q701" s="2"/>
      <c r="R701" s="2"/>
      <c r="S701" s="2"/>
      <c r="T701" s="2"/>
      <c r="U701" s="2"/>
      <c r="V701" s="2"/>
      <c r="W701" s="157"/>
      <c r="X701" s="157"/>
      <c r="Y701" s="157"/>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customHeight="1">
      <c r="A702" s="2"/>
      <c r="B702" s="2"/>
      <c r="C702" s="2"/>
      <c r="D702" s="2"/>
      <c r="E702" s="2"/>
      <c r="F702" s="2"/>
      <c r="G702" s="2"/>
      <c r="H702" s="2"/>
      <c r="I702" s="2"/>
      <c r="J702" s="2"/>
      <c r="K702" s="2"/>
      <c r="L702" s="2"/>
      <c r="M702" s="2"/>
      <c r="N702" s="2"/>
      <c r="O702" s="2"/>
      <c r="P702" s="2"/>
      <c r="Q702" s="2"/>
      <c r="R702" s="2"/>
      <c r="S702" s="2"/>
      <c r="T702" s="2"/>
      <c r="U702" s="2"/>
      <c r="V702" s="2"/>
      <c r="W702" s="157"/>
      <c r="X702" s="157"/>
      <c r="Y702" s="157"/>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customHeight="1">
      <c r="A703" s="2"/>
      <c r="B703" s="2"/>
      <c r="C703" s="2"/>
      <c r="D703" s="2"/>
      <c r="E703" s="2"/>
      <c r="F703" s="2"/>
      <c r="G703" s="2"/>
      <c r="H703" s="2"/>
      <c r="I703" s="2"/>
      <c r="J703" s="2"/>
      <c r="K703" s="2"/>
      <c r="L703" s="2"/>
      <c r="M703" s="2"/>
      <c r="N703" s="2"/>
      <c r="O703" s="2"/>
      <c r="P703" s="2"/>
      <c r="Q703" s="2"/>
      <c r="R703" s="2"/>
      <c r="S703" s="2"/>
      <c r="T703" s="2"/>
      <c r="U703" s="2"/>
      <c r="V703" s="2"/>
      <c r="W703" s="157"/>
      <c r="X703" s="157"/>
      <c r="Y703" s="157"/>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customHeight="1">
      <c r="A704" s="2"/>
      <c r="B704" s="2"/>
      <c r="C704" s="2"/>
      <c r="D704" s="2"/>
      <c r="E704" s="2"/>
      <c r="F704" s="2"/>
      <c r="G704" s="2"/>
      <c r="H704" s="2"/>
      <c r="I704" s="2"/>
      <c r="J704" s="2"/>
      <c r="K704" s="2"/>
      <c r="L704" s="2"/>
      <c r="M704" s="2"/>
      <c r="N704" s="2"/>
      <c r="O704" s="2"/>
      <c r="P704" s="2"/>
      <c r="Q704" s="2"/>
      <c r="R704" s="2"/>
      <c r="S704" s="2"/>
      <c r="T704" s="2"/>
      <c r="U704" s="2"/>
      <c r="V704" s="2"/>
      <c r="W704" s="157"/>
      <c r="X704" s="157"/>
      <c r="Y704" s="157"/>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customHeight="1">
      <c r="A705" s="2"/>
      <c r="B705" s="2"/>
      <c r="C705" s="2"/>
      <c r="D705" s="2"/>
      <c r="E705" s="2"/>
      <c r="F705" s="2"/>
      <c r="G705" s="2"/>
      <c r="H705" s="2"/>
      <c r="I705" s="2"/>
      <c r="J705" s="2"/>
      <c r="K705" s="2"/>
      <c r="L705" s="2"/>
      <c r="M705" s="2"/>
      <c r="N705" s="2"/>
      <c r="O705" s="2"/>
      <c r="P705" s="2"/>
      <c r="Q705" s="2"/>
      <c r="R705" s="2"/>
      <c r="S705" s="2"/>
      <c r="T705" s="2"/>
      <c r="U705" s="2"/>
      <c r="V705" s="2"/>
      <c r="W705" s="157"/>
      <c r="X705" s="157"/>
      <c r="Y705" s="157"/>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customHeight="1">
      <c r="A706" s="2"/>
      <c r="B706" s="2"/>
      <c r="C706" s="2"/>
      <c r="D706" s="2"/>
      <c r="E706" s="2"/>
      <c r="F706" s="2"/>
      <c r="G706" s="2"/>
      <c r="H706" s="2"/>
      <c r="I706" s="2"/>
      <c r="J706" s="2"/>
      <c r="K706" s="2"/>
      <c r="L706" s="2"/>
      <c r="M706" s="2"/>
      <c r="N706" s="2"/>
      <c r="O706" s="2"/>
      <c r="P706" s="2"/>
      <c r="Q706" s="2"/>
      <c r="R706" s="2"/>
      <c r="S706" s="2"/>
      <c r="T706" s="2"/>
      <c r="U706" s="2"/>
      <c r="V706" s="2"/>
      <c r="W706" s="157"/>
      <c r="X706" s="157"/>
      <c r="Y706" s="157"/>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customHeight="1">
      <c r="A707" s="2"/>
      <c r="B707" s="2"/>
      <c r="C707" s="2"/>
      <c r="D707" s="2"/>
      <c r="E707" s="2"/>
      <c r="F707" s="2"/>
      <c r="G707" s="2"/>
      <c r="H707" s="2"/>
      <c r="I707" s="2"/>
      <c r="J707" s="2"/>
      <c r="K707" s="2"/>
      <c r="L707" s="2"/>
      <c r="M707" s="2"/>
      <c r="N707" s="2"/>
      <c r="O707" s="2"/>
      <c r="P707" s="2"/>
      <c r="Q707" s="2"/>
      <c r="R707" s="2"/>
      <c r="S707" s="2"/>
      <c r="T707" s="2"/>
      <c r="U707" s="2"/>
      <c r="V707" s="2"/>
      <c r="W707" s="157"/>
      <c r="X707" s="157"/>
      <c r="Y707" s="157"/>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customHeight="1">
      <c r="A708" s="2"/>
      <c r="B708" s="2"/>
      <c r="C708" s="2"/>
      <c r="D708" s="2"/>
      <c r="E708" s="2"/>
      <c r="F708" s="2"/>
      <c r="G708" s="2"/>
      <c r="H708" s="2"/>
      <c r="I708" s="2"/>
      <c r="J708" s="2"/>
      <c r="K708" s="2"/>
      <c r="L708" s="2"/>
      <c r="M708" s="2"/>
      <c r="N708" s="2"/>
      <c r="O708" s="2"/>
      <c r="P708" s="2"/>
      <c r="Q708" s="2"/>
      <c r="R708" s="2"/>
      <c r="S708" s="2"/>
      <c r="T708" s="2"/>
      <c r="U708" s="2"/>
      <c r="V708" s="2"/>
      <c r="W708" s="157"/>
      <c r="X708" s="157"/>
      <c r="Y708" s="157"/>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customHeight="1">
      <c r="A709" s="2"/>
      <c r="B709" s="2"/>
      <c r="C709" s="2"/>
      <c r="D709" s="2"/>
      <c r="E709" s="2"/>
      <c r="F709" s="2"/>
      <c r="G709" s="2"/>
      <c r="H709" s="2"/>
      <c r="I709" s="2"/>
      <c r="J709" s="2"/>
      <c r="K709" s="2"/>
      <c r="L709" s="2"/>
      <c r="M709" s="2"/>
      <c r="N709" s="2"/>
      <c r="O709" s="2"/>
      <c r="P709" s="2"/>
      <c r="Q709" s="2"/>
      <c r="R709" s="2"/>
      <c r="S709" s="2"/>
      <c r="T709" s="2"/>
      <c r="U709" s="2"/>
      <c r="V709" s="2"/>
      <c r="W709" s="157"/>
      <c r="X709" s="157"/>
      <c r="Y709" s="157"/>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customHeight="1">
      <c r="A710" s="2"/>
      <c r="B710" s="2"/>
      <c r="C710" s="2"/>
      <c r="D710" s="2"/>
      <c r="E710" s="2"/>
      <c r="F710" s="2"/>
      <c r="G710" s="2"/>
      <c r="H710" s="2"/>
      <c r="I710" s="2"/>
      <c r="J710" s="2"/>
      <c r="K710" s="2"/>
      <c r="L710" s="2"/>
      <c r="M710" s="2"/>
      <c r="N710" s="2"/>
      <c r="O710" s="2"/>
      <c r="P710" s="2"/>
      <c r="Q710" s="2"/>
      <c r="R710" s="2"/>
      <c r="S710" s="2"/>
      <c r="T710" s="2"/>
      <c r="U710" s="2"/>
      <c r="V710" s="2"/>
      <c r="W710" s="157"/>
      <c r="X710" s="157"/>
      <c r="Y710" s="157"/>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customHeight="1">
      <c r="A711" s="2"/>
      <c r="B711" s="2"/>
      <c r="C711" s="2"/>
      <c r="D711" s="2"/>
      <c r="E711" s="2"/>
      <c r="F711" s="2"/>
      <c r="G711" s="2"/>
      <c r="H711" s="2"/>
      <c r="I711" s="2"/>
      <c r="J711" s="2"/>
      <c r="K711" s="2"/>
      <c r="L711" s="2"/>
      <c r="M711" s="2"/>
      <c r="N711" s="2"/>
      <c r="O711" s="2"/>
      <c r="P711" s="2"/>
      <c r="Q711" s="2"/>
      <c r="R711" s="2"/>
      <c r="S711" s="2"/>
      <c r="T711" s="2"/>
      <c r="U711" s="2"/>
      <c r="V711" s="2"/>
      <c r="W711" s="157"/>
      <c r="X711" s="157"/>
      <c r="Y711" s="157"/>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customHeight="1">
      <c r="A712" s="2"/>
      <c r="B712" s="2"/>
      <c r="C712" s="2"/>
      <c r="D712" s="2"/>
      <c r="E712" s="2"/>
      <c r="F712" s="2"/>
      <c r="G712" s="2"/>
      <c r="H712" s="2"/>
      <c r="I712" s="2"/>
      <c r="J712" s="2"/>
      <c r="K712" s="2"/>
      <c r="L712" s="2"/>
      <c r="M712" s="2"/>
      <c r="N712" s="2"/>
      <c r="O712" s="2"/>
      <c r="P712" s="2"/>
      <c r="Q712" s="2"/>
      <c r="R712" s="2"/>
      <c r="S712" s="2"/>
      <c r="T712" s="2"/>
      <c r="U712" s="2"/>
      <c r="V712" s="2"/>
      <c r="W712" s="157"/>
      <c r="X712" s="157"/>
      <c r="Y712" s="157"/>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customHeight="1">
      <c r="A713" s="2"/>
      <c r="B713" s="2"/>
      <c r="C713" s="2"/>
      <c r="D713" s="2"/>
      <c r="E713" s="2"/>
      <c r="F713" s="2"/>
      <c r="G713" s="2"/>
      <c r="H713" s="2"/>
      <c r="I713" s="2"/>
      <c r="J713" s="2"/>
      <c r="K713" s="2"/>
      <c r="L713" s="2"/>
      <c r="M713" s="2"/>
      <c r="N713" s="2"/>
      <c r="O713" s="2"/>
      <c r="P713" s="2"/>
      <c r="Q713" s="2"/>
      <c r="R713" s="2"/>
      <c r="S713" s="2"/>
      <c r="T713" s="2"/>
      <c r="U713" s="2"/>
      <c r="V713" s="2"/>
      <c r="W713" s="157"/>
      <c r="X713" s="157"/>
      <c r="Y713" s="157"/>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customHeight="1">
      <c r="A714" s="2"/>
      <c r="B714" s="2"/>
      <c r="C714" s="2"/>
      <c r="D714" s="2"/>
      <c r="E714" s="2"/>
      <c r="F714" s="2"/>
      <c r="G714" s="2"/>
      <c r="H714" s="2"/>
      <c r="I714" s="2"/>
      <c r="J714" s="2"/>
      <c r="K714" s="2"/>
      <c r="L714" s="2"/>
      <c r="M714" s="2"/>
      <c r="N714" s="2"/>
      <c r="O714" s="2"/>
      <c r="P714" s="2"/>
      <c r="Q714" s="2"/>
      <c r="R714" s="2"/>
      <c r="S714" s="2"/>
      <c r="T714" s="2"/>
      <c r="U714" s="2"/>
      <c r="V714" s="2"/>
      <c r="W714" s="157"/>
      <c r="X714" s="157"/>
      <c r="Y714" s="157"/>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customHeight="1">
      <c r="A715" s="2"/>
      <c r="B715" s="2"/>
      <c r="C715" s="2"/>
      <c r="D715" s="2"/>
      <c r="E715" s="2"/>
      <c r="F715" s="2"/>
      <c r="G715" s="2"/>
      <c r="H715" s="2"/>
      <c r="I715" s="2"/>
      <c r="J715" s="2"/>
      <c r="K715" s="2"/>
      <c r="L715" s="2"/>
      <c r="M715" s="2"/>
      <c r="N715" s="2"/>
      <c r="O715" s="2"/>
      <c r="P715" s="2"/>
      <c r="Q715" s="2"/>
      <c r="R715" s="2"/>
      <c r="S715" s="2"/>
      <c r="T715" s="2"/>
      <c r="U715" s="2"/>
      <c r="V715" s="2"/>
      <c r="W715" s="157"/>
      <c r="X715" s="157"/>
      <c r="Y715" s="157"/>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customHeight="1">
      <c r="A716" s="2"/>
      <c r="B716" s="2"/>
      <c r="C716" s="2"/>
      <c r="D716" s="2"/>
      <c r="E716" s="2"/>
      <c r="F716" s="2"/>
      <c r="G716" s="2"/>
      <c r="H716" s="2"/>
      <c r="I716" s="2"/>
      <c r="J716" s="2"/>
      <c r="K716" s="2"/>
      <c r="L716" s="2"/>
      <c r="M716" s="2"/>
      <c r="N716" s="2"/>
      <c r="O716" s="2"/>
      <c r="P716" s="2"/>
      <c r="Q716" s="2"/>
      <c r="R716" s="2"/>
      <c r="S716" s="2"/>
      <c r="T716" s="2"/>
      <c r="U716" s="2"/>
      <c r="V716" s="2"/>
      <c r="W716" s="157"/>
      <c r="X716" s="157"/>
      <c r="Y716" s="157"/>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customHeight="1">
      <c r="A717" s="2"/>
      <c r="B717" s="2"/>
      <c r="C717" s="2"/>
      <c r="D717" s="2"/>
      <c r="E717" s="2"/>
      <c r="F717" s="2"/>
      <c r="G717" s="2"/>
      <c r="H717" s="2"/>
      <c r="I717" s="2"/>
      <c r="J717" s="2"/>
      <c r="K717" s="2"/>
      <c r="L717" s="2"/>
      <c r="M717" s="2"/>
      <c r="N717" s="2"/>
      <c r="O717" s="2"/>
      <c r="P717" s="2"/>
      <c r="Q717" s="2"/>
      <c r="R717" s="2"/>
      <c r="S717" s="2"/>
      <c r="T717" s="2"/>
      <c r="U717" s="2"/>
      <c r="V717" s="2"/>
      <c r="W717" s="157"/>
      <c r="X717" s="157"/>
      <c r="Y717" s="157"/>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customHeight="1">
      <c r="A718" s="2"/>
      <c r="B718" s="2"/>
      <c r="C718" s="2"/>
      <c r="D718" s="2"/>
      <c r="E718" s="2"/>
      <c r="F718" s="2"/>
      <c r="G718" s="2"/>
      <c r="H718" s="2"/>
      <c r="I718" s="2"/>
      <c r="J718" s="2"/>
      <c r="K718" s="2"/>
      <c r="L718" s="2"/>
      <c r="M718" s="2"/>
      <c r="N718" s="2"/>
      <c r="O718" s="2"/>
      <c r="P718" s="2"/>
      <c r="Q718" s="2"/>
      <c r="R718" s="2"/>
      <c r="S718" s="2"/>
      <c r="T718" s="2"/>
      <c r="U718" s="2"/>
      <c r="V718" s="2"/>
      <c r="W718" s="157"/>
      <c r="X718" s="157"/>
      <c r="Y718" s="157"/>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customHeight="1">
      <c r="A719" s="2"/>
      <c r="B719" s="2"/>
      <c r="C719" s="2"/>
      <c r="D719" s="2"/>
      <c r="E719" s="2"/>
      <c r="F719" s="2"/>
      <c r="G719" s="2"/>
      <c r="H719" s="2"/>
      <c r="I719" s="2"/>
      <c r="J719" s="2"/>
      <c r="K719" s="2"/>
      <c r="L719" s="2"/>
      <c r="M719" s="2"/>
      <c r="N719" s="2"/>
      <c r="O719" s="2"/>
      <c r="P719" s="2"/>
      <c r="Q719" s="2"/>
      <c r="R719" s="2"/>
      <c r="S719" s="2"/>
      <c r="T719" s="2"/>
      <c r="U719" s="2"/>
      <c r="V719" s="2"/>
      <c r="W719" s="157"/>
      <c r="X719" s="157"/>
      <c r="Y719" s="157"/>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customHeight="1">
      <c r="A720" s="2"/>
      <c r="B720" s="2"/>
      <c r="C720" s="2"/>
      <c r="D720" s="2"/>
      <c r="E720" s="2"/>
      <c r="F720" s="2"/>
      <c r="G720" s="2"/>
      <c r="H720" s="2"/>
      <c r="I720" s="2"/>
      <c r="J720" s="2"/>
      <c r="K720" s="2"/>
      <c r="L720" s="2"/>
      <c r="M720" s="2"/>
      <c r="N720" s="2"/>
      <c r="O720" s="2"/>
      <c r="P720" s="2"/>
      <c r="Q720" s="2"/>
      <c r="R720" s="2"/>
      <c r="S720" s="2"/>
      <c r="T720" s="2"/>
      <c r="U720" s="2"/>
      <c r="V720" s="2"/>
      <c r="W720" s="157"/>
      <c r="X720" s="157"/>
      <c r="Y720" s="157"/>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customHeight="1">
      <c r="A721" s="2"/>
      <c r="B721" s="2"/>
      <c r="C721" s="2"/>
      <c r="D721" s="2"/>
      <c r="E721" s="2"/>
      <c r="F721" s="2"/>
      <c r="G721" s="2"/>
      <c r="H721" s="2"/>
      <c r="I721" s="2"/>
      <c r="J721" s="2"/>
      <c r="K721" s="2"/>
      <c r="L721" s="2"/>
      <c r="M721" s="2"/>
      <c r="N721" s="2"/>
      <c r="O721" s="2"/>
      <c r="P721" s="2"/>
      <c r="Q721" s="2"/>
      <c r="R721" s="2"/>
      <c r="S721" s="2"/>
      <c r="T721" s="2"/>
      <c r="U721" s="2"/>
      <c r="V721" s="2"/>
      <c r="W721" s="157"/>
      <c r="X721" s="157"/>
      <c r="Y721" s="157"/>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customHeight="1">
      <c r="A722" s="2"/>
      <c r="B722" s="2"/>
      <c r="C722" s="2"/>
      <c r="D722" s="2"/>
      <c r="E722" s="2"/>
      <c r="F722" s="2"/>
      <c r="G722" s="2"/>
      <c r="H722" s="2"/>
      <c r="I722" s="2"/>
      <c r="J722" s="2"/>
      <c r="K722" s="2"/>
      <c r="L722" s="2"/>
      <c r="M722" s="2"/>
      <c r="N722" s="2"/>
      <c r="O722" s="2"/>
      <c r="P722" s="2"/>
      <c r="Q722" s="2"/>
      <c r="R722" s="2"/>
      <c r="S722" s="2"/>
      <c r="T722" s="2"/>
      <c r="U722" s="2"/>
      <c r="V722" s="2"/>
      <c r="W722" s="157"/>
      <c r="X722" s="157"/>
      <c r="Y722" s="157"/>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customHeight="1">
      <c r="A723" s="2"/>
      <c r="B723" s="2"/>
      <c r="C723" s="2"/>
      <c r="D723" s="2"/>
      <c r="E723" s="2"/>
      <c r="F723" s="2"/>
      <c r="G723" s="2"/>
      <c r="H723" s="2"/>
      <c r="I723" s="2"/>
      <c r="J723" s="2"/>
      <c r="K723" s="2"/>
      <c r="L723" s="2"/>
      <c r="M723" s="2"/>
      <c r="N723" s="2"/>
      <c r="O723" s="2"/>
      <c r="P723" s="2"/>
      <c r="Q723" s="2"/>
      <c r="R723" s="2"/>
      <c r="S723" s="2"/>
      <c r="T723" s="2"/>
      <c r="U723" s="2"/>
      <c r="V723" s="2"/>
      <c r="W723" s="157"/>
      <c r="X723" s="157"/>
      <c r="Y723" s="157"/>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customHeight="1">
      <c r="A724" s="2"/>
      <c r="B724" s="2"/>
      <c r="C724" s="2"/>
      <c r="D724" s="2"/>
      <c r="E724" s="2"/>
      <c r="F724" s="2"/>
      <c r="G724" s="2"/>
      <c r="H724" s="2"/>
      <c r="I724" s="2"/>
      <c r="J724" s="2"/>
      <c r="K724" s="2"/>
      <c r="L724" s="2"/>
      <c r="M724" s="2"/>
      <c r="N724" s="2"/>
      <c r="O724" s="2"/>
      <c r="P724" s="2"/>
      <c r="Q724" s="2"/>
      <c r="R724" s="2"/>
      <c r="S724" s="2"/>
      <c r="T724" s="2"/>
      <c r="U724" s="2"/>
      <c r="V724" s="2"/>
      <c r="W724" s="157"/>
      <c r="X724" s="157"/>
      <c r="Y724" s="157"/>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customHeight="1">
      <c r="A725" s="2"/>
      <c r="B725" s="2"/>
      <c r="C725" s="2"/>
      <c r="D725" s="2"/>
      <c r="E725" s="2"/>
      <c r="F725" s="2"/>
      <c r="G725" s="2"/>
      <c r="H725" s="2"/>
      <c r="I725" s="2"/>
      <c r="J725" s="2"/>
      <c r="K725" s="2"/>
      <c r="L725" s="2"/>
      <c r="M725" s="2"/>
      <c r="N725" s="2"/>
      <c r="O725" s="2"/>
      <c r="P725" s="2"/>
      <c r="Q725" s="2"/>
      <c r="R725" s="2"/>
      <c r="S725" s="2"/>
      <c r="T725" s="2"/>
      <c r="U725" s="2"/>
      <c r="V725" s="2"/>
      <c r="W725" s="157"/>
      <c r="X725" s="157"/>
      <c r="Y725" s="157"/>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customHeight="1">
      <c r="A726" s="2"/>
      <c r="B726" s="2"/>
      <c r="C726" s="2"/>
      <c r="D726" s="2"/>
      <c r="E726" s="2"/>
      <c r="F726" s="2"/>
      <c r="G726" s="2"/>
      <c r="H726" s="2"/>
      <c r="I726" s="2"/>
      <c r="J726" s="2"/>
      <c r="K726" s="2"/>
      <c r="L726" s="2"/>
      <c r="M726" s="2"/>
      <c r="N726" s="2"/>
      <c r="O726" s="2"/>
      <c r="P726" s="2"/>
      <c r="Q726" s="2"/>
      <c r="R726" s="2"/>
      <c r="S726" s="2"/>
      <c r="T726" s="2"/>
      <c r="U726" s="2"/>
      <c r="V726" s="2"/>
      <c r="W726" s="157"/>
      <c r="X726" s="157"/>
      <c r="Y726" s="157"/>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customHeight="1">
      <c r="A727" s="2"/>
      <c r="B727" s="2"/>
      <c r="C727" s="2"/>
      <c r="D727" s="2"/>
      <c r="E727" s="2"/>
      <c r="F727" s="2"/>
      <c r="G727" s="2"/>
      <c r="H727" s="2"/>
      <c r="I727" s="2"/>
      <c r="J727" s="2"/>
      <c r="K727" s="2"/>
      <c r="L727" s="2"/>
      <c r="M727" s="2"/>
      <c r="N727" s="2"/>
      <c r="O727" s="2"/>
      <c r="P727" s="2"/>
      <c r="Q727" s="2"/>
      <c r="R727" s="2"/>
      <c r="S727" s="2"/>
      <c r="T727" s="2"/>
      <c r="U727" s="2"/>
      <c r="V727" s="2"/>
      <c r="W727" s="157"/>
      <c r="X727" s="157"/>
      <c r="Y727" s="157"/>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customHeight="1">
      <c r="A728" s="2"/>
      <c r="B728" s="2"/>
      <c r="C728" s="2"/>
      <c r="D728" s="2"/>
      <c r="E728" s="2"/>
      <c r="F728" s="2"/>
      <c r="G728" s="2"/>
      <c r="H728" s="2"/>
      <c r="I728" s="2"/>
      <c r="J728" s="2"/>
      <c r="K728" s="2"/>
      <c r="L728" s="2"/>
      <c r="M728" s="2"/>
      <c r="N728" s="2"/>
      <c r="O728" s="2"/>
      <c r="P728" s="2"/>
      <c r="Q728" s="2"/>
      <c r="R728" s="2"/>
      <c r="S728" s="2"/>
      <c r="T728" s="2"/>
      <c r="U728" s="2"/>
      <c r="V728" s="2"/>
      <c r="W728" s="157"/>
      <c r="X728" s="157"/>
      <c r="Y728" s="157"/>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customHeight="1">
      <c r="A729" s="2"/>
      <c r="B729" s="2"/>
      <c r="C729" s="2"/>
      <c r="D729" s="2"/>
      <c r="E729" s="2"/>
      <c r="F729" s="2"/>
      <c r="G729" s="2"/>
      <c r="H729" s="2"/>
      <c r="I729" s="2"/>
      <c r="J729" s="2"/>
      <c r="K729" s="2"/>
      <c r="L729" s="2"/>
      <c r="M729" s="2"/>
      <c r="N729" s="2"/>
      <c r="O729" s="2"/>
      <c r="P729" s="2"/>
      <c r="Q729" s="2"/>
      <c r="R729" s="2"/>
      <c r="S729" s="2"/>
      <c r="T729" s="2"/>
      <c r="U729" s="2"/>
      <c r="V729" s="2"/>
      <c r="W729" s="157"/>
      <c r="X729" s="157"/>
      <c r="Y729" s="157"/>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customHeight="1">
      <c r="A730" s="2"/>
      <c r="B730" s="2"/>
      <c r="C730" s="2"/>
      <c r="D730" s="2"/>
      <c r="E730" s="2"/>
      <c r="F730" s="2"/>
      <c r="G730" s="2"/>
      <c r="H730" s="2"/>
      <c r="I730" s="2"/>
      <c r="J730" s="2"/>
      <c r="K730" s="2"/>
      <c r="L730" s="2"/>
      <c r="M730" s="2"/>
      <c r="N730" s="2"/>
      <c r="O730" s="2"/>
      <c r="P730" s="2"/>
      <c r="Q730" s="2"/>
      <c r="R730" s="2"/>
      <c r="S730" s="2"/>
      <c r="T730" s="2"/>
      <c r="U730" s="2"/>
      <c r="V730" s="2"/>
      <c r="W730" s="157"/>
      <c r="X730" s="157"/>
      <c r="Y730" s="157"/>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customHeight="1">
      <c r="A731" s="2"/>
      <c r="B731" s="2"/>
      <c r="C731" s="2"/>
      <c r="D731" s="2"/>
      <c r="E731" s="2"/>
      <c r="F731" s="2"/>
      <c r="G731" s="2"/>
      <c r="H731" s="2"/>
      <c r="I731" s="2"/>
      <c r="J731" s="2"/>
      <c r="K731" s="2"/>
      <c r="L731" s="2"/>
      <c r="M731" s="2"/>
      <c r="N731" s="2"/>
      <c r="O731" s="2"/>
      <c r="P731" s="2"/>
      <c r="Q731" s="2"/>
      <c r="R731" s="2"/>
      <c r="S731" s="2"/>
      <c r="T731" s="2"/>
      <c r="U731" s="2"/>
      <c r="V731" s="2"/>
      <c r="W731" s="157"/>
      <c r="X731" s="157"/>
      <c r="Y731" s="157"/>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customHeight="1">
      <c r="A732" s="2"/>
      <c r="B732" s="2"/>
      <c r="C732" s="2"/>
      <c r="D732" s="2"/>
      <c r="E732" s="2"/>
      <c r="F732" s="2"/>
      <c r="G732" s="2"/>
      <c r="H732" s="2"/>
      <c r="I732" s="2"/>
      <c r="J732" s="2"/>
      <c r="K732" s="2"/>
      <c r="L732" s="2"/>
      <c r="M732" s="2"/>
      <c r="N732" s="2"/>
      <c r="O732" s="2"/>
      <c r="P732" s="2"/>
      <c r="Q732" s="2"/>
      <c r="R732" s="2"/>
      <c r="S732" s="2"/>
      <c r="T732" s="2"/>
      <c r="U732" s="2"/>
      <c r="V732" s="2"/>
      <c r="W732" s="157"/>
      <c r="X732" s="157"/>
      <c r="Y732" s="157"/>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customHeight="1">
      <c r="A733" s="2"/>
      <c r="B733" s="2"/>
      <c r="C733" s="2"/>
      <c r="D733" s="2"/>
      <c r="E733" s="2"/>
      <c r="F733" s="2"/>
      <c r="G733" s="2"/>
      <c r="H733" s="2"/>
      <c r="I733" s="2"/>
      <c r="J733" s="2"/>
      <c r="K733" s="2"/>
      <c r="L733" s="2"/>
      <c r="M733" s="2"/>
      <c r="N733" s="2"/>
      <c r="O733" s="2"/>
      <c r="P733" s="2"/>
      <c r="Q733" s="2"/>
      <c r="R733" s="2"/>
      <c r="S733" s="2"/>
      <c r="T733" s="2"/>
      <c r="U733" s="2"/>
      <c r="V733" s="2"/>
      <c r="W733" s="157"/>
      <c r="X733" s="157"/>
      <c r="Y733" s="157"/>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customHeight="1">
      <c r="A734" s="2"/>
      <c r="B734" s="2"/>
      <c r="C734" s="2"/>
      <c r="D734" s="2"/>
      <c r="E734" s="2"/>
      <c r="F734" s="2"/>
      <c r="G734" s="2"/>
      <c r="H734" s="2"/>
      <c r="I734" s="2"/>
      <c r="J734" s="2"/>
      <c r="K734" s="2"/>
      <c r="L734" s="2"/>
      <c r="M734" s="2"/>
      <c r="N734" s="2"/>
      <c r="O734" s="2"/>
      <c r="P734" s="2"/>
      <c r="Q734" s="2"/>
      <c r="R734" s="2"/>
      <c r="S734" s="2"/>
      <c r="T734" s="2"/>
      <c r="U734" s="2"/>
      <c r="V734" s="2"/>
      <c r="W734" s="157"/>
      <c r="X734" s="157"/>
      <c r="Y734" s="157"/>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customHeight="1">
      <c r="A735" s="2"/>
      <c r="B735" s="2"/>
      <c r="C735" s="2"/>
      <c r="D735" s="2"/>
      <c r="E735" s="2"/>
      <c r="F735" s="2"/>
      <c r="G735" s="2"/>
      <c r="H735" s="2"/>
      <c r="I735" s="2"/>
      <c r="J735" s="2"/>
      <c r="K735" s="2"/>
      <c r="L735" s="2"/>
      <c r="M735" s="2"/>
      <c r="N735" s="2"/>
      <c r="O735" s="2"/>
      <c r="P735" s="2"/>
      <c r="Q735" s="2"/>
      <c r="R735" s="2"/>
      <c r="S735" s="2"/>
      <c r="T735" s="2"/>
      <c r="U735" s="2"/>
      <c r="V735" s="2"/>
      <c r="W735" s="157"/>
      <c r="X735" s="157"/>
      <c r="Y735" s="157"/>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customHeight="1">
      <c r="A736" s="2"/>
      <c r="B736" s="2"/>
      <c r="C736" s="2"/>
      <c r="D736" s="2"/>
      <c r="E736" s="2"/>
      <c r="F736" s="2"/>
      <c r="G736" s="2"/>
      <c r="H736" s="2"/>
      <c r="I736" s="2"/>
      <c r="J736" s="2"/>
      <c r="K736" s="2"/>
      <c r="L736" s="2"/>
      <c r="M736" s="2"/>
      <c r="N736" s="2"/>
      <c r="O736" s="2"/>
      <c r="P736" s="2"/>
      <c r="Q736" s="2"/>
      <c r="R736" s="2"/>
      <c r="S736" s="2"/>
      <c r="T736" s="2"/>
      <c r="U736" s="2"/>
      <c r="V736" s="2"/>
      <c r="W736" s="157"/>
      <c r="X736" s="157"/>
      <c r="Y736" s="157"/>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customHeight="1">
      <c r="A737" s="2"/>
      <c r="B737" s="2"/>
      <c r="C737" s="2"/>
      <c r="D737" s="2"/>
      <c r="E737" s="2"/>
      <c r="F737" s="2"/>
      <c r="G737" s="2"/>
      <c r="H737" s="2"/>
      <c r="I737" s="2"/>
      <c r="J737" s="2"/>
      <c r="K737" s="2"/>
      <c r="L737" s="2"/>
      <c r="M737" s="2"/>
      <c r="N737" s="2"/>
      <c r="O737" s="2"/>
      <c r="P737" s="2"/>
      <c r="Q737" s="2"/>
      <c r="R737" s="2"/>
      <c r="S737" s="2"/>
      <c r="T737" s="2"/>
      <c r="U737" s="2"/>
      <c r="V737" s="2"/>
      <c r="W737" s="157"/>
      <c r="X737" s="157"/>
      <c r="Y737" s="157"/>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customHeight="1">
      <c r="A738" s="2"/>
      <c r="B738" s="2"/>
      <c r="C738" s="2"/>
      <c r="D738" s="2"/>
      <c r="E738" s="2"/>
      <c r="F738" s="2"/>
      <c r="G738" s="2"/>
      <c r="H738" s="2"/>
      <c r="I738" s="2"/>
      <c r="J738" s="2"/>
      <c r="K738" s="2"/>
      <c r="L738" s="2"/>
      <c r="M738" s="2"/>
      <c r="N738" s="2"/>
      <c r="O738" s="2"/>
      <c r="P738" s="2"/>
      <c r="Q738" s="2"/>
      <c r="R738" s="2"/>
      <c r="S738" s="2"/>
      <c r="T738" s="2"/>
      <c r="U738" s="2"/>
      <c r="V738" s="2"/>
      <c r="W738" s="157"/>
      <c r="X738" s="157"/>
      <c r="Y738" s="157"/>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customHeight="1">
      <c r="A739" s="2"/>
      <c r="B739" s="2"/>
      <c r="C739" s="2"/>
      <c r="D739" s="2"/>
      <c r="E739" s="2"/>
      <c r="F739" s="2"/>
      <c r="G739" s="2"/>
      <c r="H739" s="2"/>
      <c r="I739" s="2"/>
      <c r="J739" s="2"/>
      <c r="K739" s="2"/>
      <c r="L739" s="2"/>
      <c r="M739" s="2"/>
      <c r="N739" s="2"/>
      <c r="O739" s="2"/>
      <c r="P739" s="2"/>
      <c r="Q739" s="2"/>
      <c r="R739" s="2"/>
      <c r="S739" s="2"/>
      <c r="T739" s="2"/>
      <c r="U739" s="2"/>
      <c r="V739" s="2"/>
      <c r="W739" s="157"/>
      <c r="X739" s="157"/>
      <c r="Y739" s="157"/>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customHeight="1">
      <c r="A740" s="2"/>
      <c r="B740" s="2"/>
      <c r="C740" s="2"/>
      <c r="D740" s="2"/>
      <c r="E740" s="2"/>
      <c r="F740" s="2"/>
      <c r="G740" s="2"/>
      <c r="H740" s="2"/>
      <c r="I740" s="2"/>
      <c r="J740" s="2"/>
      <c r="K740" s="2"/>
      <c r="L740" s="2"/>
      <c r="M740" s="2"/>
      <c r="N740" s="2"/>
      <c r="O740" s="2"/>
      <c r="P740" s="2"/>
      <c r="Q740" s="2"/>
      <c r="R740" s="2"/>
      <c r="S740" s="2"/>
      <c r="T740" s="2"/>
      <c r="U740" s="2"/>
      <c r="V740" s="2"/>
      <c r="W740" s="157"/>
      <c r="X740" s="157"/>
      <c r="Y740" s="157"/>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customHeight="1">
      <c r="A741" s="2"/>
      <c r="B741" s="2"/>
      <c r="C741" s="2"/>
      <c r="D741" s="2"/>
      <c r="E741" s="2"/>
      <c r="F741" s="2"/>
      <c r="G741" s="2"/>
      <c r="H741" s="2"/>
      <c r="I741" s="2"/>
      <c r="J741" s="2"/>
      <c r="K741" s="2"/>
      <c r="L741" s="2"/>
      <c r="M741" s="2"/>
      <c r="N741" s="2"/>
      <c r="O741" s="2"/>
      <c r="P741" s="2"/>
      <c r="Q741" s="2"/>
      <c r="R741" s="2"/>
      <c r="S741" s="2"/>
      <c r="T741" s="2"/>
      <c r="U741" s="2"/>
      <c r="V741" s="2"/>
      <c r="W741" s="157"/>
      <c r="X741" s="157"/>
      <c r="Y741" s="157"/>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customHeight="1">
      <c r="A742" s="2"/>
      <c r="B742" s="2"/>
      <c r="C742" s="2"/>
      <c r="D742" s="2"/>
      <c r="E742" s="2"/>
      <c r="F742" s="2"/>
      <c r="G742" s="2"/>
      <c r="H742" s="2"/>
      <c r="I742" s="2"/>
      <c r="J742" s="2"/>
      <c r="K742" s="2"/>
      <c r="L742" s="2"/>
      <c r="M742" s="2"/>
      <c r="N742" s="2"/>
      <c r="O742" s="2"/>
      <c r="P742" s="2"/>
      <c r="Q742" s="2"/>
      <c r="R742" s="2"/>
      <c r="S742" s="2"/>
      <c r="T742" s="2"/>
      <c r="U742" s="2"/>
      <c r="V742" s="2"/>
      <c r="W742" s="157"/>
      <c r="X742" s="157"/>
      <c r="Y742" s="157"/>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customHeight="1">
      <c r="A743" s="2"/>
      <c r="B743" s="2"/>
      <c r="C743" s="2"/>
      <c r="D743" s="2"/>
      <c r="E743" s="2"/>
      <c r="F743" s="2"/>
      <c r="G743" s="2"/>
      <c r="H743" s="2"/>
      <c r="I743" s="2"/>
      <c r="J743" s="2"/>
      <c r="K743" s="2"/>
      <c r="L743" s="2"/>
      <c r="M743" s="2"/>
      <c r="N743" s="2"/>
      <c r="O743" s="2"/>
      <c r="P743" s="2"/>
      <c r="Q743" s="2"/>
      <c r="R743" s="2"/>
      <c r="S743" s="2"/>
      <c r="T743" s="2"/>
      <c r="U743" s="2"/>
      <c r="V743" s="2"/>
      <c r="W743" s="157"/>
      <c r="X743" s="157"/>
      <c r="Y743" s="157"/>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customHeight="1">
      <c r="A744" s="2"/>
      <c r="B744" s="2"/>
      <c r="C744" s="2"/>
      <c r="D744" s="2"/>
      <c r="E744" s="2"/>
      <c r="F744" s="2"/>
      <c r="G744" s="2"/>
      <c r="H744" s="2"/>
      <c r="I744" s="2"/>
      <c r="J744" s="2"/>
      <c r="K744" s="2"/>
      <c r="L744" s="2"/>
      <c r="M744" s="2"/>
      <c r="N744" s="2"/>
      <c r="O744" s="2"/>
      <c r="P744" s="2"/>
      <c r="Q744" s="2"/>
      <c r="R744" s="2"/>
      <c r="S744" s="2"/>
      <c r="T744" s="2"/>
      <c r="U744" s="2"/>
      <c r="V744" s="2"/>
      <c r="W744" s="157"/>
      <c r="X744" s="157"/>
      <c r="Y744" s="157"/>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customHeight="1">
      <c r="A745" s="2"/>
      <c r="B745" s="2"/>
      <c r="C745" s="2"/>
      <c r="D745" s="2"/>
      <c r="E745" s="2"/>
      <c r="F745" s="2"/>
      <c r="G745" s="2"/>
      <c r="H745" s="2"/>
      <c r="I745" s="2"/>
      <c r="J745" s="2"/>
      <c r="K745" s="2"/>
      <c r="L745" s="2"/>
      <c r="M745" s="2"/>
      <c r="N745" s="2"/>
      <c r="O745" s="2"/>
      <c r="P745" s="2"/>
      <c r="Q745" s="2"/>
      <c r="R745" s="2"/>
      <c r="S745" s="2"/>
      <c r="T745" s="2"/>
      <c r="U745" s="2"/>
      <c r="V745" s="2"/>
      <c r="W745" s="157"/>
      <c r="X745" s="157"/>
      <c r="Y745" s="157"/>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customHeight="1">
      <c r="A746" s="2"/>
      <c r="B746" s="2"/>
      <c r="C746" s="2"/>
      <c r="D746" s="2"/>
      <c r="E746" s="2"/>
      <c r="F746" s="2"/>
      <c r="G746" s="2"/>
      <c r="H746" s="2"/>
      <c r="I746" s="2"/>
      <c r="J746" s="2"/>
      <c r="K746" s="2"/>
      <c r="L746" s="2"/>
      <c r="M746" s="2"/>
      <c r="N746" s="2"/>
      <c r="O746" s="2"/>
      <c r="P746" s="2"/>
      <c r="Q746" s="2"/>
      <c r="R746" s="2"/>
      <c r="S746" s="2"/>
      <c r="T746" s="2"/>
      <c r="U746" s="2"/>
      <c r="V746" s="2"/>
      <c r="W746" s="157"/>
      <c r="X746" s="157"/>
      <c r="Y746" s="157"/>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customHeight="1">
      <c r="A747" s="2"/>
      <c r="B747" s="2"/>
      <c r="C747" s="2"/>
      <c r="D747" s="2"/>
      <c r="E747" s="2"/>
      <c r="F747" s="2"/>
      <c r="G747" s="2"/>
      <c r="H747" s="2"/>
      <c r="I747" s="2"/>
      <c r="J747" s="2"/>
      <c r="K747" s="2"/>
      <c r="L747" s="2"/>
      <c r="M747" s="2"/>
      <c r="N747" s="2"/>
      <c r="O747" s="2"/>
      <c r="P747" s="2"/>
      <c r="Q747" s="2"/>
      <c r="R747" s="2"/>
      <c r="S747" s="2"/>
      <c r="T747" s="2"/>
      <c r="U747" s="2"/>
      <c r="V747" s="2"/>
      <c r="W747" s="157"/>
      <c r="X747" s="157"/>
      <c r="Y747" s="157"/>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customHeight="1">
      <c r="A748" s="2"/>
      <c r="B748" s="2"/>
      <c r="C748" s="2"/>
      <c r="D748" s="2"/>
      <c r="E748" s="2"/>
      <c r="F748" s="2"/>
      <c r="G748" s="2"/>
      <c r="H748" s="2"/>
      <c r="I748" s="2"/>
      <c r="J748" s="2"/>
      <c r="K748" s="2"/>
      <c r="L748" s="2"/>
      <c r="M748" s="2"/>
      <c r="N748" s="2"/>
      <c r="O748" s="2"/>
      <c r="P748" s="2"/>
      <c r="Q748" s="2"/>
      <c r="R748" s="2"/>
      <c r="S748" s="2"/>
      <c r="T748" s="2"/>
      <c r="U748" s="2"/>
      <c r="V748" s="2"/>
      <c r="W748" s="157"/>
      <c r="X748" s="157"/>
      <c r="Y748" s="157"/>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customHeight="1">
      <c r="A749" s="2"/>
      <c r="B749" s="2"/>
      <c r="C749" s="2"/>
      <c r="D749" s="2"/>
      <c r="E749" s="2"/>
      <c r="F749" s="2"/>
      <c r="G749" s="2"/>
      <c r="H749" s="2"/>
      <c r="I749" s="2"/>
      <c r="J749" s="2"/>
      <c r="K749" s="2"/>
      <c r="L749" s="2"/>
      <c r="M749" s="2"/>
      <c r="N749" s="2"/>
      <c r="O749" s="2"/>
      <c r="P749" s="2"/>
      <c r="Q749" s="2"/>
      <c r="R749" s="2"/>
      <c r="S749" s="2"/>
      <c r="T749" s="2"/>
      <c r="U749" s="2"/>
      <c r="V749" s="2"/>
      <c r="W749" s="157"/>
      <c r="X749" s="157"/>
      <c r="Y749" s="157"/>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customHeight="1">
      <c r="A750" s="2"/>
      <c r="B750" s="2"/>
      <c r="C750" s="2"/>
      <c r="D750" s="2"/>
      <c r="E750" s="2"/>
      <c r="F750" s="2"/>
      <c r="G750" s="2"/>
      <c r="H750" s="2"/>
      <c r="I750" s="2"/>
      <c r="J750" s="2"/>
      <c r="K750" s="2"/>
      <c r="L750" s="2"/>
      <c r="M750" s="2"/>
      <c r="N750" s="2"/>
      <c r="O750" s="2"/>
      <c r="P750" s="2"/>
      <c r="Q750" s="2"/>
      <c r="R750" s="2"/>
      <c r="S750" s="2"/>
      <c r="T750" s="2"/>
      <c r="U750" s="2"/>
      <c r="V750" s="2"/>
      <c r="W750" s="157"/>
      <c r="X750" s="157"/>
      <c r="Y750" s="157"/>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customHeight="1">
      <c r="A751" s="2"/>
      <c r="B751" s="2"/>
      <c r="C751" s="2"/>
      <c r="D751" s="2"/>
      <c r="E751" s="2"/>
      <c r="F751" s="2"/>
      <c r="G751" s="2"/>
      <c r="H751" s="2"/>
      <c r="I751" s="2"/>
      <c r="J751" s="2"/>
      <c r="K751" s="2"/>
      <c r="L751" s="2"/>
      <c r="M751" s="2"/>
      <c r="N751" s="2"/>
      <c r="O751" s="2"/>
      <c r="P751" s="2"/>
      <c r="Q751" s="2"/>
      <c r="R751" s="2"/>
      <c r="S751" s="2"/>
      <c r="T751" s="2"/>
      <c r="U751" s="2"/>
      <c r="V751" s="2"/>
      <c r="W751" s="157"/>
      <c r="X751" s="157"/>
      <c r="Y751" s="157"/>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customHeight="1">
      <c r="A752" s="2"/>
      <c r="B752" s="2"/>
      <c r="C752" s="2"/>
      <c r="D752" s="2"/>
      <c r="E752" s="2"/>
      <c r="F752" s="2"/>
      <c r="G752" s="2"/>
      <c r="H752" s="2"/>
      <c r="I752" s="2"/>
      <c r="J752" s="2"/>
      <c r="K752" s="2"/>
      <c r="L752" s="2"/>
      <c r="M752" s="2"/>
      <c r="N752" s="2"/>
      <c r="O752" s="2"/>
      <c r="P752" s="2"/>
      <c r="Q752" s="2"/>
      <c r="R752" s="2"/>
      <c r="S752" s="2"/>
      <c r="T752" s="2"/>
      <c r="U752" s="2"/>
      <c r="V752" s="2"/>
      <c r="W752" s="157"/>
      <c r="X752" s="157"/>
      <c r="Y752" s="157"/>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customHeight="1">
      <c r="A753" s="2"/>
      <c r="B753" s="2"/>
      <c r="C753" s="2"/>
      <c r="D753" s="2"/>
      <c r="E753" s="2"/>
      <c r="F753" s="2"/>
      <c r="G753" s="2"/>
      <c r="H753" s="2"/>
      <c r="I753" s="2"/>
      <c r="J753" s="2"/>
      <c r="K753" s="2"/>
      <c r="L753" s="2"/>
      <c r="M753" s="2"/>
      <c r="N753" s="2"/>
      <c r="O753" s="2"/>
      <c r="P753" s="2"/>
      <c r="Q753" s="2"/>
      <c r="R753" s="2"/>
      <c r="S753" s="2"/>
      <c r="T753" s="2"/>
      <c r="U753" s="2"/>
      <c r="V753" s="2"/>
      <c r="W753" s="157"/>
      <c r="X753" s="157"/>
      <c r="Y753" s="157"/>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customHeight="1">
      <c r="A754" s="2"/>
      <c r="B754" s="2"/>
      <c r="C754" s="2"/>
      <c r="D754" s="2"/>
      <c r="E754" s="2"/>
      <c r="F754" s="2"/>
      <c r="G754" s="2"/>
      <c r="H754" s="2"/>
      <c r="I754" s="2"/>
      <c r="J754" s="2"/>
      <c r="K754" s="2"/>
      <c r="L754" s="2"/>
      <c r="M754" s="2"/>
      <c r="N754" s="2"/>
      <c r="O754" s="2"/>
      <c r="P754" s="2"/>
      <c r="Q754" s="2"/>
      <c r="R754" s="2"/>
      <c r="S754" s="2"/>
      <c r="T754" s="2"/>
      <c r="U754" s="2"/>
      <c r="V754" s="2"/>
      <c r="W754" s="157"/>
      <c r="X754" s="157"/>
      <c r="Y754" s="157"/>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customHeight="1">
      <c r="A755" s="2"/>
      <c r="B755" s="2"/>
      <c r="C755" s="2"/>
      <c r="D755" s="2"/>
      <c r="E755" s="2"/>
      <c r="F755" s="2"/>
      <c r="G755" s="2"/>
      <c r="H755" s="2"/>
      <c r="I755" s="2"/>
      <c r="J755" s="2"/>
      <c r="K755" s="2"/>
      <c r="L755" s="2"/>
      <c r="M755" s="2"/>
      <c r="N755" s="2"/>
      <c r="O755" s="2"/>
      <c r="P755" s="2"/>
      <c r="Q755" s="2"/>
      <c r="R755" s="2"/>
      <c r="S755" s="2"/>
      <c r="T755" s="2"/>
      <c r="U755" s="2"/>
      <c r="V755" s="2"/>
      <c r="W755" s="157"/>
      <c r="X755" s="157"/>
      <c r="Y755" s="157"/>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customHeight="1">
      <c r="A756" s="2"/>
      <c r="B756" s="2"/>
      <c r="C756" s="2"/>
      <c r="D756" s="2"/>
      <c r="E756" s="2"/>
      <c r="F756" s="2"/>
      <c r="G756" s="2"/>
      <c r="H756" s="2"/>
      <c r="I756" s="2"/>
      <c r="J756" s="2"/>
      <c r="K756" s="2"/>
      <c r="L756" s="2"/>
      <c r="M756" s="2"/>
      <c r="N756" s="2"/>
      <c r="O756" s="2"/>
      <c r="P756" s="2"/>
      <c r="Q756" s="2"/>
      <c r="R756" s="2"/>
      <c r="S756" s="2"/>
      <c r="T756" s="2"/>
      <c r="U756" s="2"/>
      <c r="V756" s="2"/>
      <c r="W756" s="157"/>
      <c r="X756" s="157"/>
      <c r="Y756" s="157"/>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customHeight="1">
      <c r="A757" s="2"/>
      <c r="B757" s="2"/>
      <c r="C757" s="2"/>
      <c r="D757" s="2"/>
      <c r="E757" s="2"/>
      <c r="F757" s="2"/>
      <c r="G757" s="2"/>
      <c r="H757" s="2"/>
      <c r="I757" s="2"/>
      <c r="J757" s="2"/>
      <c r="K757" s="2"/>
      <c r="L757" s="2"/>
      <c r="M757" s="2"/>
      <c r="N757" s="2"/>
      <c r="O757" s="2"/>
      <c r="P757" s="2"/>
      <c r="Q757" s="2"/>
      <c r="R757" s="2"/>
      <c r="S757" s="2"/>
      <c r="T757" s="2"/>
      <c r="U757" s="2"/>
      <c r="V757" s="2"/>
      <c r="W757" s="157"/>
      <c r="X757" s="157"/>
      <c r="Y757" s="157"/>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customHeight="1">
      <c r="A758" s="2"/>
      <c r="B758" s="2"/>
      <c r="C758" s="2"/>
      <c r="D758" s="2"/>
      <c r="E758" s="2"/>
      <c r="F758" s="2"/>
      <c r="G758" s="2"/>
      <c r="H758" s="2"/>
      <c r="I758" s="2"/>
      <c r="J758" s="2"/>
      <c r="K758" s="2"/>
      <c r="L758" s="2"/>
      <c r="M758" s="2"/>
      <c r="N758" s="2"/>
      <c r="O758" s="2"/>
      <c r="P758" s="2"/>
      <c r="Q758" s="2"/>
      <c r="R758" s="2"/>
      <c r="S758" s="2"/>
      <c r="T758" s="2"/>
      <c r="U758" s="2"/>
      <c r="V758" s="2"/>
      <c r="W758" s="157"/>
      <c r="X758" s="157"/>
      <c r="Y758" s="157"/>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customHeight="1">
      <c r="A759" s="2"/>
      <c r="B759" s="2"/>
      <c r="C759" s="2"/>
      <c r="D759" s="2"/>
      <c r="E759" s="2"/>
      <c r="F759" s="2"/>
      <c r="G759" s="2"/>
      <c r="H759" s="2"/>
      <c r="I759" s="2"/>
      <c r="J759" s="2"/>
      <c r="K759" s="2"/>
      <c r="L759" s="2"/>
      <c r="M759" s="2"/>
      <c r="N759" s="2"/>
      <c r="O759" s="2"/>
      <c r="P759" s="2"/>
      <c r="Q759" s="2"/>
      <c r="R759" s="2"/>
      <c r="S759" s="2"/>
      <c r="T759" s="2"/>
      <c r="U759" s="2"/>
      <c r="V759" s="2"/>
      <c r="W759" s="157"/>
      <c r="X759" s="157"/>
      <c r="Y759" s="157"/>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customHeight="1">
      <c r="A760" s="2"/>
      <c r="B760" s="2"/>
      <c r="C760" s="2"/>
      <c r="D760" s="2"/>
      <c r="E760" s="2"/>
      <c r="F760" s="2"/>
      <c r="G760" s="2"/>
      <c r="H760" s="2"/>
      <c r="I760" s="2"/>
      <c r="J760" s="2"/>
      <c r="K760" s="2"/>
      <c r="L760" s="2"/>
      <c r="M760" s="2"/>
      <c r="N760" s="2"/>
      <c r="O760" s="2"/>
      <c r="P760" s="2"/>
      <c r="Q760" s="2"/>
      <c r="R760" s="2"/>
      <c r="S760" s="2"/>
      <c r="T760" s="2"/>
      <c r="U760" s="2"/>
      <c r="V760" s="2"/>
      <c r="W760" s="157"/>
      <c r="X760" s="157"/>
      <c r="Y760" s="157"/>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customHeight="1">
      <c r="A761" s="2"/>
      <c r="B761" s="2"/>
      <c r="C761" s="2"/>
      <c r="D761" s="2"/>
      <c r="E761" s="2"/>
      <c r="F761" s="2"/>
      <c r="G761" s="2"/>
      <c r="H761" s="2"/>
      <c r="I761" s="2"/>
      <c r="J761" s="2"/>
      <c r="K761" s="2"/>
      <c r="L761" s="2"/>
      <c r="M761" s="2"/>
      <c r="N761" s="2"/>
      <c r="O761" s="2"/>
      <c r="P761" s="2"/>
      <c r="Q761" s="2"/>
      <c r="R761" s="2"/>
      <c r="S761" s="2"/>
      <c r="T761" s="2"/>
      <c r="U761" s="2"/>
      <c r="V761" s="2"/>
      <c r="W761" s="157"/>
      <c r="X761" s="157"/>
      <c r="Y761" s="157"/>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customHeight="1">
      <c r="A762" s="2"/>
      <c r="B762" s="2"/>
      <c r="C762" s="2"/>
      <c r="D762" s="2"/>
      <c r="E762" s="2"/>
      <c r="F762" s="2"/>
      <c r="G762" s="2"/>
      <c r="H762" s="2"/>
      <c r="I762" s="2"/>
      <c r="J762" s="2"/>
      <c r="K762" s="2"/>
      <c r="L762" s="2"/>
      <c r="M762" s="2"/>
      <c r="N762" s="2"/>
      <c r="O762" s="2"/>
      <c r="P762" s="2"/>
      <c r="Q762" s="2"/>
      <c r="R762" s="2"/>
      <c r="S762" s="2"/>
      <c r="T762" s="2"/>
      <c r="U762" s="2"/>
      <c r="V762" s="2"/>
      <c r="W762" s="157"/>
      <c r="X762" s="157"/>
      <c r="Y762" s="157"/>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customHeight="1">
      <c r="A763" s="2"/>
      <c r="B763" s="2"/>
      <c r="C763" s="2"/>
      <c r="D763" s="2"/>
      <c r="E763" s="2"/>
      <c r="F763" s="2"/>
      <c r="G763" s="2"/>
      <c r="H763" s="2"/>
      <c r="I763" s="2"/>
      <c r="J763" s="2"/>
      <c r="K763" s="2"/>
      <c r="L763" s="2"/>
      <c r="M763" s="2"/>
      <c r="N763" s="2"/>
      <c r="O763" s="2"/>
      <c r="P763" s="2"/>
      <c r="Q763" s="2"/>
      <c r="R763" s="2"/>
      <c r="S763" s="2"/>
      <c r="T763" s="2"/>
      <c r="U763" s="2"/>
      <c r="V763" s="2"/>
      <c r="W763" s="157"/>
      <c r="X763" s="157"/>
      <c r="Y763" s="157"/>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customHeight="1">
      <c r="A764" s="2"/>
      <c r="B764" s="2"/>
      <c r="C764" s="2"/>
      <c r="D764" s="2"/>
      <c r="E764" s="2"/>
      <c r="F764" s="2"/>
      <c r="G764" s="2"/>
      <c r="H764" s="2"/>
      <c r="I764" s="2"/>
      <c r="J764" s="2"/>
      <c r="K764" s="2"/>
      <c r="L764" s="2"/>
      <c r="M764" s="2"/>
      <c r="N764" s="2"/>
      <c r="O764" s="2"/>
      <c r="P764" s="2"/>
      <c r="Q764" s="2"/>
      <c r="R764" s="2"/>
      <c r="S764" s="2"/>
      <c r="T764" s="2"/>
      <c r="U764" s="2"/>
      <c r="V764" s="2"/>
      <c r="W764" s="157"/>
      <c r="X764" s="157"/>
      <c r="Y764" s="157"/>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customHeight="1">
      <c r="A765" s="2"/>
      <c r="B765" s="2"/>
      <c r="C765" s="2"/>
      <c r="D765" s="2"/>
      <c r="E765" s="2"/>
      <c r="F765" s="2"/>
      <c r="G765" s="2"/>
      <c r="H765" s="2"/>
      <c r="I765" s="2"/>
      <c r="J765" s="2"/>
      <c r="K765" s="2"/>
      <c r="L765" s="2"/>
      <c r="M765" s="2"/>
      <c r="N765" s="2"/>
      <c r="O765" s="2"/>
      <c r="P765" s="2"/>
      <c r="Q765" s="2"/>
      <c r="R765" s="2"/>
      <c r="S765" s="2"/>
      <c r="T765" s="2"/>
      <c r="U765" s="2"/>
      <c r="V765" s="2"/>
      <c r="W765" s="157"/>
      <c r="X765" s="157"/>
      <c r="Y765" s="157"/>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customHeight="1">
      <c r="A766" s="2"/>
      <c r="B766" s="2"/>
      <c r="C766" s="2"/>
      <c r="D766" s="2"/>
      <c r="E766" s="2"/>
      <c r="F766" s="2"/>
      <c r="G766" s="2"/>
      <c r="H766" s="2"/>
      <c r="I766" s="2"/>
      <c r="J766" s="2"/>
      <c r="K766" s="2"/>
      <c r="L766" s="2"/>
      <c r="M766" s="2"/>
      <c r="N766" s="2"/>
      <c r="O766" s="2"/>
      <c r="P766" s="2"/>
      <c r="Q766" s="2"/>
      <c r="R766" s="2"/>
      <c r="S766" s="2"/>
      <c r="T766" s="2"/>
      <c r="U766" s="2"/>
      <c r="V766" s="2"/>
      <c r="W766" s="157"/>
      <c r="X766" s="157"/>
      <c r="Y766" s="157"/>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customHeight="1">
      <c r="A767" s="2"/>
      <c r="B767" s="2"/>
      <c r="C767" s="2"/>
      <c r="D767" s="2"/>
      <c r="E767" s="2"/>
      <c r="F767" s="2"/>
      <c r="G767" s="2"/>
      <c r="H767" s="2"/>
      <c r="I767" s="2"/>
      <c r="J767" s="2"/>
      <c r="K767" s="2"/>
      <c r="L767" s="2"/>
      <c r="M767" s="2"/>
      <c r="N767" s="2"/>
      <c r="O767" s="2"/>
      <c r="P767" s="2"/>
      <c r="Q767" s="2"/>
      <c r="R767" s="2"/>
      <c r="S767" s="2"/>
      <c r="T767" s="2"/>
      <c r="U767" s="2"/>
      <c r="V767" s="2"/>
      <c r="W767" s="157"/>
      <c r="X767" s="157"/>
      <c r="Y767" s="157"/>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customHeight="1">
      <c r="A768" s="2"/>
      <c r="B768" s="2"/>
      <c r="C768" s="2"/>
      <c r="D768" s="2"/>
      <c r="E768" s="2"/>
      <c r="F768" s="2"/>
      <c r="G768" s="2"/>
      <c r="H768" s="2"/>
      <c r="I768" s="2"/>
      <c r="J768" s="2"/>
      <c r="K768" s="2"/>
      <c r="L768" s="2"/>
      <c r="M768" s="2"/>
      <c r="N768" s="2"/>
      <c r="O768" s="2"/>
      <c r="P768" s="2"/>
      <c r="Q768" s="2"/>
      <c r="R768" s="2"/>
      <c r="S768" s="2"/>
      <c r="T768" s="2"/>
      <c r="U768" s="2"/>
      <c r="V768" s="2"/>
      <c r="W768" s="157"/>
      <c r="X768" s="157"/>
      <c r="Y768" s="157"/>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customHeight="1">
      <c r="A769" s="2"/>
      <c r="B769" s="2"/>
      <c r="C769" s="2"/>
      <c r="D769" s="2"/>
      <c r="E769" s="2"/>
      <c r="F769" s="2"/>
      <c r="G769" s="2"/>
      <c r="H769" s="2"/>
      <c r="I769" s="2"/>
      <c r="J769" s="2"/>
      <c r="K769" s="2"/>
      <c r="L769" s="2"/>
      <c r="M769" s="2"/>
      <c r="N769" s="2"/>
      <c r="O769" s="2"/>
      <c r="P769" s="2"/>
      <c r="Q769" s="2"/>
      <c r="R769" s="2"/>
      <c r="S769" s="2"/>
      <c r="T769" s="2"/>
      <c r="U769" s="2"/>
      <c r="V769" s="2"/>
      <c r="W769" s="157"/>
      <c r="X769" s="157"/>
      <c r="Y769" s="157"/>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customHeight="1">
      <c r="A770" s="2"/>
      <c r="B770" s="2"/>
      <c r="C770" s="2"/>
      <c r="D770" s="2"/>
      <c r="E770" s="2"/>
      <c r="F770" s="2"/>
      <c r="G770" s="2"/>
      <c r="H770" s="2"/>
      <c r="I770" s="2"/>
      <c r="J770" s="2"/>
      <c r="K770" s="2"/>
      <c r="L770" s="2"/>
      <c r="M770" s="2"/>
      <c r="N770" s="2"/>
      <c r="O770" s="2"/>
      <c r="P770" s="2"/>
      <c r="Q770" s="2"/>
      <c r="R770" s="2"/>
      <c r="S770" s="2"/>
      <c r="T770" s="2"/>
      <c r="U770" s="2"/>
      <c r="V770" s="2"/>
      <c r="W770" s="157"/>
      <c r="X770" s="157"/>
      <c r="Y770" s="157"/>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customHeight="1">
      <c r="A771" s="2"/>
      <c r="B771" s="2"/>
      <c r="C771" s="2"/>
      <c r="D771" s="2"/>
      <c r="E771" s="2"/>
      <c r="F771" s="2"/>
      <c r="G771" s="2"/>
      <c r="H771" s="2"/>
      <c r="I771" s="2"/>
      <c r="J771" s="2"/>
      <c r="K771" s="2"/>
      <c r="L771" s="2"/>
      <c r="M771" s="2"/>
      <c r="N771" s="2"/>
      <c r="O771" s="2"/>
      <c r="P771" s="2"/>
      <c r="Q771" s="2"/>
      <c r="R771" s="2"/>
      <c r="S771" s="2"/>
      <c r="T771" s="2"/>
      <c r="U771" s="2"/>
      <c r="V771" s="2"/>
      <c r="W771" s="157"/>
      <c r="X771" s="157"/>
      <c r="Y771" s="157"/>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customHeight="1">
      <c r="A772" s="2"/>
      <c r="B772" s="2"/>
      <c r="C772" s="2"/>
      <c r="D772" s="2"/>
      <c r="E772" s="2"/>
      <c r="F772" s="2"/>
      <c r="G772" s="2"/>
      <c r="H772" s="2"/>
      <c r="I772" s="2"/>
      <c r="J772" s="2"/>
      <c r="K772" s="2"/>
      <c r="L772" s="2"/>
      <c r="M772" s="2"/>
      <c r="N772" s="2"/>
      <c r="O772" s="2"/>
      <c r="P772" s="2"/>
      <c r="Q772" s="2"/>
      <c r="R772" s="2"/>
      <c r="S772" s="2"/>
      <c r="T772" s="2"/>
      <c r="U772" s="2"/>
      <c r="V772" s="2"/>
      <c r="W772" s="157"/>
      <c r="X772" s="157"/>
      <c r="Y772" s="157"/>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customHeight="1">
      <c r="A773" s="2"/>
      <c r="B773" s="2"/>
      <c r="C773" s="2"/>
      <c r="D773" s="2"/>
      <c r="E773" s="2"/>
      <c r="F773" s="2"/>
      <c r="G773" s="2"/>
      <c r="H773" s="2"/>
      <c r="I773" s="2"/>
      <c r="J773" s="2"/>
      <c r="K773" s="2"/>
      <c r="L773" s="2"/>
      <c r="M773" s="2"/>
      <c r="N773" s="2"/>
      <c r="O773" s="2"/>
      <c r="P773" s="2"/>
      <c r="Q773" s="2"/>
      <c r="R773" s="2"/>
      <c r="S773" s="2"/>
      <c r="T773" s="2"/>
      <c r="U773" s="2"/>
      <c r="V773" s="2"/>
      <c r="W773" s="157"/>
      <c r="X773" s="157"/>
      <c r="Y773" s="157"/>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customHeight="1">
      <c r="A774" s="2"/>
      <c r="B774" s="2"/>
      <c r="C774" s="2"/>
      <c r="D774" s="2"/>
      <c r="E774" s="2"/>
      <c r="F774" s="2"/>
      <c r="G774" s="2"/>
      <c r="H774" s="2"/>
      <c r="I774" s="2"/>
      <c r="J774" s="2"/>
      <c r="K774" s="2"/>
      <c r="L774" s="2"/>
      <c r="M774" s="2"/>
      <c r="N774" s="2"/>
      <c r="O774" s="2"/>
      <c r="P774" s="2"/>
      <c r="Q774" s="2"/>
      <c r="R774" s="2"/>
      <c r="S774" s="2"/>
      <c r="T774" s="2"/>
      <c r="U774" s="2"/>
      <c r="V774" s="2"/>
      <c r="W774" s="157"/>
      <c r="X774" s="157"/>
      <c r="Y774" s="157"/>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customHeight="1">
      <c r="A775" s="2"/>
      <c r="B775" s="2"/>
      <c r="C775" s="2"/>
      <c r="D775" s="2"/>
      <c r="E775" s="2"/>
      <c r="F775" s="2"/>
      <c r="G775" s="2"/>
      <c r="H775" s="2"/>
      <c r="I775" s="2"/>
      <c r="J775" s="2"/>
      <c r="K775" s="2"/>
      <c r="L775" s="2"/>
      <c r="M775" s="2"/>
      <c r="N775" s="2"/>
      <c r="O775" s="2"/>
      <c r="P775" s="2"/>
      <c r="Q775" s="2"/>
      <c r="R775" s="2"/>
      <c r="S775" s="2"/>
      <c r="T775" s="2"/>
      <c r="U775" s="2"/>
      <c r="V775" s="2"/>
      <c r="W775" s="157"/>
      <c r="X775" s="157"/>
      <c r="Y775" s="157"/>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customHeight="1">
      <c r="A776" s="2"/>
      <c r="B776" s="2"/>
      <c r="C776" s="2"/>
      <c r="D776" s="2"/>
      <c r="E776" s="2"/>
      <c r="F776" s="2"/>
      <c r="G776" s="2"/>
      <c r="H776" s="2"/>
      <c r="I776" s="2"/>
      <c r="J776" s="2"/>
      <c r="K776" s="2"/>
      <c r="L776" s="2"/>
      <c r="M776" s="2"/>
      <c r="N776" s="2"/>
      <c r="O776" s="2"/>
      <c r="P776" s="2"/>
      <c r="Q776" s="2"/>
      <c r="R776" s="2"/>
      <c r="S776" s="2"/>
      <c r="T776" s="2"/>
      <c r="U776" s="2"/>
      <c r="V776" s="2"/>
      <c r="W776" s="157"/>
      <c r="X776" s="157"/>
      <c r="Y776" s="157"/>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customHeight="1">
      <c r="A777" s="2"/>
      <c r="B777" s="2"/>
      <c r="C777" s="2"/>
      <c r="D777" s="2"/>
      <c r="E777" s="2"/>
      <c r="F777" s="2"/>
      <c r="G777" s="2"/>
      <c r="H777" s="2"/>
      <c r="I777" s="2"/>
      <c r="J777" s="2"/>
      <c r="K777" s="2"/>
      <c r="L777" s="2"/>
      <c r="M777" s="2"/>
      <c r="N777" s="2"/>
      <c r="O777" s="2"/>
      <c r="P777" s="2"/>
      <c r="Q777" s="2"/>
      <c r="R777" s="2"/>
      <c r="S777" s="2"/>
      <c r="T777" s="2"/>
      <c r="U777" s="2"/>
      <c r="V777" s="2"/>
      <c r="W777" s="157"/>
      <c r="X777" s="157"/>
      <c r="Y777" s="157"/>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customHeight="1">
      <c r="A778" s="2"/>
      <c r="B778" s="2"/>
      <c r="C778" s="2"/>
      <c r="D778" s="2"/>
      <c r="E778" s="2"/>
      <c r="F778" s="2"/>
      <c r="G778" s="2"/>
      <c r="H778" s="2"/>
      <c r="I778" s="2"/>
      <c r="J778" s="2"/>
      <c r="K778" s="2"/>
      <c r="L778" s="2"/>
      <c r="M778" s="2"/>
      <c r="N778" s="2"/>
      <c r="O778" s="2"/>
      <c r="P778" s="2"/>
      <c r="Q778" s="2"/>
      <c r="R778" s="2"/>
      <c r="S778" s="2"/>
      <c r="T778" s="2"/>
      <c r="U778" s="2"/>
      <c r="V778" s="2"/>
      <c r="W778" s="157"/>
      <c r="X778" s="157"/>
      <c r="Y778" s="157"/>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customHeight="1">
      <c r="A779" s="2"/>
      <c r="B779" s="2"/>
      <c r="C779" s="2"/>
      <c r="D779" s="2"/>
      <c r="E779" s="2"/>
      <c r="F779" s="2"/>
      <c r="G779" s="2"/>
      <c r="H779" s="2"/>
      <c r="I779" s="2"/>
      <c r="J779" s="2"/>
      <c r="K779" s="2"/>
      <c r="L779" s="2"/>
      <c r="M779" s="2"/>
      <c r="N779" s="2"/>
      <c r="O779" s="2"/>
      <c r="P779" s="2"/>
      <c r="Q779" s="2"/>
      <c r="R779" s="2"/>
      <c r="S779" s="2"/>
      <c r="T779" s="2"/>
      <c r="U779" s="2"/>
      <c r="V779" s="2"/>
      <c r="W779" s="157"/>
      <c r="X779" s="157"/>
      <c r="Y779" s="157"/>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customHeight="1">
      <c r="A780" s="2"/>
      <c r="B780" s="2"/>
      <c r="C780" s="2"/>
      <c r="D780" s="2"/>
      <c r="E780" s="2"/>
      <c r="F780" s="2"/>
      <c r="G780" s="2"/>
      <c r="H780" s="2"/>
      <c r="I780" s="2"/>
      <c r="J780" s="2"/>
      <c r="K780" s="2"/>
      <c r="L780" s="2"/>
      <c r="M780" s="2"/>
      <c r="N780" s="2"/>
      <c r="O780" s="2"/>
      <c r="P780" s="2"/>
      <c r="Q780" s="2"/>
      <c r="R780" s="2"/>
      <c r="S780" s="2"/>
      <c r="T780" s="2"/>
      <c r="U780" s="2"/>
      <c r="V780" s="2"/>
      <c r="W780" s="157"/>
      <c r="X780" s="157"/>
      <c r="Y780" s="157"/>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customHeight="1">
      <c r="A781" s="2"/>
      <c r="B781" s="2"/>
      <c r="C781" s="2"/>
      <c r="D781" s="2"/>
      <c r="E781" s="2"/>
      <c r="F781" s="2"/>
      <c r="G781" s="2"/>
      <c r="H781" s="2"/>
      <c r="I781" s="2"/>
      <c r="J781" s="2"/>
      <c r="K781" s="2"/>
      <c r="L781" s="2"/>
      <c r="M781" s="2"/>
      <c r="N781" s="2"/>
      <c r="O781" s="2"/>
      <c r="P781" s="2"/>
      <c r="Q781" s="2"/>
      <c r="R781" s="2"/>
      <c r="S781" s="2"/>
      <c r="T781" s="2"/>
      <c r="U781" s="2"/>
      <c r="V781" s="2"/>
      <c r="W781" s="157"/>
      <c r="X781" s="157"/>
      <c r="Y781" s="157"/>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customHeight="1">
      <c r="A782" s="2"/>
      <c r="B782" s="2"/>
      <c r="C782" s="2"/>
      <c r="D782" s="2"/>
      <c r="E782" s="2"/>
      <c r="F782" s="2"/>
      <c r="G782" s="2"/>
      <c r="H782" s="2"/>
      <c r="I782" s="2"/>
      <c r="J782" s="2"/>
      <c r="K782" s="2"/>
      <c r="L782" s="2"/>
      <c r="M782" s="2"/>
      <c r="N782" s="2"/>
      <c r="O782" s="2"/>
      <c r="P782" s="2"/>
      <c r="Q782" s="2"/>
      <c r="R782" s="2"/>
      <c r="S782" s="2"/>
      <c r="T782" s="2"/>
      <c r="U782" s="2"/>
      <c r="V782" s="2"/>
      <c r="W782" s="157"/>
      <c r="X782" s="157"/>
      <c r="Y782" s="157"/>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customHeight="1">
      <c r="A783" s="2"/>
      <c r="B783" s="2"/>
      <c r="C783" s="2"/>
      <c r="D783" s="2"/>
      <c r="E783" s="2"/>
      <c r="F783" s="2"/>
      <c r="G783" s="2"/>
      <c r="H783" s="2"/>
      <c r="I783" s="2"/>
      <c r="J783" s="2"/>
      <c r="K783" s="2"/>
      <c r="L783" s="2"/>
      <c r="M783" s="2"/>
      <c r="N783" s="2"/>
      <c r="O783" s="2"/>
      <c r="P783" s="2"/>
      <c r="Q783" s="2"/>
      <c r="R783" s="2"/>
      <c r="S783" s="2"/>
      <c r="T783" s="2"/>
      <c r="U783" s="2"/>
      <c r="V783" s="2"/>
      <c r="W783" s="157"/>
      <c r="X783" s="157"/>
      <c r="Y783" s="157"/>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customHeight="1">
      <c r="A784" s="2"/>
      <c r="B784" s="2"/>
      <c r="C784" s="2"/>
      <c r="D784" s="2"/>
      <c r="E784" s="2"/>
      <c r="F784" s="2"/>
      <c r="G784" s="2"/>
      <c r="H784" s="2"/>
      <c r="I784" s="2"/>
      <c r="J784" s="2"/>
      <c r="K784" s="2"/>
      <c r="L784" s="2"/>
      <c r="M784" s="2"/>
      <c r="N784" s="2"/>
      <c r="O784" s="2"/>
      <c r="P784" s="2"/>
      <c r="Q784" s="2"/>
      <c r="R784" s="2"/>
      <c r="S784" s="2"/>
      <c r="T784" s="2"/>
      <c r="U784" s="2"/>
      <c r="V784" s="2"/>
      <c r="W784" s="157"/>
      <c r="X784" s="157"/>
      <c r="Y784" s="157"/>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customHeight="1">
      <c r="A785" s="2"/>
      <c r="B785" s="2"/>
      <c r="C785" s="2"/>
      <c r="D785" s="2"/>
      <c r="E785" s="2"/>
      <c r="F785" s="2"/>
      <c r="G785" s="2"/>
      <c r="H785" s="2"/>
      <c r="I785" s="2"/>
      <c r="J785" s="2"/>
      <c r="K785" s="2"/>
      <c r="L785" s="2"/>
      <c r="M785" s="2"/>
      <c r="N785" s="2"/>
      <c r="O785" s="2"/>
      <c r="P785" s="2"/>
      <c r="Q785" s="2"/>
      <c r="R785" s="2"/>
      <c r="S785" s="2"/>
      <c r="T785" s="2"/>
      <c r="U785" s="2"/>
      <c r="V785" s="2"/>
      <c r="W785" s="157"/>
      <c r="X785" s="157"/>
      <c r="Y785" s="157"/>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customHeight="1">
      <c r="A786" s="2"/>
      <c r="B786" s="2"/>
      <c r="C786" s="2"/>
      <c r="D786" s="2"/>
      <c r="E786" s="2"/>
      <c r="F786" s="2"/>
      <c r="G786" s="2"/>
      <c r="H786" s="2"/>
      <c r="I786" s="2"/>
      <c r="J786" s="2"/>
      <c r="K786" s="2"/>
      <c r="L786" s="2"/>
      <c r="M786" s="2"/>
      <c r="N786" s="2"/>
      <c r="O786" s="2"/>
      <c r="P786" s="2"/>
      <c r="Q786" s="2"/>
      <c r="R786" s="2"/>
      <c r="S786" s="2"/>
      <c r="T786" s="2"/>
      <c r="U786" s="2"/>
      <c r="V786" s="2"/>
      <c r="W786" s="157"/>
      <c r="X786" s="157"/>
      <c r="Y786" s="157"/>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customHeight="1">
      <c r="A787" s="2"/>
      <c r="B787" s="2"/>
      <c r="C787" s="2"/>
      <c r="D787" s="2"/>
      <c r="E787" s="2"/>
      <c r="F787" s="2"/>
      <c r="G787" s="2"/>
      <c r="H787" s="2"/>
      <c r="I787" s="2"/>
      <c r="J787" s="2"/>
      <c r="K787" s="2"/>
      <c r="L787" s="2"/>
      <c r="M787" s="2"/>
      <c r="N787" s="2"/>
      <c r="O787" s="2"/>
      <c r="P787" s="2"/>
      <c r="Q787" s="2"/>
      <c r="R787" s="2"/>
      <c r="S787" s="2"/>
      <c r="T787" s="2"/>
      <c r="U787" s="2"/>
      <c r="V787" s="2"/>
      <c r="W787" s="157"/>
      <c r="X787" s="157"/>
      <c r="Y787" s="157"/>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customHeight="1">
      <c r="A788" s="2"/>
      <c r="B788" s="2"/>
      <c r="C788" s="2"/>
      <c r="D788" s="2"/>
      <c r="E788" s="2"/>
      <c r="F788" s="2"/>
      <c r="G788" s="2"/>
      <c r="H788" s="2"/>
      <c r="I788" s="2"/>
      <c r="J788" s="2"/>
      <c r="K788" s="2"/>
      <c r="L788" s="2"/>
      <c r="M788" s="2"/>
      <c r="N788" s="2"/>
      <c r="O788" s="2"/>
      <c r="P788" s="2"/>
      <c r="Q788" s="2"/>
      <c r="R788" s="2"/>
      <c r="S788" s="2"/>
      <c r="T788" s="2"/>
      <c r="U788" s="2"/>
      <c r="V788" s="2"/>
      <c r="W788" s="157"/>
      <c r="X788" s="157"/>
      <c r="Y788" s="157"/>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customHeight="1">
      <c r="A789" s="2"/>
      <c r="B789" s="2"/>
      <c r="C789" s="2"/>
      <c r="D789" s="2"/>
      <c r="E789" s="2"/>
      <c r="F789" s="2"/>
      <c r="G789" s="2"/>
      <c r="H789" s="2"/>
      <c r="I789" s="2"/>
      <c r="J789" s="2"/>
      <c r="K789" s="2"/>
      <c r="L789" s="2"/>
      <c r="M789" s="2"/>
      <c r="N789" s="2"/>
      <c r="O789" s="2"/>
      <c r="P789" s="2"/>
      <c r="Q789" s="2"/>
      <c r="R789" s="2"/>
      <c r="S789" s="2"/>
      <c r="T789" s="2"/>
      <c r="U789" s="2"/>
      <c r="V789" s="2"/>
      <c r="W789" s="157"/>
      <c r="X789" s="157"/>
      <c r="Y789" s="157"/>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customHeight="1">
      <c r="A790" s="2"/>
      <c r="B790" s="2"/>
      <c r="C790" s="2"/>
      <c r="D790" s="2"/>
      <c r="E790" s="2"/>
      <c r="F790" s="2"/>
      <c r="G790" s="2"/>
      <c r="H790" s="2"/>
      <c r="I790" s="2"/>
      <c r="J790" s="2"/>
      <c r="K790" s="2"/>
      <c r="L790" s="2"/>
      <c r="M790" s="2"/>
      <c r="N790" s="2"/>
      <c r="O790" s="2"/>
      <c r="P790" s="2"/>
      <c r="Q790" s="2"/>
      <c r="R790" s="2"/>
      <c r="S790" s="2"/>
      <c r="T790" s="2"/>
      <c r="U790" s="2"/>
      <c r="V790" s="2"/>
      <c r="W790" s="157"/>
      <c r="X790" s="157"/>
      <c r="Y790" s="157"/>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customHeight="1">
      <c r="A791" s="2"/>
      <c r="B791" s="2"/>
      <c r="C791" s="2"/>
      <c r="D791" s="2"/>
      <c r="E791" s="2"/>
      <c r="F791" s="2"/>
      <c r="G791" s="2"/>
      <c r="H791" s="2"/>
      <c r="I791" s="2"/>
      <c r="J791" s="2"/>
      <c r="K791" s="2"/>
      <c r="L791" s="2"/>
      <c r="M791" s="2"/>
      <c r="N791" s="2"/>
      <c r="O791" s="2"/>
      <c r="P791" s="2"/>
      <c r="Q791" s="2"/>
      <c r="R791" s="2"/>
      <c r="S791" s="2"/>
      <c r="T791" s="2"/>
      <c r="U791" s="2"/>
      <c r="V791" s="2"/>
      <c r="W791" s="157"/>
      <c r="X791" s="157"/>
      <c r="Y791" s="157"/>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customHeight="1">
      <c r="A792" s="2"/>
      <c r="B792" s="2"/>
      <c r="C792" s="2"/>
      <c r="D792" s="2"/>
      <c r="E792" s="2"/>
      <c r="F792" s="2"/>
      <c r="G792" s="2"/>
      <c r="H792" s="2"/>
      <c r="I792" s="2"/>
      <c r="J792" s="2"/>
      <c r="K792" s="2"/>
      <c r="L792" s="2"/>
      <c r="M792" s="2"/>
      <c r="N792" s="2"/>
      <c r="O792" s="2"/>
      <c r="P792" s="2"/>
      <c r="Q792" s="2"/>
      <c r="R792" s="2"/>
      <c r="S792" s="2"/>
      <c r="T792" s="2"/>
      <c r="U792" s="2"/>
      <c r="V792" s="2"/>
      <c r="W792" s="157"/>
      <c r="X792" s="157"/>
      <c r="Y792" s="157"/>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customHeight="1">
      <c r="A793" s="2"/>
      <c r="B793" s="2"/>
      <c r="C793" s="2"/>
      <c r="D793" s="2"/>
      <c r="E793" s="2"/>
      <c r="F793" s="2"/>
      <c r="G793" s="2"/>
      <c r="H793" s="2"/>
      <c r="I793" s="2"/>
      <c r="J793" s="2"/>
      <c r="K793" s="2"/>
      <c r="L793" s="2"/>
      <c r="M793" s="2"/>
      <c r="N793" s="2"/>
      <c r="O793" s="2"/>
      <c r="P793" s="2"/>
      <c r="Q793" s="2"/>
      <c r="R793" s="2"/>
      <c r="S793" s="2"/>
      <c r="T793" s="2"/>
      <c r="U793" s="2"/>
      <c r="V793" s="2"/>
      <c r="W793" s="157"/>
      <c r="X793" s="157"/>
      <c r="Y793" s="157"/>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customHeight="1">
      <c r="A794" s="2"/>
      <c r="B794" s="2"/>
      <c r="C794" s="2"/>
      <c r="D794" s="2"/>
      <c r="E794" s="2"/>
      <c r="F794" s="2"/>
      <c r="G794" s="2"/>
      <c r="H794" s="2"/>
      <c r="I794" s="2"/>
      <c r="J794" s="2"/>
      <c r="K794" s="2"/>
      <c r="L794" s="2"/>
      <c r="M794" s="2"/>
      <c r="N794" s="2"/>
      <c r="O794" s="2"/>
      <c r="P794" s="2"/>
      <c r="Q794" s="2"/>
      <c r="R794" s="2"/>
      <c r="S794" s="2"/>
      <c r="T794" s="2"/>
      <c r="U794" s="2"/>
      <c r="V794" s="2"/>
      <c r="W794" s="157"/>
      <c r="X794" s="157"/>
      <c r="Y794" s="157"/>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customHeight="1">
      <c r="A795" s="2"/>
      <c r="B795" s="2"/>
      <c r="C795" s="2"/>
      <c r="D795" s="2"/>
      <c r="E795" s="2"/>
      <c r="F795" s="2"/>
      <c r="G795" s="2"/>
      <c r="H795" s="2"/>
      <c r="I795" s="2"/>
      <c r="J795" s="2"/>
      <c r="K795" s="2"/>
      <c r="L795" s="2"/>
      <c r="M795" s="2"/>
      <c r="N795" s="2"/>
      <c r="O795" s="2"/>
      <c r="P795" s="2"/>
      <c r="Q795" s="2"/>
      <c r="R795" s="2"/>
      <c r="S795" s="2"/>
      <c r="T795" s="2"/>
      <c r="U795" s="2"/>
      <c r="V795" s="2"/>
      <c r="W795" s="157"/>
      <c r="X795" s="157"/>
      <c r="Y795" s="157"/>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customHeight="1">
      <c r="A796" s="2"/>
      <c r="B796" s="2"/>
      <c r="C796" s="2"/>
      <c r="D796" s="2"/>
      <c r="E796" s="2"/>
      <c r="F796" s="2"/>
      <c r="G796" s="2"/>
      <c r="H796" s="2"/>
      <c r="I796" s="2"/>
      <c r="J796" s="2"/>
      <c r="K796" s="2"/>
      <c r="L796" s="2"/>
      <c r="M796" s="2"/>
      <c r="N796" s="2"/>
      <c r="O796" s="2"/>
      <c r="P796" s="2"/>
      <c r="Q796" s="2"/>
      <c r="R796" s="2"/>
      <c r="S796" s="2"/>
      <c r="T796" s="2"/>
      <c r="U796" s="2"/>
      <c r="V796" s="2"/>
      <c r="W796" s="157"/>
      <c r="X796" s="157"/>
      <c r="Y796" s="157"/>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customHeight="1">
      <c r="A797" s="2"/>
      <c r="B797" s="2"/>
      <c r="C797" s="2"/>
      <c r="D797" s="2"/>
      <c r="E797" s="2"/>
      <c r="F797" s="2"/>
      <c r="G797" s="2"/>
      <c r="H797" s="2"/>
      <c r="I797" s="2"/>
      <c r="J797" s="2"/>
      <c r="K797" s="2"/>
      <c r="L797" s="2"/>
      <c r="M797" s="2"/>
      <c r="N797" s="2"/>
      <c r="O797" s="2"/>
      <c r="P797" s="2"/>
      <c r="Q797" s="2"/>
      <c r="R797" s="2"/>
      <c r="S797" s="2"/>
      <c r="T797" s="2"/>
      <c r="U797" s="2"/>
      <c r="V797" s="2"/>
      <c r="W797" s="157"/>
      <c r="X797" s="157"/>
      <c r="Y797" s="157"/>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customHeight="1">
      <c r="A798" s="2"/>
      <c r="B798" s="2"/>
      <c r="C798" s="2"/>
      <c r="D798" s="2"/>
      <c r="E798" s="2"/>
      <c r="F798" s="2"/>
      <c r="G798" s="2"/>
      <c r="H798" s="2"/>
      <c r="I798" s="2"/>
      <c r="J798" s="2"/>
      <c r="K798" s="2"/>
      <c r="L798" s="2"/>
      <c r="M798" s="2"/>
      <c r="N798" s="2"/>
      <c r="O798" s="2"/>
      <c r="P798" s="2"/>
      <c r="Q798" s="2"/>
      <c r="R798" s="2"/>
      <c r="S798" s="2"/>
      <c r="T798" s="2"/>
      <c r="U798" s="2"/>
      <c r="V798" s="2"/>
      <c r="W798" s="157"/>
      <c r="X798" s="157"/>
      <c r="Y798" s="157"/>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customHeight="1">
      <c r="A799" s="2"/>
      <c r="B799" s="2"/>
      <c r="C799" s="2"/>
      <c r="D799" s="2"/>
      <c r="E799" s="2"/>
      <c r="F799" s="2"/>
      <c r="G799" s="2"/>
      <c r="H799" s="2"/>
      <c r="I799" s="2"/>
      <c r="J799" s="2"/>
      <c r="K799" s="2"/>
      <c r="L799" s="2"/>
      <c r="M799" s="2"/>
      <c r="N799" s="2"/>
      <c r="O799" s="2"/>
      <c r="P799" s="2"/>
      <c r="Q799" s="2"/>
      <c r="R799" s="2"/>
      <c r="S799" s="2"/>
      <c r="T799" s="2"/>
      <c r="U799" s="2"/>
      <c r="V799" s="2"/>
      <c r="W799" s="157"/>
      <c r="X799" s="157"/>
      <c r="Y799" s="157"/>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customHeight="1">
      <c r="A800" s="2"/>
      <c r="B800" s="2"/>
      <c r="C800" s="2"/>
      <c r="D800" s="2"/>
      <c r="E800" s="2"/>
      <c r="F800" s="2"/>
      <c r="G800" s="2"/>
      <c r="H800" s="2"/>
      <c r="I800" s="2"/>
      <c r="J800" s="2"/>
      <c r="K800" s="2"/>
      <c r="L800" s="2"/>
      <c r="M800" s="2"/>
      <c r="N800" s="2"/>
      <c r="O800" s="2"/>
      <c r="P800" s="2"/>
      <c r="Q800" s="2"/>
      <c r="R800" s="2"/>
      <c r="S800" s="2"/>
      <c r="T800" s="2"/>
      <c r="U800" s="2"/>
      <c r="V800" s="2"/>
      <c r="W800" s="157"/>
      <c r="X800" s="157"/>
      <c r="Y800" s="157"/>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customHeight="1">
      <c r="A801" s="2"/>
      <c r="B801" s="2"/>
      <c r="C801" s="2"/>
      <c r="D801" s="2"/>
      <c r="E801" s="2"/>
      <c r="F801" s="2"/>
      <c r="G801" s="2"/>
      <c r="H801" s="2"/>
      <c r="I801" s="2"/>
      <c r="J801" s="2"/>
      <c r="K801" s="2"/>
      <c r="L801" s="2"/>
      <c r="M801" s="2"/>
      <c r="N801" s="2"/>
      <c r="O801" s="2"/>
      <c r="P801" s="2"/>
      <c r="Q801" s="2"/>
      <c r="R801" s="2"/>
      <c r="S801" s="2"/>
      <c r="T801" s="2"/>
      <c r="U801" s="2"/>
      <c r="V801" s="2"/>
      <c r="W801" s="157"/>
      <c r="X801" s="157"/>
      <c r="Y801" s="157"/>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customHeight="1">
      <c r="A802" s="2"/>
      <c r="B802" s="2"/>
      <c r="C802" s="2"/>
      <c r="D802" s="2"/>
      <c r="E802" s="2"/>
      <c r="F802" s="2"/>
      <c r="G802" s="2"/>
      <c r="H802" s="2"/>
      <c r="I802" s="2"/>
      <c r="J802" s="2"/>
      <c r="K802" s="2"/>
      <c r="L802" s="2"/>
      <c r="M802" s="2"/>
      <c r="N802" s="2"/>
      <c r="O802" s="2"/>
      <c r="P802" s="2"/>
      <c r="Q802" s="2"/>
      <c r="R802" s="2"/>
      <c r="S802" s="2"/>
      <c r="T802" s="2"/>
      <c r="U802" s="2"/>
      <c r="V802" s="2"/>
      <c r="W802" s="157"/>
      <c r="X802" s="157"/>
      <c r="Y802" s="157"/>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customHeight="1">
      <c r="A803" s="2"/>
      <c r="B803" s="2"/>
      <c r="C803" s="2"/>
      <c r="D803" s="2"/>
      <c r="E803" s="2"/>
      <c r="F803" s="2"/>
      <c r="G803" s="2"/>
      <c r="H803" s="2"/>
      <c r="I803" s="2"/>
      <c r="J803" s="2"/>
      <c r="K803" s="2"/>
      <c r="L803" s="2"/>
      <c r="M803" s="2"/>
      <c r="N803" s="2"/>
      <c r="O803" s="2"/>
      <c r="P803" s="2"/>
      <c r="Q803" s="2"/>
      <c r="R803" s="2"/>
      <c r="S803" s="2"/>
      <c r="T803" s="2"/>
      <c r="U803" s="2"/>
      <c r="V803" s="2"/>
      <c r="W803" s="157"/>
      <c r="X803" s="157"/>
      <c r="Y803" s="157"/>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customHeight="1">
      <c r="A804" s="2"/>
      <c r="B804" s="2"/>
      <c r="C804" s="2"/>
      <c r="D804" s="2"/>
      <c r="E804" s="2"/>
      <c r="F804" s="2"/>
      <c r="G804" s="2"/>
      <c r="H804" s="2"/>
      <c r="I804" s="2"/>
      <c r="J804" s="2"/>
      <c r="K804" s="2"/>
      <c r="L804" s="2"/>
      <c r="M804" s="2"/>
      <c r="N804" s="2"/>
      <c r="O804" s="2"/>
      <c r="P804" s="2"/>
      <c r="Q804" s="2"/>
      <c r="R804" s="2"/>
      <c r="S804" s="2"/>
      <c r="T804" s="2"/>
      <c r="U804" s="2"/>
      <c r="V804" s="2"/>
      <c r="W804" s="157"/>
      <c r="X804" s="157"/>
      <c r="Y804" s="157"/>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customHeight="1">
      <c r="A805" s="2"/>
      <c r="B805" s="2"/>
      <c r="C805" s="2"/>
      <c r="D805" s="2"/>
      <c r="E805" s="2"/>
      <c r="F805" s="2"/>
      <c r="G805" s="2"/>
      <c r="H805" s="2"/>
      <c r="I805" s="2"/>
      <c r="J805" s="2"/>
      <c r="K805" s="2"/>
      <c r="L805" s="2"/>
      <c r="M805" s="2"/>
      <c r="N805" s="2"/>
      <c r="O805" s="2"/>
      <c r="P805" s="2"/>
      <c r="Q805" s="2"/>
      <c r="R805" s="2"/>
      <c r="S805" s="2"/>
      <c r="T805" s="2"/>
      <c r="U805" s="2"/>
      <c r="V805" s="2"/>
      <c r="W805" s="157"/>
      <c r="X805" s="157"/>
      <c r="Y805" s="157"/>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customHeight="1">
      <c r="A806" s="2"/>
      <c r="B806" s="2"/>
      <c r="C806" s="2"/>
      <c r="D806" s="2"/>
      <c r="E806" s="2"/>
      <c r="F806" s="2"/>
      <c r="G806" s="2"/>
      <c r="H806" s="2"/>
      <c r="I806" s="2"/>
      <c r="J806" s="2"/>
      <c r="K806" s="2"/>
      <c r="L806" s="2"/>
      <c r="M806" s="2"/>
      <c r="N806" s="2"/>
      <c r="O806" s="2"/>
      <c r="P806" s="2"/>
      <c r="Q806" s="2"/>
      <c r="R806" s="2"/>
      <c r="S806" s="2"/>
      <c r="T806" s="2"/>
      <c r="U806" s="2"/>
      <c r="V806" s="2"/>
      <c r="W806" s="157"/>
      <c r="X806" s="157"/>
      <c r="Y806" s="157"/>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customHeight="1">
      <c r="A807" s="2"/>
      <c r="B807" s="2"/>
      <c r="C807" s="2"/>
      <c r="D807" s="2"/>
      <c r="E807" s="2"/>
      <c r="F807" s="2"/>
      <c r="G807" s="2"/>
      <c r="H807" s="2"/>
      <c r="I807" s="2"/>
      <c r="J807" s="2"/>
      <c r="K807" s="2"/>
      <c r="L807" s="2"/>
      <c r="M807" s="2"/>
      <c r="N807" s="2"/>
      <c r="O807" s="2"/>
      <c r="P807" s="2"/>
      <c r="Q807" s="2"/>
      <c r="R807" s="2"/>
      <c r="S807" s="2"/>
      <c r="T807" s="2"/>
      <c r="U807" s="2"/>
      <c r="V807" s="2"/>
      <c r="W807" s="157"/>
      <c r="X807" s="157"/>
      <c r="Y807" s="157"/>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customHeight="1">
      <c r="A808" s="2"/>
      <c r="B808" s="2"/>
      <c r="C808" s="2"/>
      <c r="D808" s="2"/>
      <c r="E808" s="2"/>
      <c r="F808" s="2"/>
      <c r="G808" s="2"/>
      <c r="H808" s="2"/>
      <c r="I808" s="2"/>
      <c r="J808" s="2"/>
      <c r="K808" s="2"/>
      <c r="L808" s="2"/>
      <c r="M808" s="2"/>
      <c r="N808" s="2"/>
      <c r="O808" s="2"/>
      <c r="P808" s="2"/>
      <c r="Q808" s="2"/>
      <c r="R808" s="2"/>
      <c r="S808" s="2"/>
      <c r="T808" s="2"/>
      <c r="U808" s="2"/>
      <c r="V808" s="2"/>
      <c r="W808" s="157"/>
      <c r="X808" s="157"/>
      <c r="Y808" s="157"/>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customHeight="1">
      <c r="A809" s="2"/>
      <c r="B809" s="2"/>
      <c r="C809" s="2"/>
      <c r="D809" s="2"/>
      <c r="E809" s="2"/>
      <c r="F809" s="2"/>
      <c r="G809" s="2"/>
      <c r="H809" s="2"/>
      <c r="I809" s="2"/>
      <c r="J809" s="2"/>
      <c r="K809" s="2"/>
      <c r="L809" s="2"/>
      <c r="M809" s="2"/>
      <c r="N809" s="2"/>
      <c r="O809" s="2"/>
      <c r="P809" s="2"/>
      <c r="Q809" s="2"/>
      <c r="R809" s="2"/>
      <c r="S809" s="2"/>
      <c r="T809" s="2"/>
      <c r="U809" s="2"/>
      <c r="V809" s="2"/>
      <c r="W809" s="157"/>
      <c r="X809" s="157"/>
      <c r="Y809" s="157"/>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customHeight="1">
      <c r="A810" s="2"/>
      <c r="B810" s="2"/>
      <c r="C810" s="2"/>
      <c r="D810" s="2"/>
      <c r="E810" s="2"/>
      <c r="F810" s="2"/>
      <c r="G810" s="2"/>
      <c r="H810" s="2"/>
      <c r="I810" s="2"/>
      <c r="J810" s="2"/>
      <c r="K810" s="2"/>
      <c r="L810" s="2"/>
      <c r="M810" s="2"/>
      <c r="N810" s="2"/>
      <c r="O810" s="2"/>
      <c r="P810" s="2"/>
      <c r="Q810" s="2"/>
      <c r="R810" s="2"/>
      <c r="S810" s="2"/>
      <c r="T810" s="2"/>
      <c r="U810" s="2"/>
      <c r="V810" s="2"/>
      <c r="W810" s="157"/>
      <c r="X810" s="157"/>
      <c r="Y810" s="157"/>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customHeight="1">
      <c r="A811" s="2"/>
      <c r="B811" s="2"/>
      <c r="C811" s="2"/>
      <c r="D811" s="2"/>
      <c r="E811" s="2"/>
      <c r="F811" s="2"/>
      <c r="G811" s="2"/>
      <c r="H811" s="2"/>
      <c r="I811" s="2"/>
      <c r="J811" s="2"/>
      <c r="K811" s="2"/>
      <c r="L811" s="2"/>
      <c r="M811" s="2"/>
      <c r="N811" s="2"/>
      <c r="O811" s="2"/>
      <c r="P811" s="2"/>
      <c r="Q811" s="2"/>
      <c r="R811" s="2"/>
      <c r="S811" s="2"/>
      <c r="T811" s="2"/>
      <c r="U811" s="2"/>
      <c r="V811" s="2"/>
      <c r="W811" s="157"/>
      <c r="X811" s="157"/>
      <c r="Y811" s="157"/>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customHeight="1">
      <c r="A812" s="2"/>
      <c r="B812" s="2"/>
      <c r="C812" s="2"/>
      <c r="D812" s="2"/>
      <c r="E812" s="2"/>
      <c r="F812" s="2"/>
      <c r="G812" s="2"/>
      <c r="H812" s="2"/>
      <c r="I812" s="2"/>
      <c r="J812" s="2"/>
      <c r="K812" s="2"/>
      <c r="L812" s="2"/>
      <c r="M812" s="2"/>
      <c r="N812" s="2"/>
      <c r="O812" s="2"/>
      <c r="P812" s="2"/>
      <c r="Q812" s="2"/>
      <c r="R812" s="2"/>
      <c r="S812" s="2"/>
      <c r="T812" s="2"/>
      <c r="U812" s="2"/>
      <c r="V812" s="2"/>
      <c r="W812" s="157"/>
      <c r="X812" s="157"/>
      <c r="Y812" s="157"/>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customHeight="1">
      <c r="A813" s="2"/>
      <c r="B813" s="2"/>
      <c r="C813" s="2"/>
      <c r="D813" s="2"/>
      <c r="E813" s="2"/>
      <c r="F813" s="2"/>
      <c r="G813" s="2"/>
      <c r="H813" s="2"/>
      <c r="I813" s="2"/>
      <c r="J813" s="2"/>
      <c r="K813" s="2"/>
      <c r="L813" s="2"/>
      <c r="M813" s="2"/>
      <c r="N813" s="2"/>
      <c r="O813" s="2"/>
      <c r="P813" s="2"/>
      <c r="Q813" s="2"/>
      <c r="R813" s="2"/>
      <c r="S813" s="2"/>
      <c r="T813" s="2"/>
      <c r="U813" s="2"/>
      <c r="V813" s="2"/>
      <c r="W813" s="157"/>
      <c r="X813" s="157"/>
      <c r="Y813" s="157"/>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customHeight="1">
      <c r="A814" s="2"/>
      <c r="B814" s="2"/>
      <c r="C814" s="2"/>
      <c r="D814" s="2"/>
      <c r="E814" s="2"/>
      <c r="F814" s="2"/>
      <c r="G814" s="2"/>
      <c r="H814" s="2"/>
      <c r="I814" s="2"/>
      <c r="J814" s="2"/>
      <c r="K814" s="2"/>
      <c r="L814" s="2"/>
      <c r="M814" s="2"/>
      <c r="N814" s="2"/>
      <c r="O814" s="2"/>
      <c r="P814" s="2"/>
      <c r="Q814" s="2"/>
      <c r="R814" s="2"/>
      <c r="S814" s="2"/>
      <c r="T814" s="2"/>
      <c r="U814" s="2"/>
      <c r="V814" s="2"/>
      <c r="W814" s="157"/>
      <c r="X814" s="157"/>
      <c r="Y814" s="157"/>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customHeight="1">
      <c r="A815" s="2"/>
      <c r="B815" s="2"/>
      <c r="C815" s="2"/>
      <c r="D815" s="2"/>
      <c r="E815" s="2"/>
      <c r="F815" s="2"/>
      <c r="G815" s="2"/>
      <c r="H815" s="2"/>
      <c r="I815" s="2"/>
      <c r="J815" s="2"/>
      <c r="K815" s="2"/>
      <c r="L815" s="2"/>
      <c r="M815" s="2"/>
      <c r="N815" s="2"/>
      <c r="O815" s="2"/>
      <c r="P815" s="2"/>
      <c r="Q815" s="2"/>
      <c r="R815" s="2"/>
      <c r="S815" s="2"/>
      <c r="T815" s="2"/>
      <c r="U815" s="2"/>
      <c r="V815" s="2"/>
      <c r="W815" s="157"/>
      <c r="X815" s="157"/>
      <c r="Y815" s="157"/>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customHeight="1">
      <c r="A816" s="2"/>
      <c r="B816" s="2"/>
      <c r="C816" s="2"/>
      <c r="D816" s="2"/>
      <c r="E816" s="2"/>
      <c r="F816" s="2"/>
      <c r="G816" s="2"/>
      <c r="H816" s="2"/>
      <c r="I816" s="2"/>
      <c r="J816" s="2"/>
      <c r="K816" s="2"/>
      <c r="L816" s="2"/>
      <c r="M816" s="2"/>
      <c r="N816" s="2"/>
      <c r="O816" s="2"/>
      <c r="P816" s="2"/>
      <c r="Q816" s="2"/>
      <c r="R816" s="2"/>
      <c r="S816" s="2"/>
      <c r="T816" s="2"/>
      <c r="U816" s="2"/>
      <c r="V816" s="2"/>
      <c r="W816" s="157"/>
      <c r="X816" s="157"/>
      <c r="Y816" s="157"/>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customHeight="1">
      <c r="A817" s="2"/>
      <c r="B817" s="2"/>
      <c r="C817" s="2"/>
      <c r="D817" s="2"/>
      <c r="E817" s="2"/>
      <c r="F817" s="2"/>
      <c r="G817" s="2"/>
      <c r="H817" s="2"/>
      <c r="I817" s="2"/>
      <c r="J817" s="2"/>
      <c r="K817" s="2"/>
      <c r="L817" s="2"/>
      <c r="M817" s="2"/>
      <c r="N817" s="2"/>
      <c r="O817" s="2"/>
      <c r="P817" s="2"/>
      <c r="Q817" s="2"/>
      <c r="R817" s="2"/>
      <c r="S817" s="2"/>
      <c r="T817" s="2"/>
      <c r="U817" s="2"/>
      <c r="V817" s="2"/>
      <c r="W817" s="157"/>
      <c r="X817" s="157"/>
      <c r="Y817" s="157"/>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customHeight="1">
      <c r="A818" s="2"/>
      <c r="B818" s="2"/>
      <c r="C818" s="2"/>
      <c r="D818" s="2"/>
      <c r="E818" s="2"/>
      <c r="F818" s="2"/>
      <c r="G818" s="2"/>
      <c r="H818" s="2"/>
      <c r="I818" s="2"/>
      <c r="J818" s="2"/>
      <c r="K818" s="2"/>
      <c r="L818" s="2"/>
      <c r="M818" s="2"/>
      <c r="N818" s="2"/>
      <c r="O818" s="2"/>
      <c r="P818" s="2"/>
      <c r="Q818" s="2"/>
      <c r="R818" s="2"/>
      <c r="S818" s="2"/>
      <c r="T818" s="2"/>
      <c r="U818" s="2"/>
      <c r="V818" s="2"/>
      <c r="W818" s="157"/>
      <c r="X818" s="157"/>
      <c r="Y818" s="157"/>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customHeight="1">
      <c r="A819" s="2"/>
      <c r="B819" s="2"/>
      <c r="C819" s="2"/>
      <c r="D819" s="2"/>
      <c r="E819" s="2"/>
      <c r="F819" s="2"/>
      <c r="G819" s="2"/>
      <c r="H819" s="2"/>
      <c r="I819" s="2"/>
      <c r="J819" s="2"/>
      <c r="K819" s="2"/>
      <c r="L819" s="2"/>
      <c r="M819" s="2"/>
      <c r="N819" s="2"/>
      <c r="O819" s="2"/>
      <c r="P819" s="2"/>
      <c r="Q819" s="2"/>
      <c r="R819" s="2"/>
      <c r="S819" s="2"/>
      <c r="T819" s="2"/>
      <c r="U819" s="2"/>
      <c r="V819" s="2"/>
      <c r="W819" s="157"/>
      <c r="X819" s="157"/>
      <c r="Y819" s="157"/>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customHeight="1">
      <c r="A820" s="2"/>
      <c r="B820" s="2"/>
      <c r="C820" s="2"/>
      <c r="D820" s="2"/>
      <c r="E820" s="2"/>
      <c r="F820" s="2"/>
      <c r="G820" s="2"/>
      <c r="H820" s="2"/>
      <c r="I820" s="2"/>
      <c r="J820" s="2"/>
      <c r="K820" s="2"/>
      <c r="L820" s="2"/>
      <c r="M820" s="2"/>
      <c r="N820" s="2"/>
      <c r="O820" s="2"/>
      <c r="P820" s="2"/>
      <c r="Q820" s="2"/>
      <c r="R820" s="2"/>
      <c r="S820" s="2"/>
      <c r="T820" s="2"/>
      <c r="U820" s="2"/>
      <c r="V820" s="2"/>
      <c r="W820" s="157"/>
      <c r="X820" s="157"/>
      <c r="Y820" s="157"/>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customHeight="1">
      <c r="A821" s="2"/>
      <c r="B821" s="2"/>
      <c r="C821" s="2"/>
      <c r="D821" s="2"/>
      <c r="E821" s="2"/>
      <c r="F821" s="2"/>
      <c r="G821" s="2"/>
      <c r="H821" s="2"/>
      <c r="I821" s="2"/>
      <c r="J821" s="2"/>
      <c r="K821" s="2"/>
      <c r="L821" s="2"/>
      <c r="M821" s="2"/>
      <c r="N821" s="2"/>
      <c r="O821" s="2"/>
      <c r="P821" s="2"/>
      <c r="Q821" s="2"/>
      <c r="R821" s="2"/>
      <c r="S821" s="2"/>
      <c r="T821" s="2"/>
      <c r="U821" s="2"/>
      <c r="V821" s="2"/>
      <c r="W821" s="157"/>
      <c r="X821" s="157"/>
      <c r="Y821" s="157"/>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customHeight="1">
      <c r="A822" s="2"/>
      <c r="B822" s="2"/>
      <c r="C822" s="2"/>
      <c r="D822" s="2"/>
      <c r="E822" s="2"/>
      <c r="F822" s="2"/>
      <c r="G822" s="2"/>
      <c r="H822" s="2"/>
      <c r="I822" s="2"/>
      <c r="J822" s="2"/>
      <c r="K822" s="2"/>
      <c r="L822" s="2"/>
      <c r="M822" s="2"/>
      <c r="N822" s="2"/>
      <c r="O822" s="2"/>
      <c r="P822" s="2"/>
      <c r="Q822" s="2"/>
      <c r="R822" s="2"/>
      <c r="S822" s="2"/>
      <c r="T822" s="2"/>
      <c r="U822" s="2"/>
      <c r="V822" s="2"/>
      <c r="W822" s="157"/>
      <c r="X822" s="157"/>
      <c r="Y822" s="157"/>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customHeight="1">
      <c r="A823" s="2"/>
      <c r="B823" s="2"/>
      <c r="C823" s="2"/>
      <c r="D823" s="2"/>
      <c r="E823" s="2"/>
      <c r="F823" s="2"/>
      <c r="G823" s="2"/>
      <c r="H823" s="2"/>
      <c r="I823" s="2"/>
      <c r="J823" s="2"/>
      <c r="K823" s="2"/>
      <c r="L823" s="2"/>
      <c r="M823" s="2"/>
      <c r="N823" s="2"/>
      <c r="O823" s="2"/>
      <c r="P823" s="2"/>
      <c r="Q823" s="2"/>
      <c r="R823" s="2"/>
      <c r="S823" s="2"/>
      <c r="T823" s="2"/>
      <c r="U823" s="2"/>
      <c r="V823" s="2"/>
      <c r="W823" s="157"/>
      <c r="X823" s="157"/>
      <c r="Y823" s="157"/>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customHeight="1">
      <c r="A824" s="2"/>
      <c r="B824" s="2"/>
      <c r="C824" s="2"/>
      <c r="D824" s="2"/>
      <c r="E824" s="2"/>
      <c r="F824" s="2"/>
      <c r="G824" s="2"/>
      <c r="H824" s="2"/>
      <c r="I824" s="2"/>
      <c r="J824" s="2"/>
      <c r="K824" s="2"/>
      <c r="L824" s="2"/>
      <c r="M824" s="2"/>
      <c r="N824" s="2"/>
      <c r="O824" s="2"/>
      <c r="P824" s="2"/>
      <c r="Q824" s="2"/>
      <c r="R824" s="2"/>
      <c r="S824" s="2"/>
      <c r="T824" s="2"/>
      <c r="U824" s="2"/>
      <c r="V824" s="2"/>
      <c r="W824" s="157"/>
      <c r="X824" s="157"/>
      <c r="Y824" s="157"/>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customHeight="1">
      <c r="A825" s="2"/>
      <c r="B825" s="2"/>
      <c r="C825" s="2"/>
      <c r="D825" s="2"/>
      <c r="E825" s="2"/>
      <c r="F825" s="2"/>
      <c r="G825" s="2"/>
      <c r="H825" s="2"/>
      <c r="I825" s="2"/>
      <c r="J825" s="2"/>
      <c r="K825" s="2"/>
      <c r="L825" s="2"/>
      <c r="M825" s="2"/>
      <c r="N825" s="2"/>
      <c r="O825" s="2"/>
      <c r="P825" s="2"/>
      <c r="Q825" s="2"/>
      <c r="R825" s="2"/>
      <c r="S825" s="2"/>
      <c r="T825" s="2"/>
      <c r="U825" s="2"/>
      <c r="V825" s="2"/>
      <c r="W825" s="157"/>
      <c r="X825" s="157"/>
      <c r="Y825" s="157"/>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customHeight="1">
      <c r="A826" s="2"/>
      <c r="B826" s="2"/>
      <c r="C826" s="2"/>
      <c r="D826" s="2"/>
      <c r="E826" s="2"/>
      <c r="F826" s="2"/>
      <c r="G826" s="2"/>
      <c r="H826" s="2"/>
      <c r="I826" s="2"/>
      <c r="J826" s="2"/>
      <c r="K826" s="2"/>
      <c r="L826" s="2"/>
      <c r="M826" s="2"/>
      <c r="N826" s="2"/>
      <c r="O826" s="2"/>
      <c r="P826" s="2"/>
      <c r="Q826" s="2"/>
      <c r="R826" s="2"/>
      <c r="S826" s="2"/>
      <c r="T826" s="2"/>
      <c r="U826" s="2"/>
      <c r="V826" s="2"/>
      <c r="W826" s="157"/>
      <c r="X826" s="157"/>
      <c r="Y826" s="157"/>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customHeight="1">
      <c r="A827" s="2"/>
      <c r="B827" s="2"/>
      <c r="C827" s="2"/>
      <c r="D827" s="2"/>
      <c r="E827" s="2"/>
      <c r="F827" s="2"/>
      <c r="G827" s="2"/>
      <c r="H827" s="2"/>
      <c r="I827" s="2"/>
      <c r="J827" s="2"/>
      <c r="K827" s="2"/>
      <c r="L827" s="2"/>
      <c r="M827" s="2"/>
      <c r="N827" s="2"/>
      <c r="O827" s="2"/>
      <c r="P827" s="2"/>
      <c r="Q827" s="2"/>
      <c r="R827" s="2"/>
      <c r="S827" s="2"/>
      <c r="T827" s="2"/>
      <c r="U827" s="2"/>
      <c r="V827" s="2"/>
      <c r="W827" s="157"/>
      <c r="X827" s="157"/>
      <c r="Y827" s="157"/>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customHeight="1">
      <c r="A828" s="2"/>
      <c r="B828" s="2"/>
      <c r="C828" s="2"/>
      <c r="D828" s="2"/>
      <c r="E828" s="2"/>
      <c r="F828" s="2"/>
      <c r="G828" s="2"/>
      <c r="H828" s="2"/>
      <c r="I828" s="2"/>
      <c r="J828" s="2"/>
      <c r="K828" s="2"/>
      <c r="L828" s="2"/>
      <c r="M828" s="2"/>
      <c r="N828" s="2"/>
      <c r="O828" s="2"/>
      <c r="P828" s="2"/>
      <c r="Q828" s="2"/>
      <c r="R828" s="2"/>
      <c r="S828" s="2"/>
      <c r="T828" s="2"/>
      <c r="U828" s="2"/>
      <c r="V828" s="2"/>
      <c r="W828" s="157"/>
      <c r="X828" s="157"/>
      <c r="Y828" s="157"/>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customHeight="1">
      <c r="A829" s="2"/>
      <c r="B829" s="2"/>
      <c r="C829" s="2"/>
      <c r="D829" s="2"/>
      <c r="E829" s="2"/>
      <c r="F829" s="2"/>
      <c r="G829" s="2"/>
      <c r="H829" s="2"/>
      <c r="I829" s="2"/>
      <c r="J829" s="2"/>
      <c r="K829" s="2"/>
      <c r="L829" s="2"/>
      <c r="M829" s="2"/>
      <c r="N829" s="2"/>
      <c r="O829" s="2"/>
      <c r="P829" s="2"/>
      <c r="Q829" s="2"/>
      <c r="R829" s="2"/>
      <c r="S829" s="2"/>
      <c r="T829" s="2"/>
      <c r="U829" s="2"/>
      <c r="V829" s="2"/>
      <c r="W829" s="157"/>
      <c r="X829" s="157"/>
      <c r="Y829" s="157"/>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customHeight="1">
      <c r="A830" s="2"/>
      <c r="B830" s="2"/>
      <c r="C830" s="2"/>
      <c r="D830" s="2"/>
      <c r="E830" s="2"/>
      <c r="F830" s="2"/>
      <c r="G830" s="2"/>
      <c r="H830" s="2"/>
      <c r="I830" s="2"/>
      <c r="J830" s="2"/>
      <c r="K830" s="2"/>
      <c r="L830" s="2"/>
      <c r="M830" s="2"/>
      <c r="N830" s="2"/>
      <c r="O830" s="2"/>
      <c r="P830" s="2"/>
      <c r="Q830" s="2"/>
      <c r="R830" s="2"/>
      <c r="S830" s="2"/>
      <c r="T830" s="2"/>
      <c r="U830" s="2"/>
      <c r="V830" s="2"/>
      <c r="W830" s="157"/>
      <c r="X830" s="157"/>
      <c r="Y830" s="157"/>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customHeight="1">
      <c r="A831" s="2"/>
      <c r="B831" s="2"/>
      <c r="C831" s="2"/>
      <c r="D831" s="2"/>
      <c r="E831" s="2"/>
      <c r="F831" s="2"/>
      <c r="G831" s="2"/>
      <c r="H831" s="2"/>
      <c r="I831" s="2"/>
      <c r="J831" s="2"/>
      <c r="K831" s="2"/>
      <c r="L831" s="2"/>
      <c r="M831" s="2"/>
      <c r="N831" s="2"/>
      <c r="O831" s="2"/>
      <c r="P831" s="2"/>
      <c r="Q831" s="2"/>
      <c r="R831" s="2"/>
      <c r="S831" s="2"/>
      <c r="T831" s="2"/>
      <c r="U831" s="2"/>
      <c r="V831" s="2"/>
      <c r="W831" s="157"/>
      <c r="X831" s="157"/>
      <c r="Y831" s="157"/>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customHeight="1">
      <c r="A832" s="2"/>
      <c r="B832" s="2"/>
      <c r="C832" s="2"/>
      <c r="D832" s="2"/>
      <c r="E832" s="2"/>
      <c r="F832" s="2"/>
      <c r="G832" s="2"/>
      <c r="H832" s="2"/>
      <c r="I832" s="2"/>
      <c r="J832" s="2"/>
      <c r="K832" s="2"/>
      <c r="L832" s="2"/>
      <c r="M832" s="2"/>
      <c r="N832" s="2"/>
      <c r="O832" s="2"/>
      <c r="P832" s="2"/>
      <c r="Q832" s="2"/>
      <c r="R832" s="2"/>
      <c r="S832" s="2"/>
      <c r="T832" s="2"/>
      <c r="U832" s="2"/>
      <c r="V832" s="2"/>
      <c r="W832" s="157"/>
      <c r="X832" s="157"/>
      <c r="Y832" s="157"/>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customHeight="1">
      <c r="A833" s="2"/>
      <c r="B833" s="2"/>
      <c r="C833" s="2"/>
      <c r="D833" s="2"/>
      <c r="E833" s="2"/>
      <c r="F833" s="2"/>
      <c r="G833" s="2"/>
      <c r="H833" s="2"/>
      <c r="I833" s="2"/>
      <c r="J833" s="2"/>
      <c r="K833" s="2"/>
      <c r="L833" s="2"/>
      <c r="M833" s="2"/>
      <c r="N833" s="2"/>
      <c r="O833" s="2"/>
      <c r="P833" s="2"/>
      <c r="Q833" s="2"/>
      <c r="R833" s="2"/>
      <c r="S833" s="2"/>
      <c r="T833" s="2"/>
      <c r="U833" s="2"/>
      <c r="V833" s="2"/>
      <c r="W833" s="157"/>
      <c r="X833" s="157"/>
      <c r="Y833" s="157"/>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customHeight="1">
      <c r="A834" s="2"/>
      <c r="B834" s="2"/>
      <c r="C834" s="2"/>
      <c r="D834" s="2"/>
      <c r="E834" s="2"/>
      <c r="F834" s="2"/>
      <c r="G834" s="2"/>
      <c r="H834" s="2"/>
      <c r="I834" s="2"/>
      <c r="J834" s="2"/>
      <c r="K834" s="2"/>
      <c r="L834" s="2"/>
      <c r="M834" s="2"/>
      <c r="N834" s="2"/>
      <c r="O834" s="2"/>
      <c r="P834" s="2"/>
      <c r="Q834" s="2"/>
      <c r="R834" s="2"/>
      <c r="S834" s="2"/>
      <c r="T834" s="2"/>
      <c r="U834" s="2"/>
      <c r="V834" s="2"/>
      <c r="W834" s="157"/>
      <c r="X834" s="157"/>
      <c r="Y834" s="157"/>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customHeight="1">
      <c r="A835" s="2"/>
      <c r="B835" s="2"/>
      <c r="C835" s="2"/>
      <c r="D835" s="2"/>
      <c r="E835" s="2"/>
      <c r="F835" s="2"/>
      <c r="G835" s="2"/>
      <c r="H835" s="2"/>
      <c r="I835" s="2"/>
      <c r="J835" s="2"/>
      <c r="K835" s="2"/>
      <c r="L835" s="2"/>
      <c r="M835" s="2"/>
      <c r="N835" s="2"/>
      <c r="O835" s="2"/>
      <c r="P835" s="2"/>
      <c r="Q835" s="2"/>
      <c r="R835" s="2"/>
      <c r="S835" s="2"/>
      <c r="T835" s="2"/>
      <c r="U835" s="2"/>
      <c r="V835" s="2"/>
      <c r="W835" s="157"/>
      <c r="X835" s="157"/>
      <c r="Y835" s="157"/>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customHeight="1">
      <c r="A836" s="2"/>
      <c r="B836" s="2"/>
      <c r="C836" s="2"/>
      <c r="D836" s="2"/>
      <c r="E836" s="2"/>
      <c r="F836" s="2"/>
      <c r="G836" s="2"/>
      <c r="H836" s="2"/>
      <c r="I836" s="2"/>
      <c r="J836" s="2"/>
      <c r="K836" s="2"/>
      <c r="L836" s="2"/>
      <c r="M836" s="2"/>
      <c r="N836" s="2"/>
      <c r="O836" s="2"/>
      <c r="P836" s="2"/>
      <c r="Q836" s="2"/>
      <c r="R836" s="2"/>
      <c r="S836" s="2"/>
      <c r="T836" s="2"/>
      <c r="U836" s="2"/>
      <c r="V836" s="2"/>
      <c r="W836" s="157"/>
      <c r="X836" s="157"/>
      <c r="Y836" s="157"/>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customHeight="1">
      <c r="A837" s="2"/>
      <c r="B837" s="2"/>
      <c r="C837" s="2"/>
      <c r="D837" s="2"/>
      <c r="E837" s="2"/>
      <c r="F837" s="2"/>
      <c r="G837" s="2"/>
      <c r="H837" s="2"/>
      <c r="I837" s="2"/>
      <c r="J837" s="2"/>
      <c r="K837" s="2"/>
      <c r="L837" s="2"/>
      <c r="M837" s="2"/>
      <c r="N837" s="2"/>
      <c r="O837" s="2"/>
      <c r="P837" s="2"/>
      <c r="Q837" s="2"/>
      <c r="R837" s="2"/>
      <c r="S837" s="2"/>
      <c r="T837" s="2"/>
      <c r="U837" s="2"/>
      <c r="V837" s="2"/>
      <c r="W837" s="157"/>
      <c r="X837" s="157"/>
      <c r="Y837" s="157"/>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customHeight="1">
      <c r="A838" s="2"/>
      <c r="B838" s="2"/>
      <c r="C838" s="2"/>
      <c r="D838" s="2"/>
      <c r="E838" s="2"/>
      <c r="F838" s="2"/>
      <c r="G838" s="2"/>
      <c r="H838" s="2"/>
      <c r="I838" s="2"/>
      <c r="J838" s="2"/>
      <c r="K838" s="2"/>
      <c r="L838" s="2"/>
      <c r="M838" s="2"/>
      <c r="N838" s="2"/>
      <c r="O838" s="2"/>
      <c r="P838" s="2"/>
      <c r="Q838" s="2"/>
      <c r="R838" s="2"/>
      <c r="S838" s="2"/>
      <c r="T838" s="2"/>
      <c r="U838" s="2"/>
      <c r="V838" s="2"/>
      <c r="W838" s="157"/>
      <c r="X838" s="157"/>
      <c r="Y838" s="157"/>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customHeight="1">
      <c r="A839" s="2"/>
      <c r="B839" s="2"/>
      <c r="C839" s="2"/>
      <c r="D839" s="2"/>
      <c r="E839" s="2"/>
      <c r="F839" s="2"/>
      <c r="G839" s="2"/>
      <c r="H839" s="2"/>
      <c r="I839" s="2"/>
      <c r="J839" s="2"/>
      <c r="K839" s="2"/>
      <c r="L839" s="2"/>
      <c r="M839" s="2"/>
      <c r="N839" s="2"/>
      <c r="O839" s="2"/>
      <c r="P839" s="2"/>
      <c r="Q839" s="2"/>
      <c r="R839" s="2"/>
      <c r="S839" s="2"/>
      <c r="T839" s="2"/>
      <c r="U839" s="2"/>
      <c r="V839" s="2"/>
      <c r="W839" s="157"/>
      <c r="X839" s="157"/>
      <c r="Y839" s="157"/>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customHeight="1">
      <c r="A840" s="2"/>
      <c r="B840" s="2"/>
      <c r="C840" s="2"/>
      <c r="D840" s="2"/>
      <c r="E840" s="2"/>
      <c r="F840" s="2"/>
      <c r="G840" s="2"/>
      <c r="H840" s="2"/>
      <c r="I840" s="2"/>
      <c r="J840" s="2"/>
      <c r="K840" s="2"/>
      <c r="L840" s="2"/>
      <c r="M840" s="2"/>
      <c r="N840" s="2"/>
      <c r="O840" s="2"/>
      <c r="P840" s="2"/>
      <c r="Q840" s="2"/>
      <c r="R840" s="2"/>
      <c r="S840" s="2"/>
      <c r="T840" s="2"/>
      <c r="U840" s="2"/>
      <c r="V840" s="2"/>
      <c r="W840" s="157"/>
      <c r="X840" s="157"/>
      <c r="Y840" s="157"/>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customHeight="1">
      <c r="A841" s="2"/>
      <c r="B841" s="2"/>
      <c r="C841" s="2"/>
      <c r="D841" s="2"/>
      <c r="E841" s="2"/>
      <c r="F841" s="2"/>
      <c r="G841" s="2"/>
      <c r="H841" s="2"/>
      <c r="I841" s="2"/>
      <c r="J841" s="2"/>
      <c r="K841" s="2"/>
      <c r="L841" s="2"/>
      <c r="M841" s="2"/>
      <c r="N841" s="2"/>
      <c r="O841" s="2"/>
      <c r="P841" s="2"/>
      <c r="Q841" s="2"/>
      <c r="R841" s="2"/>
      <c r="S841" s="2"/>
      <c r="T841" s="2"/>
      <c r="U841" s="2"/>
      <c r="V841" s="2"/>
      <c r="W841" s="157"/>
      <c r="X841" s="157"/>
      <c r="Y841" s="157"/>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customHeight="1">
      <c r="A842" s="2"/>
      <c r="B842" s="2"/>
      <c r="C842" s="2"/>
      <c r="D842" s="2"/>
      <c r="E842" s="2"/>
      <c r="F842" s="2"/>
      <c r="G842" s="2"/>
      <c r="H842" s="2"/>
      <c r="I842" s="2"/>
      <c r="J842" s="2"/>
      <c r="K842" s="2"/>
      <c r="L842" s="2"/>
      <c r="M842" s="2"/>
      <c r="N842" s="2"/>
      <c r="O842" s="2"/>
      <c r="P842" s="2"/>
      <c r="Q842" s="2"/>
      <c r="R842" s="2"/>
      <c r="S842" s="2"/>
      <c r="T842" s="2"/>
      <c r="U842" s="2"/>
      <c r="V842" s="2"/>
      <c r="W842" s="157"/>
      <c r="X842" s="157"/>
      <c r="Y842" s="157"/>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customHeight="1">
      <c r="A843" s="2"/>
      <c r="B843" s="2"/>
      <c r="C843" s="2"/>
      <c r="D843" s="2"/>
      <c r="E843" s="2"/>
      <c r="F843" s="2"/>
      <c r="G843" s="2"/>
      <c r="H843" s="2"/>
      <c r="I843" s="2"/>
      <c r="J843" s="2"/>
      <c r="K843" s="2"/>
      <c r="L843" s="2"/>
      <c r="M843" s="2"/>
      <c r="N843" s="2"/>
      <c r="O843" s="2"/>
      <c r="P843" s="2"/>
      <c r="Q843" s="2"/>
      <c r="R843" s="2"/>
      <c r="S843" s="2"/>
      <c r="T843" s="2"/>
      <c r="U843" s="2"/>
      <c r="V843" s="2"/>
      <c r="W843" s="157"/>
      <c r="X843" s="157"/>
      <c r="Y843" s="157"/>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customHeight="1">
      <c r="A844" s="2"/>
      <c r="B844" s="2"/>
      <c r="C844" s="2"/>
      <c r="D844" s="2"/>
      <c r="E844" s="2"/>
      <c r="F844" s="2"/>
      <c r="G844" s="2"/>
      <c r="H844" s="2"/>
      <c r="I844" s="2"/>
      <c r="J844" s="2"/>
      <c r="K844" s="2"/>
      <c r="L844" s="2"/>
      <c r="M844" s="2"/>
      <c r="N844" s="2"/>
      <c r="O844" s="2"/>
      <c r="P844" s="2"/>
      <c r="Q844" s="2"/>
      <c r="R844" s="2"/>
      <c r="S844" s="2"/>
      <c r="T844" s="2"/>
      <c r="U844" s="2"/>
      <c r="V844" s="2"/>
      <c r="W844" s="157"/>
      <c r="X844" s="157"/>
      <c r="Y844" s="157"/>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customHeight="1">
      <c r="A845" s="2"/>
      <c r="B845" s="2"/>
      <c r="C845" s="2"/>
      <c r="D845" s="2"/>
      <c r="E845" s="2"/>
      <c r="F845" s="2"/>
      <c r="G845" s="2"/>
      <c r="H845" s="2"/>
      <c r="I845" s="2"/>
      <c r="J845" s="2"/>
      <c r="K845" s="2"/>
      <c r="L845" s="2"/>
      <c r="M845" s="2"/>
      <c r="N845" s="2"/>
      <c r="O845" s="2"/>
      <c r="P845" s="2"/>
      <c r="Q845" s="2"/>
      <c r="R845" s="2"/>
      <c r="S845" s="2"/>
      <c r="T845" s="2"/>
      <c r="U845" s="2"/>
      <c r="V845" s="2"/>
      <c r="W845" s="157"/>
      <c r="X845" s="157"/>
      <c r="Y845" s="157"/>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customHeight="1">
      <c r="A846" s="2"/>
      <c r="B846" s="2"/>
      <c r="C846" s="2"/>
      <c r="D846" s="2"/>
      <c r="E846" s="2"/>
      <c r="F846" s="2"/>
      <c r="G846" s="2"/>
      <c r="H846" s="2"/>
      <c r="I846" s="2"/>
      <c r="J846" s="2"/>
      <c r="K846" s="2"/>
      <c r="L846" s="2"/>
      <c r="M846" s="2"/>
      <c r="N846" s="2"/>
      <c r="O846" s="2"/>
      <c r="P846" s="2"/>
      <c r="Q846" s="2"/>
      <c r="R846" s="2"/>
      <c r="S846" s="2"/>
      <c r="T846" s="2"/>
      <c r="U846" s="2"/>
      <c r="V846" s="2"/>
      <c r="W846" s="157"/>
      <c r="X846" s="157"/>
      <c r="Y846" s="157"/>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customHeight="1">
      <c r="A847" s="2"/>
      <c r="B847" s="2"/>
      <c r="C847" s="2"/>
      <c r="D847" s="2"/>
      <c r="E847" s="2"/>
      <c r="F847" s="2"/>
      <c r="G847" s="2"/>
      <c r="H847" s="2"/>
      <c r="I847" s="2"/>
      <c r="J847" s="2"/>
      <c r="K847" s="2"/>
      <c r="L847" s="2"/>
      <c r="M847" s="2"/>
      <c r="N847" s="2"/>
      <c r="O847" s="2"/>
      <c r="P847" s="2"/>
      <c r="Q847" s="2"/>
      <c r="R847" s="2"/>
      <c r="S847" s="2"/>
      <c r="T847" s="2"/>
      <c r="U847" s="2"/>
      <c r="V847" s="2"/>
      <c r="W847" s="157"/>
      <c r="X847" s="157"/>
      <c r="Y847" s="157"/>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customHeight="1">
      <c r="A848" s="2"/>
      <c r="B848" s="2"/>
      <c r="C848" s="2"/>
      <c r="D848" s="2"/>
      <c r="E848" s="2"/>
      <c r="F848" s="2"/>
      <c r="G848" s="2"/>
      <c r="H848" s="2"/>
      <c r="I848" s="2"/>
      <c r="J848" s="2"/>
      <c r="K848" s="2"/>
      <c r="L848" s="2"/>
      <c r="M848" s="2"/>
      <c r="N848" s="2"/>
      <c r="O848" s="2"/>
      <c r="P848" s="2"/>
      <c r="Q848" s="2"/>
      <c r="R848" s="2"/>
      <c r="S848" s="2"/>
      <c r="T848" s="2"/>
      <c r="U848" s="2"/>
      <c r="V848" s="2"/>
      <c r="W848" s="157"/>
      <c r="X848" s="157"/>
      <c r="Y848" s="157"/>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customHeight="1">
      <c r="A849" s="2"/>
      <c r="B849" s="2"/>
      <c r="C849" s="2"/>
      <c r="D849" s="2"/>
      <c r="E849" s="2"/>
      <c r="F849" s="2"/>
      <c r="G849" s="2"/>
      <c r="H849" s="2"/>
      <c r="I849" s="2"/>
      <c r="J849" s="2"/>
      <c r="K849" s="2"/>
      <c r="L849" s="2"/>
      <c r="M849" s="2"/>
      <c r="N849" s="2"/>
      <c r="O849" s="2"/>
      <c r="P849" s="2"/>
      <c r="Q849" s="2"/>
      <c r="R849" s="2"/>
      <c r="S849" s="2"/>
      <c r="T849" s="2"/>
      <c r="U849" s="2"/>
      <c r="V849" s="2"/>
      <c r="W849" s="157"/>
      <c r="X849" s="157"/>
      <c r="Y849" s="157"/>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customHeight="1">
      <c r="A850" s="2"/>
      <c r="B850" s="2"/>
      <c r="C850" s="2"/>
      <c r="D850" s="2"/>
      <c r="E850" s="2"/>
      <c r="F850" s="2"/>
      <c r="G850" s="2"/>
      <c r="H850" s="2"/>
      <c r="I850" s="2"/>
      <c r="J850" s="2"/>
      <c r="K850" s="2"/>
      <c r="L850" s="2"/>
      <c r="M850" s="2"/>
      <c r="N850" s="2"/>
      <c r="O850" s="2"/>
      <c r="P850" s="2"/>
      <c r="Q850" s="2"/>
      <c r="R850" s="2"/>
      <c r="S850" s="2"/>
      <c r="T850" s="2"/>
      <c r="U850" s="2"/>
      <c r="V850" s="2"/>
      <c r="W850" s="157"/>
      <c r="X850" s="157"/>
      <c r="Y850" s="157"/>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customHeight="1">
      <c r="A851" s="2"/>
      <c r="B851" s="2"/>
      <c r="C851" s="2"/>
      <c r="D851" s="2"/>
      <c r="E851" s="2"/>
      <c r="F851" s="2"/>
      <c r="G851" s="2"/>
      <c r="H851" s="2"/>
      <c r="I851" s="2"/>
      <c r="J851" s="2"/>
      <c r="K851" s="2"/>
      <c r="L851" s="2"/>
      <c r="M851" s="2"/>
      <c r="N851" s="2"/>
      <c r="O851" s="2"/>
      <c r="P851" s="2"/>
      <c r="Q851" s="2"/>
      <c r="R851" s="2"/>
      <c r="S851" s="2"/>
      <c r="T851" s="2"/>
      <c r="U851" s="2"/>
      <c r="V851" s="2"/>
      <c r="W851" s="157"/>
      <c r="X851" s="157"/>
      <c r="Y851" s="157"/>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customHeight="1">
      <c r="A852" s="2"/>
      <c r="B852" s="2"/>
      <c r="C852" s="2"/>
      <c r="D852" s="2"/>
      <c r="E852" s="2"/>
      <c r="F852" s="2"/>
      <c r="G852" s="2"/>
      <c r="H852" s="2"/>
      <c r="I852" s="2"/>
      <c r="J852" s="2"/>
      <c r="K852" s="2"/>
      <c r="L852" s="2"/>
      <c r="M852" s="2"/>
      <c r="N852" s="2"/>
      <c r="O852" s="2"/>
      <c r="P852" s="2"/>
      <c r="Q852" s="2"/>
      <c r="R852" s="2"/>
      <c r="S852" s="2"/>
      <c r="T852" s="2"/>
      <c r="U852" s="2"/>
      <c r="V852" s="2"/>
      <c r="W852" s="157"/>
      <c r="X852" s="157"/>
      <c r="Y852" s="157"/>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customHeight="1">
      <c r="A853" s="2"/>
      <c r="B853" s="2"/>
      <c r="C853" s="2"/>
      <c r="D853" s="2"/>
      <c r="E853" s="2"/>
      <c r="F853" s="2"/>
      <c r="G853" s="2"/>
      <c r="H853" s="2"/>
      <c r="I853" s="2"/>
      <c r="J853" s="2"/>
      <c r="K853" s="2"/>
      <c r="L853" s="2"/>
      <c r="M853" s="2"/>
      <c r="N853" s="2"/>
      <c r="O853" s="2"/>
      <c r="P853" s="2"/>
      <c r="Q853" s="2"/>
      <c r="R853" s="2"/>
      <c r="S853" s="2"/>
      <c r="T853" s="2"/>
      <c r="U853" s="2"/>
      <c r="V853" s="2"/>
      <c r="W853" s="157"/>
      <c r="X853" s="157"/>
      <c r="Y853" s="157"/>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customHeight="1">
      <c r="A854" s="2"/>
      <c r="B854" s="2"/>
      <c r="C854" s="2"/>
      <c r="D854" s="2"/>
      <c r="E854" s="2"/>
      <c r="F854" s="2"/>
      <c r="G854" s="2"/>
      <c r="H854" s="2"/>
      <c r="I854" s="2"/>
      <c r="J854" s="2"/>
      <c r="K854" s="2"/>
      <c r="L854" s="2"/>
      <c r="M854" s="2"/>
      <c r="N854" s="2"/>
      <c r="O854" s="2"/>
      <c r="P854" s="2"/>
      <c r="Q854" s="2"/>
      <c r="R854" s="2"/>
      <c r="S854" s="2"/>
      <c r="T854" s="2"/>
      <c r="U854" s="2"/>
      <c r="V854" s="2"/>
      <c r="W854" s="157"/>
      <c r="X854" s="157"/>
      <c r="Y854" s="157"/>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customHeight="1">
      <c r="A855" s="2"/>
      <c r="B855" s="2"/>
      <c r="C855" s="2"/>
      <c r="D855" s="2"/>
      <c r="E855" s="2"/>
      <c r="F855" s="2"/>
      <c r="G855" s="2"/>
      <c r="H855" s="2"/>
      <c r="I855" s="2"/>
      <c r="J855" s="2"/>
      <c r="K855" s="2"/>
      <c r="L855" s="2"/>
      <c r="M855" s="2"/>
      <c r="N855" s="2"/>
      <c r="O855" s="2"/>
      <c r="P855" s="2"/>
      <c r="Q855" s="2"/>
      <c r="R855" s="2"/>
      <c r="S855" s="2"/>
      <c r="T855" s="2"/>
      <c r="U855" s="2"/>
      <c r="V855" s="2"/>
      <c r="W855" s="157"/>
      <c r="X855" s="157"/>
      <c r="Y855" s="157"/>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customHeight="1">
      <c r="A856" s="2"/>
      <c r="B856" s="2"/>
      <c r="C856" s="2"/>
      <c r="D856" s="2"/>
      <c r="E856" s="2"/>
      <c r="F856" s="2"/>
      <c r="G856" s="2"/>
      <c r="H856" s="2"/>
      <c r="I856" s="2"/>
      <c r="J856" s="2"/>
      <c r="K856" s="2"/>
      <c r="L856" s="2"/>
      <c r="M856" s="2"/>
      <c r="N856" s="2"/>
      <c r="O856" s="2"/>
      <c r="P856" s="2"/>
      <c r="Q856" s="2"/>
      <c r="R856" s="2"/>
      <c r="S856" s="2"/>
      <c r="T856" s="2"/>
      <c r="U856" s="2"/>
      <c r="V856" s="2"/>
      <c r="W856" s="157"/>
      <c r="X856" s="157"/>
      <c r="Y856" s="157"/>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customHeight="1">
      <c r="A857" s="2"/>
      <c r="B857" s="2"/>
      <c r="C857" s="2"/>
      <c r="D857" s="2"/>
      <c r="E857" s="2"/>
      <c r="F857" s="2"/>
      <c r="G857" s="2"/>
      <c r="H857" s="2"/>
      <c r="I857" s="2"/>
      <c r="J857" s="2"/>
      <c r="K857" s="2"/>
      <c r="L857" s="2"/>
      <c r="M857" s="2"/>
      <c r="N857" s="2"/>
      <c r="O857" s="2"/>
      <c r="P857" s="2"/>
      <c r="Q857" s="2"/>
      <c r="R857" s="2"/>
      <c r="S857" s="2"/>
      <c r="T857" s="2"/>
      <c r="U857" s="2"/>
      <c r="V857" s="2"/>
      <c r="W857" s="157"/>
      <c r="X857" s="157"/>
      <c r="Y857" s="157"/>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customHeight="1">
      <c r="A858" s="2"/>
      <c r="B858" s="2"/>
      <c r="C858" s="2"/>
      <c r="D858" s="2"/>
      <c r="E858" s="2"/>
      <c r="F858" s="2"/>
      <c r="G858" s="2"/>
      <c r="H858" s="2"/>
      <c r="I858" s="2"/>
      <c r="J858" s="2"/>
      <c r="K858" s="2"/>
      <c r="L858" s="2"/>
      <c r="M858" s="2"/>
      <c r="N858" s="2"/>
      <c r="O858" s="2"/>
      <c r="P858" s="2"/>
      <c r="Q858" s="2"/>
      <c r="R858" s="2"/>
      <c r="S858" s="2"/>
      <c r="T858" s="2"/>
      <c r="U858" s="2"/>
      <c r="V858" s="2"/>
      <c r="W858" s="157"/>
      <c r="X858" s="157"/>
      <c r="Y858" s="157"/>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customHeight="1">
      <c r="A859" s="2"/>
      <c r="B859" s="2"/>
      <c r="C859" s="2"/>
      <c r="D859" s="2"/>
      <c r="E859" s="2"/>
      <c r="F859" s="2"/>
      <c r="G859" s="2"/>
      <c r="H859" s="2"/>
      <c r="I859" s="2"/>
      <c r="J859" s="2"/>
      <c r="K859" s="2"/>
      <c r="L859" s="2"/>
      <c r="M859" s="2"/>
      <c r="N859" s="2"/>
      <c r="O859" s="2"/>
      <c r="P859" s="2"/>
      <c r="Q859" s="2"/>
      <c r="R859" s="2"/>
      <c r="S859" s="2"/>
      <c r="T859" s="2"/>
      <c r="U859" s="2"/>
      <c r="V859" s="2"/>
      <c r="W859" s="157"/>
      <c r="X859" s="157"/>
      <c r="Y859" s="157"/>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customHeight="1">
      <c r="A860" s="2"/>
      <c r="B860" s="2"/>
      <c r="C860" s="2"/>
      <c r="D860" s="2"/>
      <c r="E860" s="2"/>
      <c r="F860" s="2"/>
      <c r="G860" s="2"/>
      <c r="H860" s="2"/>
      <c r="I860" s="2"/>
      <c r="J860" s="2"/>
      <c r="K860" s="2"/>
      <c r="L860" s="2"/>
      <c r="M860" s="2"/>
      <c r="N860" s="2"/>
      <c r="O860" s="2"/>
      <c r="P860" s="2"/>
      <c r="Q860" s="2"/>
      <c r="R860" s="2"/>
      <c r="S860" s="2"/>
      <c r="T860" s="2"/>
      <c r="U860" s="2"/>
      <c r="V860" s="2"/>
      <c r="W860" s="157"/>
      <c r="X860" s="157"/>
      <c r="Y860" s="157"/>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customHeight="1">
      <c r="A861" s="2"/>
      <c r="B861" s="2"/>
      <c r="C861" s="2"/>
      <c r="D861" s="2"/>
      <c r="E861" s="2"/>
      <c r="F861" s="2"/>
      <c r="G861" s="2"/>
      <c r="H861" s="2"/>
      <c r="I861" s="2"/>
      <c r="J861" s="2"/>
      <c r="K861" s="2"/>
      <c r="L861" s="2"/>
      <c r="M861" s="2"/>
      <c r="N861" s="2"/>
      <c r="O861" s="2"/>
      <c r="P861" s="2"/>
      <c r="Q861" s="2"/>
      <c r="R861" s="2"/>
      <c r="S861" s="2"/>
      <c r="T861" s="2"/>
      <c r="U861" s="2"/>
      <c r="V861" s="2"/>
      <c r="W861" s="157"/>
      <c r="X861" s="157"/>
      <c r="Y861" s="157"/>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customHeight="1">
      <c r="A862" s="2"/>
      <c r="B862" s="2"/>
      <c r="C862" s="2"/>
      <c r="D862" s="2"/>
      <c r="E862" s="2"/>
      <c r="F862" s="2"/>
      <c r="G862" s="2"/>
      <c r="H862" s="2"/>
      <c r="I862" s="2"/>
      <c r="J862" s="2"/>
      <c r="K862" s="2"/>
      <c r="L862" s="2"/>
      <c r="M862" s="2"/>
      <c r="N862" s="2"/>
      <c r="O862" s="2"/>
      <c r="P862" s="2"/>
      <c r="Q862" s="2"/>
      <c r="R862" s="2"/>
      <c r="S862" s="2"/>
      <c r="T862" s="2"/>
      <c r="U862" s="2"/>
      <c r="V862" s="2"/>
      <c r="W862" s="157"/>
      <c r="X862" s="157"/>
      <c r="Y862" s="157"/>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customHeight="1">
      <c r="A863" s="2"/>
      <c r="B863" s="2"/>
      <c r="C863" s="2"/>
      <c r="D863" s="2"/>
      <c r="E863" s="2"/>
      <c r="F863" s="2"/>
      <c r="G863" s="2"/>
      <c r="H863" s="2"/>
      <c r="I863" s="2"/>
      <c r="J863" s="2"/>
      <c r="K863" s="2"/>
      <c r="L863" s="2"/>
      <c r="M863" s="2"/>
      <c r="N863" s="2"/>
      <c r="O863" s="2"/>
      <c r="P863" s="2"/>
      <c r="Q863" s="2"/>
      <c r="R863" s="2"/>
      <c r="S863" s="2"/>
      <c r="T863" s="2"/>
      <c r="U863" s="2"/>
      <c r="V863" s="2"/>
      <c r="W863" s="157"/>
      <c r="X863" s="157"/>
      <c r="Y863" s="157"/>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customHeight="1">
      <c r="A864" s="2"/>
      <c r="B864" s="2"/>
      <c r="C864" s="2"/>
      <c r="D864" s="2"/>
      <c r="E864" s="2"/>
      <c r="F864" s="2"/>
      <c r="G864" s="2"/>
      <c r="H864" s="2"/>
      <c r="I864" s="2"/>
      <c r="J864" s="2"/>
      <c r="K864" s="2"/>
      <c r="L864" s="2"/>
      <c r="M864" s="2"/>
      <c r="N864" s="2"/>
      <c r="O864" s="2"/>
      <c r="P864" s="2"/>
      <c r="Q864" s="2"/>
      <c r="R864" s="2"/>
      <c r="S864" s="2"/>
      <c r="T864" s="2"/>
      <c r="U864" s="2"/>
      <c r="V864" s="2"/>
      <c r="W864" s="157"/>
      <c r="X864" s="157"/>
      <c r="Y864" s="157"/>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customHeight="1">
      <c r="A865" s="2"/>
      <c r="B865" s="2"/>
      <c r="C865" s="2"/>
      <c r="D865" s="2"/>
      <c r="E865" s="2"/>
      <c r="F865" s="2"/>
      <c r="G865" s="2"/>
      <c r="H865" s="2"/>
      <c r="I865" s="2"/>
      <c r="J865" s="2"/>
      <c r="K865" s="2"/>
      <c r="L865" s="2"/>
      <c r="M865" s="2"/>
      <c r="N865" s="2"/>
      <c r="O865" s="2"/>
      <c r="P865" s="2"/>
      <c r="Q865" s="2"/>
      <c r="R865" s="2"/>
      <c r="S865" s="2"/>
      <c r="T865" s="2"/>
      <c r="U865" s="2"/>
      <c r="V865" s="2"/>
      <c r="W865" s="157"/>
      <c r="X865" s="157"/>
      <c r="Y865" s="157"/>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customHeight="1">
      <c r="A866" s="2"/>
      <c r="B866" s="2"/>
      <c r="C866" s="2"/>
      <c r="D866" s="2"/>
      <c r="E866" s="2"/>
      <c r="F866" s="2"/>
      <c r="G866" s="2"/>
      <c r="H866" s="2"/>
      <c r="I866" s="2"/>
      <c r="J866" s="2"/>
      <c r="K866" s="2"/>
      <c r="L866" s="2"/>
      <c r="M866" s="2"/>
      <c r="N866" s="2"/>
      <c r="O866" s="2"/>
      <c r="P866" s="2"/>
      <c r="Q866" s="2"/>
      <c r="R866" s="2"/>
      <c r="S866" s="2"/>
      <c r="T866" s="2"/>
      <c r="U866" s="2"/>
      <c r="V866" s="2"/>
      <c r="W866" s="157"/>
      <c r="X866" s="157"/>
      <c r="Y866" s="157"/>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customHeight="1">
      <c r="A867" s="2"/>
      <c r="B867" s="2"/>
      <c r="C867" s="2"/>
      <c r="D867" s="2"/>
      <c r="E867" s="2"/>
      <c r="F867" s="2"/>
      <c r="G867" s="2"/>
      <c r="H867" s="2"/>
      <c r="I867" s="2"/>
      <c r="J867" s="2"/>
      <c r="K867" s="2"/>
      <c r="L867" s="2"/>
      <c r="M867" s="2"/>
      <c r="N867" s="2"/>
      <c r="O867" s="2"/>
      <c r="P867" s="2"/>
      <c r="Q867" s="2"/>
      <c r="R867" s="2"/>
      <c r="S867" s="2"/>
      <c r="T867" s="2"/>
      <c r="U867" s="2"/>
      <c r="V867" s="2"/>
      <c r="W867" s="157"/>
      <c r="X867" s="157"/>
      <c r="Y867" s="157"/>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customHeight="1">
      <c r="A868" s="2"/>
      <c r="B868" s="2"/>
      <c r="C868" s="2"/>
      <c r="D868" s="2"/>
      <c r="E868" s="2"/>
      <c r="F868" s="2"/>
      <c r="G868" s="2"/>
      <c r="H868" s="2"/>
      <c r="I868" s="2"/>
      <c r="J868" s="2"/>
      <c r="K868" s="2"/>
      <c r="L868" s="2"/>
      <c r="M868" s="2"/>
      <c r="N868" s="2"/>
      <c r="O868" s="2"/>
      <c r="P868" s="2"/>
      <c r="Q868" s="2"/>
      <c r="R868" s="2"/>
      <c r="S868" s="2"/>
      <c r="T868" s="2"/>
      <c r="U868" s="2"/>
      <c r="V868" s="2"/>
      <c r="W868" s="157"/>
      <c r="X868" s="157"/>
      <c r="Y868" s="157"/>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customHeight="1">
      <c r="A869" s="2"/>
      <c r="B869" s="2"/>
      <c r="C869" s="2"/>
      <c r="D869" s="2"/>
      <c r="E869" s="2"/>
      <c r="F869" s="2"/>
      <c r="G869" s="2"/>
      <c r="H869" s="2"/>
      <c r="I869" s="2"/>
      <c r="J869" s="2"/>
      <c r="K869" s="2"/>
      <c r="L869" s="2"/>
      <c r="M869" s="2"/>
      <c r="N869" s="2"/>
      <c r="O869" s="2"/>
      <c r="P869" s="2"/>
      <c r="Q869" s="2"/>
      <c r="R869" s="2"/>
      <c r="S869" s="2"/>
      <c r="T869" s="2"/>
      <c r="U869" s="2"/>
      <c r="V869" s="2"/>
      <c r="W869" s="157"/>
      <c r="X869" s="157"/>
      <c r="Y869" s="157"/>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customHeight="1">
      <c r="A870" s="2"/>
      <c r="B870" s="2"/>
      <c r="C870" s="2"/>
      <c r="D870" s="2"/>
      <c r="E870" s="2"/>
      <c r="F870" s="2"/>
      <c r="G870" s="2"/>
      <c r="H870" s="2"/>
      <c r="I870" s="2"/>
      <c r="J870" s="2"/>
      <c r="K870" s="2"/>
      <c r="L870" s="2"/>
      <c r="M870" s="2"/>
      <c r="N870" s="2"/>
      <c r="O870" s="2"/>
      <c r="P870" s="2"/>
      <c r="Q870" s="2"/>
      <c r="R870" s="2"/>
      <c r="S870" s="2"/>
      <c r="T870" s="2"/>
      <c r="U870" s="2"/>
      <c r="V870" s="2"/>
      <c r="W870" s="157"/>
      <c r="X870" s="157"/>
      <c r="Y870" s="157"/>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customHeight="1">
      <c r="A871" s="2"/>
      <c r="B871" s="2"/>
      <c r="C871" s="2"/>
      <c r="D871" s="2"/>
      <c r="E871" s="2"/>
      <c r="F871" s="2"/>
      <c r="G871" s="2"/>
      <c r="H871" s="2"/>
      <c r="I871" s="2"/>
      <c r="J871" s="2"/>
      <c r="K871" s="2"/>
      <c r="L871" s="2"/>
      <c r="M871" s="2"/>
      <c r="N871" s="2"/>
      <c r="O871" s="2"/>
      <c r="P871" s="2"/>
      <c r="Q871" s="2"/>
      <c r="R871" s="2"/>
      <c r="S871" s="2"/>
      <c r="T871" s="2"/>
      <c r="U871" s="2"/>
      <c r="V871" s="2"/>
      <c r="W871" s="157"/>
      <c r="X871" s="157"/>
      <c r="Y871" s="157"/>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customHeight="1">
      <c r="A872" s="2"/>
      <c r="B872" s="2"/>
      <c r="C872" s="2"/>
      <c r="D872" s="2"/>
      <c r="E872" s="2"/>
      <c r="F872" s="2"/>
      <c r="G872" s="2"/>
      <c r="H872" s="2"/>
      <c r="I872" s="2"/>
      <c r="J872" s="2"/>
      <c r="K872" s="2"/>
      <c r="L872" s="2"/>
      <c r="M872" s="2"/>
      <c r="N872" s="2"/>
      <c r="O872" s="2"/>
      <c r="P872" s="2"/>
      <c r="Q872" s="2"/>
      <c r="R872" s="2"/>
      <c r="S872" s="2"/>
      <c r="T872" s="2"/>
      <c r="U872" s="2"/>
      <c r="V872" s="2"/>
      <c r="W872" s="157"/>
      <c r="X872" s="157"/>
      <c r="Y872" s="157"/>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customHeight="1">
      <c r="A873" s="2"/>
      <c r="B873" s="2"/>
      <c r="C873" s="2"/>
      <c r="D873" s="2"/>
      <c r="E873" s="2"/>
      <c r="F873" s="2"/>
      <c r="G873" s="2"/>
      <c r="H873" s="2"/>
      <c r="I873" s="2"/>
      <c r="J873" s="2"/>
      <c r="K873" s="2"/>
      <c r="L873" s="2"/>
      <c r="M873" s="2"/>
      <c r="N873" s="2"/>
      <c r="O873" s="2"/>
      <c r="P873" s="2"/>
      <c r="Q873" s="2"/>
      <c r="R873" s="2"/>
      <c r="S873" s="2"/>
      <c r="T873" s="2"/>
      <c r="U873" s="2"/>
      <c r="V873" s="2"/>
      <c r="W873" s="157"/>
      <c r="X873" s="157"/>
      <c r="Y873" s="157"/>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customHeight="1">
      <c r="A874" s="2"/>
      <c r="B874" s="2"/>
      <c r="C874" s="2"/>
      <c r="D874" s="2"/>
      <c r="E874" s="2"/>
      <c r="F874" s="2"/>
      <c r="G874" s="2"/>
      <c r="H874" s="2"/>
      <c r="I874" s="2"/>
      <c r="J874" s="2"/>
      <c r="K874" s="2"/>
      <c r="L874" s="2"/>
      <c r="M874" s="2"/>
      <c r="N874" s="2"/>
      <c r="O874" s="2"/>
      <c r="P874" s="2"/>
      <c r="Q874" s="2"/>
      <c r="R874" s="2"/>
      <c r="S874" s="2"/>
      <c r="T874" s="2"/>
      <c r="U874" s="2"/>
      <c r="V874" s="2"/>
      <c r="W874" s="157"/>
      <c r="X874" s="157"/>
      <c r="Y874" s="157"/>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customHeight="1">
      <c r="A875" s="2"/>
      <c r="B875" s="2"/>
      <c r="C875" s="2"/>
      <c r="D875" s="2"/>
      <c r="E875" s="2"/>
      <c r="F875" s="2"/>
      <c r="G875" s="2"/>
      <c r="H875" s="2"/>
      <c r="I875" s="2"/>
      <c r="J875" s="2"/>
      <c r="K875" s="2"/>
      <c r="L875" s="2"/>
      <c r="M875" s="2"/>
      <c r="N875" s="2"/>
      <c r="O875" s="2"/>
      <c r="P875" s="2"/>
      <c r="Q875" s="2"/>
      <c r="R875" s="2"/>
      <c r="S875" s="2"/>
      <c r="T875" s="2"/>
      <c r="U875" s="2"/>
      <c r="V875" s="2"/>
      <c r="W875" s="157"/>
      <c r="X875" s="157"/>
      <c r="Y875" s="157"/>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customHeight="1">
      <c r="A876" s="2"/>
      <c r="B876" s="2"/>
      <c r="C876" s="2"/>
      <c r="D876" s="2"/>
      <c r="E876" s="2"/>
      <c r="F876" s="2"/>
      <c r="G876" s="2"/>
      <c r="H876" s="2"/>
      <c r="I876" s="2"/>
      <c r="J876" s="2"/>
      <c r="K876" s="2"/>
      <c r="L876" s="2"/>
      <c r="M876" s="2"/>
      <c r="N876" s="2"/>
      <c r="O876" s="2"/>
      <c r="P876" s="2"/>
      <c r="Q876" s="2"/>
      <c r="R876" s="2"/>
      <c r="S876" s="2"/>
      <c r="T876" s="2"/>
      <c r="U876" s="2"/>
      <c r="V876" s="2"/>
      <c r="W876" s="157"/>
      <c r="X876" s="157"/>
      <c r="Y876" s="157"/>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customHeight="1">
      <c r="A877" s="2"/>
      <c r="B877" s="2"/>
      <c r="C877" s="2"/>
      <c r="D877" s="2"/>
      <c r="E877" s="2"/>
      <c r="F877" s="2"/>
      <c r="G877" s="2"/>
      <c r="H877" s="2"/>
      <c r="I877" s="2"/>
      <c r="J877" s="2"/>
      <c r="K877" s="2"/>
      <c r="L877" s="2"/>
      <c r="M877" s="2"/>
      <c r="N877" s="2"/>
      <c r="O877" s="2"/>
      <c r="P877" s="2"/>
      <c r="Q877" s="2"/>
      <c r="R877" s="2"/>
      <c r="S877" s="2"/>
      <c r="T877" s="2"/>
      <c r="U877" s="2"/>
      <c r="V877" s="2"/>
      <c r="W877" s="157"/>
      <c r="X877" s="157"/>
      <c r="Y877" s="157"/>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customHeight="1">
      <c r="A878" s="2"/>
      <c r="B878" s="2"/>
      <c r="C878" s="2"/>
      <c r="D878" s="2"/>
      <c r="E878" s="2"/>
      <c r="F878" s="2"/>
      <c r="G878" s="2"/>
      <c r="H878" s="2"/>
      <c r="I878" s="2"/>
      <c r="J878" s="2"/>
      <c r="K878" s="2"/>
      <c r="L878" s="2"/>
      <c r="M878" s="2"/>
      <c r="N878" s="2"/>
      <c r="O878" s="2"/>
      <c r="P878" s="2"/>
      <c r="Q878" s="2"/>
      <c r="R878" s="2"/>
      <c r="S878" s="2"/>
      <c r="T878" s="2"/>
      <c r="U878" s="2"/>
      <c r="V878" s="2"/>
      <c r="W878" s="157"/>
      <c r="X878" s="157"/>
      <c r="Y878" s="157"/>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customHeight="1">
      <c r="A879" s="2"/>
      <c r="B879" s="2"/>
      <c r="C879" s="2"/>
      <c r="D879" s="2"/>
      <c r="E879" s="2"/>
      <c r="F879" s="2"/>
      <c r="G879" s="2"/>
      <c r="H879" s="2"/>
      <c r="I879" s="2"/>
      <c r="J879" s="2"/>
      <c r="K879" s="2"/>
      <c r="L879" s="2"/>
      <c r="M879" s="2"/>
      <c r="N879" s="2"/>
      <c r="O879" s="2"/>
      <c r="P879" s="2"/>
      <c r="Q879" s="2"/>
      <c r="R879" s="2"/>
      <c r="S879" s="2"/>
      <c r="T879" s="2"/>
      <c r="U879" s="2"/>
      <c r="V879" s="2"/>
      <c r="W879" s="157"/>
      <c r="X879" s="157"/>
      <c r="Y879" s="157"/>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customHeight="1">
      <c r="A880" s="2"/>
      <c r="B880" s="2"/>
      <c r="C880" s="2"/>
      <c r="D880" s="2"/>
      <c r="E880" s="2"/>
      <c r="F880" s="2"/>
      <c r="G880" s="2"/>
      <c r="H880" s="2"/>
      <c r="I880" s="2"/>
      <c r="J880" s="2"/>
      <c r="K880" s="2"/>
      <c r="L880" s="2"/>
      <c r="M880" s="2"/>
      <c r="N880" s="2"/>
      <c r="O880" s="2"/>
      <c r="P880" s="2"/>
      <c r="Q880" s="2"/>
      <c r="R880" s="2"/>
      <c r="S880" s="2"/>
      <c r="T880" s="2"/>
      <c r="U880" s="2"/>
      <c r="V880" s="2"/>
      <c r="W880" s="157"/>
      <c r="X880" s="157"/>
      <c r="Y880" s="157"/>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customHeight="1">
      <c r="A881" s="2"/>
      <c r="B881" s="2"/>
      <c r="C881" s="2"/>
      <c r="D881" s="2"/>
      <c r="E881" s="2"/>
      <c r="F881" s="2"/>
      <c r="G881" s="2"/>
      <c r="H881" s="2"/>
      <c r="I881" s="2"/>
      <c r="J881" s="2"/>
      <c r="K881" s="2"/>
      <c r="L881" s="2"/>
      <c r="M881" s="2"/>
      <c r="N881" s="2"/>
      <c r="O881" s="2"/>
      <c r="P881" s="2"/>
      <c r="Q881" s="2"/>
      <c r="R881" s="2"/>
      <c r="S881" s="2"/>
      <c r="T881" s="2"/>
      <c r="U881" s="2"/>
      <c r="V881" s="2"/>
      <c r="W881" s="157"/>
      <c r="X881" s="157"/>
      <c r="Y881" s="157"/>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customHeight="1">
      <c r="A882" s="2"/>
      <c r="B882" s="2"/>
      <c r="C882" s="2"/>
      <c r="D882" s="2"/>
      <c r="E882" s="2"/>
      <c r="F882" s="2"/>
      <c r="G882" s="2"/>
      <c r="H882" s="2"/>
      <c r="I882" s="2"/>
      <c r="J882" s="2"/>
      <c r="K882" s="2"/>
      <c r="L882" s="2"/>
      <c r="M882" s="2"/>
      <c r="N882" s="2"/>
      <c r="O882" s="2"/>
      <c r="P882" s="2"/>
      <c r="Q882" s="2"/>
      <c r="R882" s="2"/>
      <c r="S882" s="2"/>
      <c r="T882" s="2"/>
      <c r="U882" s="2"/>
      <c r="V882" s="2"/>
      <c r="W882" s="157"/>
      <c r="X882" s="157"/>
      <c r="Y882" s="157"/>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customHeight="1">
      <c r="A883" s="2"/>
      <c r="B883" s="2"/>
      <c r="C883" s="2"/>
      <c r="D883" s="2"/>
      <c r="E883" s="2"/>
      <c r="F883" s="2"/>
      <c r="G883" s="2"/>
      <c r="H883" s="2"/>
      <c r="I883" s="2"/>
      <c r="J883" s="2"/>
      <c r="K883" s="2"/>
      <c r="L883" s="2"/>
      <c r="M883" s="2"/>
      <c r="N883" s="2"/>
      <c r="O883" s="2"/>
      <c r="P883" s="2"/>
      <c r="Q883" s="2"/>
      <c r="R883" s="2"/>
      <c r="S883" s="2"/>
      <c r="T883" s="2"/>
      <c r="U883" s="2"/>
      <c r="V883" s="2"/>
      <c r="W883" s="157"/>
      <c r="X883" s="157"/>
      <c r="Y883" s="157"/>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customHeight="1">
      <c r="A884" s="2"/>
      <c r="B884" s="2"/>
      <c r="C884" s="2"/>
      <c r="D884" s="2"/>
      <c r="E884" s="2"/>
      <c r="F884" s="2"/>
      <c r="G884" s="2"/>
      <c r="H884" s="2"/>
      <c r="I884" s="2"/>
      <c r="J884" s="2"/>
      <c r="K884" s="2"/>
      <c r="L884" s="2"/>
      <c r="M884" s="2"/>
      <c r="N884" s="2"/>
      <c r="O884" s="2"/>
      <c r="P884" s="2"/>
      <c r="Q884" s="2"/>
      <c r="R884" s="2"/>
      <c r="S884" s="2"/>
      <c r="T884" s="2"/>
      <c r="U884" s="2"/>
      <c r="V884" s="2"/>
      <c r="W884" s="157"/>
      <c r="X884" s="157"/>
      <c r="Y884" s="157"/>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customHeight="1">
      <c r="A885" s="2"/>
      <c r="B885" s="2"/>
      <c r="C885" s="2"/>
      <c r="D885" s="2"/>
      <c r="E885" s="2"/>
      <c r="F885" s="2"/>
      <c r="G885" s="2"/>
      <c r="H885" s="2"/>
      <c r="I885" s="2"/>
      <c r="J885" s="2"/>
      <c r="K885" s="2"/>
      <c r="L885" s="2"/>
      <c r="M885" s="2"/>
      <c r="N885" s="2"/>
      <c r="O885" s="2"/>
      <c r="P885" s="2"/>
      <c r="Q885" s="2"/>
      <c r="R885" s="2"/>
      <c r="S885" s="2"/>
      <c r="T885" s="2"/>
      <c r="U885" s="2"/>
      <c r="V885" s="2"/>
      <c r="W885" s="157"/>
      <c r="X885" s="157"/>
      <c r="Y885" s="157"/>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customHeight="1">
      <c r="A886" s="2"/>
      <c r="B886" s="2"/>
      <c r="C886" s="2"/>
      <c r="D886" s="2"/>
      <c r="E886" s="2"/>
      <c r="F886" s="2"/>
      <c r="G886" s="2"/>
      <c r="H886" s="2"/>
      <c r="I886" s="2"/>
      <c r="J886" s="2"/>
      <c r="K886" s="2"/>
      <c r="L886" s="2"/>
      <c r="M886" s="2"/>
      <c r="N886" s="2"/>
      <c r="O886" s="2"/>
      <c r="P886" s="2"/>
      <c r="Q886" s="2"/>
      <c r="R886" s="2"/>
      <c r="S886" s="2"/>
      <c r="T886" s="2"/>
      <c r="U886" s="2"/>
      <c r="V886" s="2"/>
      <c r="W886" s="157"/>
      <c r="X886" s="157"/>
      <c r="Y886" s="157"/>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customHeight="1">
      <c r="A887" s="2"/>
      <c r="B887" s="2"/>
      <c r="C887" s="2"/>
      <c r="D887" s="2"/>
      <c r="E887" s="2"/>
      <c r="F887" s="2"/>
      <c r="G887" s="2"/>
      <c r="H887" s="2"/>
      <c r="I887" s="2"/>
      <c r="J887" s="2"/>
      <c r="K887" s="2"/>
      <c r="L887" s="2"/>
      <c r="M887" s="2"/>
      <c r="N887" s="2"/>
      <c r="O887" s="2"/>
      <c r="P887" s="2"/>
      <c r="Q887" s="2"/>
      <c r="R887" s="2"/>
      <c r="S887" s="2"/>
      <c r="T887" s="2"/>
      <c r="U887" s="2"/>
      <c r="V887" s="2"/>
      <c r="W887" s="157"/>
      <c r="X887" s="157"/>
      <c r="Y887" s="157"/>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customHeight="1">
      <c r="A888" s="2"/>
      <c r="B888" s="2"/>
      <c r="C888" s="2"/>
      <c r="D888" s="2"/>
      <c r="E888" s="2"/>
      <c r="F888" s="2"/>
      <c r="G888" s="2"/>
      <c r="H888" s="2"/>
      <c r="I888" s="2"/>
      <c r="J888" s="2"/>
      <c r="K888" s="2"/>
      <c r="L888" s="2"/>
      <c r="M888" s="2"/>
      <c r="N888" s="2"/>
      <c r="O888" s="2"/>
      <c r="P888" s="2"/>
      <c r="Q888" s="2"/>
      <c r="R888" s="2"/>
      <c r="S888" s="2"/>
      <c r="T888" s="2"/>
      <c r="U888" s="2"/>
      <c r="V888" s="2"/>
      <c r="W888" s="157"/>
      <c r="X888" s="157"/>
      <c r="Y888" s="157"/>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customHeight="1">
      <c r="A889" s="2"/>
      <c r="B889" s="2"/>
      <c r="C889" s="2"/>
      <c r="D889" s="2"/>
      <c r="E889" s="2"/>
      <c r="F889" s="2"/>
      <c r="G889" s="2"/>
      <c r="H889" s="2"/>
      <c r="I889" s="2"/>
      <c r="J889" s="2"/>
      <c r="K889" s="2"/>
      <c r="L889" s="2"/>
      <c r="M889" s="2"/>
      <c r="N889" s="2"/>
      <c r="O889" s="2"/>
      <c r="P889" s="2"/>
      <c r="Q889" s="2"/>
      <c r="R889" s="2"/>
      <c r="S889" s="2"/>
      <c r="T889" s="2"/>
      <c r="U889" s="2"/>
      <c r="V889" s="2"/>
      <c r="W889" s="157"/>
      <c r="X889" s="157"/>
      <c r="Y889" s="157"/>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customHeight="1">
      <c r="A890" s="2"/>
      <c r="B890" s="2"/>
      <c r="C890" s="2"/>
      <c r="D890" s="2"/>
      <c r="E890" s="2"/>
      <c r="F890" s="2"/>
      <c r="G890" s="2"/>
      <c r="H890" s="2"/>
      <c r="I890" s="2"/>
      <c r="J890" s="2"/>
      <c r="K890" s="2"/>
      <c r="L890" s="2"/>
      <c r="M890" s="2"/>
      <c r="N890" s="2"/>
      <c r="O890" s="2"/>
      <c r="P890" s="2"/>
      <c r="Q890" s="2"/>
      <c r="R890" s="2"/>
      <c r="S890" s="2"/>
      <c r="T890" s="2"/>
      <c r="U890" s="2"/>
      <c r="V890" s="2"/>
      <c r="W890" s="157"/>
      <c r="X890" s="157"/>
      <c r="Y890" s="157"/>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customHeight="1">
      <c r="A891" s="2"/>
      <c r="B891" s="2"/>
      <c r="C891" s="2"/>
      <c r="D891" s="2"/>
      <c r="E891" s="2"/>
      <c r="F891" s="2"/>
      <c r="G891" s="2"/>
      <c r="H891" s="2"/>
      <c r="I891" s="2"/>
      <c r="J891" s="2"/>
      <c r="K891" s="2"/>
      <c r="L891" s="2"/>
      <c r="M891" s="2"/>
      <c r="N891" s="2"/>
      <c r="O891" s="2"/>
      <c r="P891" s="2"/>
      <c r="Q891" s="2"/>
      <c r="R891" s="2"/>
      <c r="S891" s="2"/>
      <c r="T891" s="2"/>
      <c r="U891" s="2"/>
      <c r="V891" s="2"/>
      <c r="W891" s="157"/>
      <c r="X891" s="157"/>
      <c r="Y891" s="157"/>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customHeight="1">
      <c r="A892" s="2"/>
      <c r="B892" s="2"/>
      <c r="C892" s="2"/>
      <c r="D892" s="2"/>
      <c r="E892" s="2"/>
      <c r="F892" s="2"/>
      <c r="G892" s="2"/>
      <c r="H892" s="2"/>
      <c r="I892" s="2"/>
      <c r="J892" s="2"/>
      <c r="K892" s="2"/>
      <c r="L892" s="2"/>
      <c r="M892" s="2"/>
      <c r="N892" s="2"/>
      <c r="O892" s="2"/>
      <c r="P892" s="2"/>
      <c r="Q892" s="2"/>
      <c r="R892" s="2"/>
      <c r="S892" s="2"/>
      <c r="T892" s="2"/>
      <c r="U892" s="2"/>
      <c r="V892" s="2"/>
      <c r="W892" s="157"/>
      <c r="X892" s="157"/>
      <c r="Y892" s="157"/>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customHeight="1">
      <c r="A893" s="2"/>
      <c r="B893" s="2"/>
      <c r="C893" s="2"/>
      <c r="D893" s="2"/>
      <c r="E893" s="2"/>
      <c r="F893" s="2"/>
      <c r="G893" s="2"/>
      <c r="H893" s="2"/>
      <c r="I893" s="2"/>
      <c r="J893" s="2"/>
      <c r="K893" s="2"/>
      <c r="L893" s="2"/>
      <c r="M893" s="2"/>
      <c r="N893" s="2"/>
      <c r="O893" s="2"/>
      <c r="P893" s="2"/>
      <c r="Q893" s="2"/>
      <c r="R893" s="2"/>
      <c r="S893" s="2"/>
      <c r="T893" s="2"/>
      <c r="U893" s="2"/>
      <c r="V893" s="2"/>
      <c r="W893" s="157"/>
      <c r="X893" s="157"/>
      <c r="Y893" s="157"/>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customHeight="1">
      <c r="A894" s="2"/>
      <c r="B894" s="2"/>
      <c r="C894" s="2"/>
      <c r="D894" s="2"/>
      <c r="E894" s="2"/>
      <c r="F894" s="2"/>
      <c r="G894" s="2"/>
      <c r="H894" s="2"/>
      <c r="I894" s="2"/>
      <c r="J894" s="2"/>
      <c r="K894" s="2"/>
      <c r="L894" s="2"/>
      <c r="M894" s="2"/>
      <c r="N894" s="2"/>
      <c r="O894" s="2"/>
      <c r="P894" s="2"/>
      <c r="Q894" s="2"/>
      <c r="R894" s="2"/>
      <c r="S894" s="2"/>
      <c r="T894" s="2"/>
      <c r="U894" s="2"/>
      <c r="V894" s="2"/>
      <c r="W894" s="157"/>
      <c r="X894" s="157"/>
      <c r="Y894" s="157"/>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customHeight="1">
      <c r="A895" s="2"/>
      <c r="B895" s="2"/>
      <c r="C895" s="2"/>
      <c r="D895" s="2"/>
      <c r="E895" s="2"/>
      <c r="F895" s="2"/>
      <c r="G895" s="2"/>
      <c r="H895" s="2"/>
      <c r="I895" s="2"/>
      <c r="J895" s="2"/>
      <c r="K895" s="2"/>
      <c r="L895" s="2"/>
      <c r="M895" s="2"/>
      <c r="N895" s="2"/>
      <c r="O895" s="2"/>
      <c r="P895" s="2"/>
      <c r="Q895" s="2"/>
      <c r="R895" s="2"/>
      <c r="S895" s="2"/>
      <c r="T895" s="2"/>
      <c r="U895" s="2"/>
      <c r="V895" s="2"/>
      <c r="W895" s="157"/>
      <c r="X895" s="157"/>
      <c r="Y895" s="157"/>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customHeight="1">
      <c r="A896" s="2"/>
      <c r="B896" s="2"/>
      <c r="C896" s="2"/>
      <c r="D896" s="2"/>
      <c r="E896" s="2"/>
      <c r="F896" s="2"/>
      <c r="G896" s="2"/>
      <c r="H896" s="2"/>
      <c r="I896" s="2"/>
      <c r="J896" s="2"/>
      <c r="K896" s="2"/>
      <c r="L896" s="2"/>
      <c r="M896" s="2"/>
      <c r="N896" s="2"/>
      <c r="O896" s="2"/>
      <c r="P896" s="2"/>
      <c r="Q896" s="2"/>
      <c r="R896" s="2"/>
      <c r="S896" s="2"/>
      <c r="T896" s="2"/>
      <c r="U896" s="2"/>
      <c r="V896" s="2"/>
      <c r="W896" s="157"/>
      <c r="X896" s="157"/>
      <c r="Y896" s="157"/>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customHeight="1">
      <c r="A897" s="2"/>
      <c r="B897" s="2"/>
      <c r="C897" s="2"/>
      <c r="D897" s="2"/>
      <c r="E897" s="2"/>
      <c r="F897" s="2"/>
      <c r="G897" s="2"/>
      <c r="H897" s="2"/>
      <c r="I897" s="2"/>
      <c r="J897" s="2"/>
      <c r="K897" s="2"/>
      <c r="L897" s="2"/>
      <c r="M897" s="2"/>
      <c r="N897" s="2"/>
      <c r="O897" s="2"/>
      <c r="P897" s="2"/>
      <c r="Q897" s="2"/>
      <c r="R897" s="2"/>
      <c r="S897" s="2"/>
      <c r="T897" s="2"/>
      <c r="U897" s="2"/>
      <c r="V897" s="2"/>
      <c r="W897" s="157"/>
      <c r="X897" s="157"/>
      <c r="Y897" s="157"/>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customHeight="1">
      <c r="A898" s="2"/>
      <c r="B898" s="2"/>
      <c r="C898" s="2"/>
      <c r="D898" s="2"/>
      <c r="E898" s="2"/>
      <c r="F898" s="2"/>
      <c r="G898" s="2"/>
      <c r="H898" s="2"/>
      <c r="I898" s="2"/>
      <c r="J898" s="2"/>
      <c r="K898" s="2"/>
      <c r="L898" s="2"/>
      <c r="M898" s="2"/>
      <c r="N898" s="2"/>
      <c r="O898" s="2"/>
      <c r="P898" s="2"/>
      <c r="Q898" s="2"/>
      <c r="R898" s="2"/>
      <c r="S898" s="2"/>
      <c r="T898" s="2"/>
      <c r="U898" s="2"/>
      <c r="V898" s="2"/>
      <c r="W898" s="157"/>
      <c r="X898" s="157"/>
      <c r="Y898" s="157"/>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customHeight="1">
      <c r="A899" s="2"/>
      <c r="B899" s="2"/>
      <c r="C899" s="2"/>
      <c r="D899" s="2"/>
      <c r="E899" s="2"/>
      <c r="F899" s="2"/>
      <c r="G899" s="2"/>
      <c r="H899" s="2"/>
      <c r="I899" s="2"/>
      <c r="J899" s="2"/>
      <c r="K899" s="2"/>
      <c r="L899" s="2"/>
      <c r="M899" s="2"/>
      <c r="N899" s="2"/>
      <c r="O899" s="2"/>
      <c r="P899" s="2"/>
      <c r="Q899" s="2"/>
      <c r="R899" s="2"/>
      <c r="S899" s="2"/>
      <c r="T899" s="2"/>
      <c r="U899" s="2"/>
      <c r="V899" s="2"/>
      <c r="W899" s="157"/>
      <c r="X899" s="157"/>
      <c r="Y899" s="157"/>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customHeight="1">
      <c r="A900" s="2"/>
      <c r="B900" s="2"/>
      <c r="C900" s="2"/>
      <c r="D900" s="2"/>
      <c r="E900" s="2"/>
      <c r="F900" s="2"/>
      <c r="G900" s="2"/>
      <c r="H900" s="2"/>
      <c r="I900" s="2"/>
      <c r="J900" s="2"/>
      <c r="K900" s="2"/>
      <c r="L900" s="2"/>
      <c r="M900" s="2"/>
      <c r="N900" s="2"/>
      <c r="O900" s="2"/>
      <c r="P900" s="2"/>
      <c r="Q900" s="2"/>
      <c r="R900" s="2"/>
      <c r="S900" s="2"/>
      <c r="T900" s="2"/>
      <c r="U900" s="2"/>
      <c r="V900" s="2"/>
      <c r="W900" s="157"/>
      <c r="X900" s="157"/>
      <c r="Y900" s="157"/>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customHeight="1">
      <c r="A901" s="2"/>
      <c r="B901" s="2"/>
      <c r="C901" s="2"/>
      <c r="D901" s="2"/>
      <c r="E901" s="2"/>
      <c r="F901" s="2"/>
      <c r="G901" s="2"/>
      <c r="H901" s="2"/>
      <c r="I901" s="2"/>
      <c r="J901" s="2"/>
      <c r="K901" s="2"/>
      <c r="L901" s="2"/>
      <c r="M901" s="2"/>
      <c r="N901" s="2"/>
      <c r="O901" s="2"/>
      <c r="P901" s="2"/>
      <c r="Q901" s="2"/>
      <c r="R901" s="2"/>
      <c r="S901" s="2"/>
      <c r="T901" s="2"/>
      <c r="U901" s="2"/>
      <c r="V901" s="2"/>
      <c r="W901" s="157"/>
      <c r="X901" s="157"/>
      <c r="Y901" s="157"/>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customHeight="1">
      <c r="A902" s="2"/>
      <c r="B902" s="2"/>
      <c r="C902" s="2"/>
      <c r="D902" s="2"/>
      <c r="E902" s="2"/>
      <c r="F902" s="2"/>
      <c r="G902" s="2"/>
      <c r="H902" s="2"/>
      <c r="I902" s="2"/>
      <c r="J902" s="2"/>
      <c r="K902" s="2"/>
      <c r="L902" s="2"/>
      <c r="M902" s="2"/>
      <c r="N902" s="2"/>
      <c r="O902" s="2"/>
      <c r="P902" s="2"/>
      <c r="Q902" s="2"/>
      <c r="R902" s="2"/>
      <c r="S902" s="2"/>
      <c r="T902" s="2"/>
      <c r="U902" s="2"/>
      <c r="V902" s="2"/>
      <c r="W902" s="157"/>
      <c r="X902" s="157"/>
      <c r="Y902" s="157"/>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customHeight="1">
      <c r="A903" s="2"/>
      <c r="B903" s="2"/>
      <c r="C903" s="2"/>
      <c r="D903" s="2"/>
      <c r="E903" s="2"/>
      <c r="F903" s="2"/>
      <c r="G903" s="2"/>
      <c r="H903" s="2"/>
      <c r="I903" s="2"/>
      <c r="J903" s="2"/>
      <c r="K903" s="2"/>
      <c r="L903" s="2"/>
      <c r="M903" s="2"/>
      <c r="N903" s="2"/>
      <c r="O903" s="2"/>
      <c r="P903" s="2"/>
      <c r="Q903" s="2"/>
      <c r="R903" s="2"/>
      <c r="S903" s="2"/>
      <c r="T903" s="2"/>
      <c r="U903" s="2"/>
      <c r="V903" s="2"/>
      <c r="W903" s="157"/>
      <c r="X903" s="157"/>
      <c r="Y903" s="157"/>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customHeight="1">
      <c r="A904" s="2"/>
      <c r="B904" s="2"/>
      <c r="C904" s="2"/>
      <c r="D904" s="2"/>
      <c r="E904" s="2"/>
      <c r="F904" s="2"/>
      <c r="G904" s="2"/>
      <c r="H904" s="2"/>
      <c r="I904" s="2"/>
      <c r="J904" s="2"/>
      <c r="K904" s="2"/>
      <c r="L904" s="2"/>
      <c r="M904" s="2"/>
      <c r="N904" s="2"/>
      <c r="O904" s="2"/>
      <c r="P904" s="2"/>
      <c r="Q904" s="2"/>
      <c r="R904" s="2"/>
      <c r="S904" s="2"/>
      <c r="T904" s="2"/>
      <c r="U904" s="2"/>
      <c r="V904" s="2"/>
      <c r="W904" s="157"/>
      <c r="X904" s="157"/>
      <c r="Y904" s="157"/>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customHeight="1">
      <c r="A905" s="2"/>
      <c r="B905" s="2"/>
      <c r="C905" s="2"/>
      <c r="D905" s="2"/>
      <c r="E905" s="2"/>
      <c r="F905" s="2"/>
      <c r="G905" s="2"/>
      <c r="H905" s="2"/>
      <c r="I905" s="2"/>
      <c r="J905" s="2"/>
      <c r="K905" s="2"/>
      <c r="L905" s="2"/>
      <c r="M905" s="2"/>
      <c r="N905" s="2"/>
      <c r="O905" s="2"/>
      <c r="P905" s="2"/>
      <c r="Q905" s="2"/>
      <c r="R905" s="2"/>
      <c r="S905" s="2"/>
      <c r="T905" s="2"/>
      <c r="U905" s="2"/>
      <c r="V905" s="2"/>
      <c r="W905" s="157"/>
      <c r="X905" s="157"/>
      <c r="Y905" s="157"/>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customHeight="1">
      <c r="A906" s="2"/>
      <c r="B906" s="2"/>
      <c r="C906" s="2"/>
      <c r="D906" s="2"/>
      <c r="E906" s="2"/>
      <c r="F906" s="2"/>
      <c r="G906" s="2"/>
      <c r="H906" s="2"/>
      <c r="I906" s="2"/>
      <c r="J906" s="2"/>
      <c r="K906" s="2"/>
      <c r="L906" s="2"/>
      <c r="M906" s="2"/>
      <c r="N906" s="2"/>
      <c r="O906" s="2"/>
      <c r="P906" s="2"/>
      <c r="Q906" s="2"/>
      <c r="R906" s="2"/>
      <c r="S906" s="2"/>
      <c r="T906" s="2"/>
      <c r="U906" s="2"/>
      <c r="V906" s="2"/>
      <c r="W906" s="157"/>
      <c r="X906" s="157"/>
      <c r="Y906" s="157"/>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customHeight="1">
      <c r="A907" s="2"/>
      <c r="B907" s="2"/>
      <c r="C907" s="2"/>
      <c r="D907" s="2"/>
      <c r="E907" s="2"/>
      <c r="F907" s="2"/>
      <c r="G907" s="2"/>
      <c r="H907" s="2"/>
      <c r="I907" s="2"/>
      <c r="J907" s="2"/>
      <c r="K907" s="2"/>
      <c r="L907" s="2"/>
      <c r="M907" s="2"/>
      <c r="N907" s="2"/>
      <c r="O907" s="2"/>
      <c r="P907" s="2"/>
      <c r="Q907" s="2"/>
      <c r="R907" s="2"/>
      <c r="S907" s="2"/>
      <c r="T907" s="2"/>
      <c r="U907" s="2"/>
      <c r="V907" s="2"/>
      <c r="W907" s="157"/>
      <c r="X907" s="157"/>
      <c r="Y907" s="157"/>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customHeight="1">
      <c r="A908" s="2"/>
      <c r="B908" s="2"/>
      <c r="C908" s="2"/>
      <c r="D908" s="2"/>
      <c r="E908" s="2"/>
      <c r="F908" s="2"/>
      <c r="G908" s="2"/>
      <c r="H908" s="2"/>
      <c r="I908" s="2"/>
      <c r="J908" s="2"/>
      <c r="K908" s="2"/>
      <c r="L908" s="2"/>
      <c r="M908" s="2"/>
      <c r="N908" s="2"/>
      <c r="O908" s="2"/>
      <c r="P908" s="2"/>
      <c r="Q908" s="2"/>
      <c r="R908" s="2"/>
      <c r="S908" s="2"/>
      <c r="T908" s="2"/>
      <c r="U908" s="2"/>
      <c r="V908" s="2"/>
      <c r="W908" s="157"/>
      <c r="X908" s="157"/>
      <c r="Y908" s="157"/>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customHeight="1">
      <c r="A909" s="2"/>
      <c r="B909" s="2"/>
      <c r="C909" s="2"/>
      <c r="D909" s="2"/>
      <c r="E909" s="2"/>
      <c r="F909" s="2"/>
      <c r="G909" s="2"/>
      <c r="H909" s="2"/>
      <c r="I909" s="2"/>
      <c r="J909" s="2"/>
      <c r="K909" s="2"/>
      <c r="L909" s="2"/>
      <c r="M909" s="2"/>
      <c r="N909" s="2"/>
      <c r="O909" s="2"/>
      <c r="P909" s="2"/>
      <c r="Q909" s="2"/>
      <c r="R909" s="2"/>
      <c r="S909" s="2"/>
      <c r="T909" s="2"/>
      <c r="U909" s="2"/>
      <c r="V909" s="2"/>
      <c r="W909" s="157"/>
      <c r="X909" s="157"/>
      <c r="Y909" s="157"/>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customHeight="1">
      <c r="A910" s="2"/>
      <c r="B910" s="2"/>
      <c r="C910" s="2"/>
      <c r="D910" s="2"/>
      <c r="E910" s="2"/>
      <c r="F910" s="2"/>
      <c r="G910" s="2"/>
      <c r="H910" s="2"/>
      <c r="I910" s="2"/>
      <c r="J910" s="2"/>
      <c r="K910" s="2"/>
      <c r="L910" s="2"/>
      <c r="M910" s="2"/>
      <c r="N910" s="2"/>
      <c r="O910" s="2"/>
      <c r="P910" s="2"/>
      <c r="Q910" s="2"/>
      <c r="R910" s="2"/>
      <c r="S910" s="2"/>
      <c r="T910" s="2"/>
      <c r="U910" s="2"/>
      <c r="V910" s="2"/>
      <c r="W910" s="157"/>
      <c r="X910" s="157"/>
      <c r="Y910" s="157"/>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customHeight="1">
      <c r="A911" s="2"/>
      <c r="B911" s="2"/>
      <c r="C911" s="2"/>
      <c r="D911" s="2"/>
      <c r="E911" s="2"/>
      <c r="F911" s="2"/>
      <c r="G911" s="2"/>
      <c r="H911" s="2"/>
      <c r="I911" s="2"/>
      <c r="J911" s="2"/>
      <c r="K911" s="2"/>
      <c r="L911" s="2"/>
      <c r="M911" s="2"/>
      <c r="N911" s="2"/>
      <c r="O911" s="2"/>
      <c r="P911" s="2"/>
      <c r="Q911" s="2"/>
      <c r="R911" s="2"/>
      <c r="S911" s="2"/>
      <c r="T911" s="2"/>
      <c r="U911" s="2"/>
      <c r="V911" s="2"/>
      <c r="W911" s="157"/>
      <c r="X911" s="157"/>
      <c r="Y911" s="157"/>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customHeight="1">
      <c r="A912" s="2"/>
      <c r="B912" s="2"/>
      <c r="C912" s="2"/>
      <c r="D912" s="2"/>
      <c r="E912" s="2"/>
      <c r="F912" s="2"/>
      <c r="G912" s="2"/>
      <c r="H912" s="2"/>
      <c r="I912" s="2"/>
      <c r="J912" s="2"/>
      <c r="K912" s="2"/>
      <c r="L912" s="2"/>
      <c r="M912" s="2"/>
      <c r="N912" s="2"/>
      <c r="O912" s="2"/>
      <c r="P912" s="2"/>
      <c r="Q912" s="2"/>
      <c r="R912" s="2"/>
      <c r="S912" s="2"/>
      <c r="T912" s="2"/>
      <c r="U912" s="2"/>
      <c r="V912" s="2"/>
      <c r="W912" s="157"/>
      <c r="X912" s="157"/>
      <c r="Y912" s="157"/>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customHeight="1">
      <c r="A913" s="2"/>
      <c r="B913" s="2"/>
      <c r="C913" s="2"/>
      <c r="D913" s="2"/>
      <c r="E913" s="2"/>
      <c r="F913" s="2"/>
      <c r="G913" s="2"/>
      <c r="H913" s="2"/>
      <c r="I913" s="2"/>
      <c r="J913" s="2"/>
      <c r="K913" s="2"/>
      <c r="L913" s="2"/>
      <c r="M913" s="2"/>
      <c r="N913" s="2"/>
      <c r="O913" s="2"/>
      <c r="P913" s="2"/>
      <c r="Q913" s="2"/>
      <c r="R913" s="2"/>
      <c r="S913" s="2"/>
      <c r="T913" s="2"/>
      <c r="U913" s="2"/>
      <c r="V913" s="2"/>
      <c r="W913" s="157"/>
      <c r="X913" s="157"/>
      <c r="Y913" s="157"/>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customHeight="1">
      <c r="A914" s="2"/>
      <c r="B914" s="2"/>
      <c r="C914" s="2"/>
      <c r="D914" s="2"/>
      <c r="E914" s="2"/>
      <c r="F914" s="2"/>
      <c r="G914" s="2"/>
      <c r="H914" s="2"/>
      <c r="I914" s="2"/>
      <c r="J914" s="2"/>
      <c r="K914" s="2"/>
      <c r="L914" s="2"/>
      <c r="M914" s="2"/>
      <c r="N914" s="2"/>
      <c r="O914" s="2"/>
      <c r="P914" s="2"/>
      <c r="Q914" s="2"/>
      <c r="R914" s="2"/>
      <c r="S914" s="2"/>
      <c r="T914" s="2"/>
      <c r="U914" s="2"/>
      <c r="V914" s="2"/>
      <c r="W914" s="157"/>
      <c r="X914" s="157"/>
      <c r="Y914" s="157"/>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customHeight="1">
      <c r="A915" s="2"/>
      <c r="B915" s="2"/>
      <c r="C915" s="2"/>
      <c r="D915" s="2"/>
      <c r="E915" s="2"/>
      <c r="F915" s="2"/>
      <c r="G915" s="2"/>
      <c r="H915" s="2"/>
      <c r="I915" s="2"/>
      <c r="J915" s="2"/>
      <c r="K915" s="2"/>
      <c r="L915" s="2"/>
      <c r="M915" s="2"/>
      <c r="N915" s="2"/>
      <c r="O915" s="2"/>
      <c r="P915" s="2"/>
      <c r="Q915" s="2"/>
      <c r="R915" s="2"/>
      <c r="S915" s="2"/>
      <c r="T915" s="2"/>
      <c r="U915" s="2"/>
      <c r="V915" s="2"/>
      <c r="W915" s="157"/>
      <c r="X915" s="157"/>
      <c r="Y915" s="157"/>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customHeight="1">
      <c r="A916" s="2"/>
      <c r="B916" s="2"/>
      <c r="C916" s="2"/>
      <c r="D916" s="2"/>
      <c r="E916" s="2"/>
      <c r="F916" s="2"/>
      <c r="G916" s="2"/>
      <c r="H916" s="2"/>
      <c r="I916" s="2"/>
      <c r="J916" s="2"/>
      <c r="K916" s="2"/>
      <c r="L916" s="2"/>
      <c r="M916" s="2"/>
      <c r="N916" s="2"/>
      <c r="O916" s="2"/>
      <c r="P916" s="2"/>
      <c r="Q916" s="2"/>
      <c r="R916" s="2"/>
      <c r="S916" s="2"/>
      <c r="T916" s="2"/>
      <c r="U916" s="2"/>
      <c r="V916" s="2"/>
      <c r="W916" s="157"/>
      <c r="X916" s="157"/>
      <c r="Y916" s="157"/>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customHeight="1">
      <c r="A917" s="2"/>
      <c r="B917" s="2"/>
      <c r="C917" s="2"/>
      <c r="D917" s="2"/>
      <c r="E917" s="2"/>
      <c r="F917" s="2"/>
      <c r="G917" s="2"/>
      <c r="H917" s="2"/>
      <c r="I917" s="2"/>
      <c r="J917" s="2"/>
      <c r="K917" s="2"/>
      <c r="L917" s="2"/>
      <c r="M917" s="2"/>
      <c r="N917" s="2"/>
      <c r="O917" s="2"/>
      <c r="P917" s="2"/>
      <c r="Q917" s="2"/>
      <c r="R917" s="2"/>
      <c r="S917" s="2"/>
      <c r="T917" s="2"/>
      <c r="U917" s="2"/>
      <c r="V917" s="2"/>
      <c r="W917" s="157"/>
      <c r="X917" s="157"/>
      <c r="Y917" s="157"/>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customHeight="1">
      <c r="A918" s="2"/>
      <c r="B918" s="2"/>
      <c r="C918" s="2"/>
      <c r="D918" s="2"/>
      <c r="E918" s="2"/>
      <c r="F918" s="2"/>
      <c r="G918" s="2"/>
      <c r="H918" s="2"/>
      <c r="I918" s="2"/>
      <c r="J918" s="2"/>
      <c r="K918" s="2"/>
      <c r="L918" s="2"/>
      <c r="M918" s="2"/>
      <c r="N918" s="2"/>
      <c r="O918" s="2"/>
      <c r="P918" s="2"/>
      <c r="Q918" s="2"/>
      <c r="R918" s="2"/>
      <c r="S918" s="2"/>
      <c r="T918" s="2"/>
      <c r="U918" s="2"/>
      <c r="V918" s="2"/>
      <c r="W918" s="157"/>
      <c r="X918" s="157"/>
      <c r="Y918" s="157"/>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customHeight="1">
      <c r="A919" s="2"/>
      <c r="B919" s="2"/>
      <c r="C919" s="2"/>
      <c r="D919" s="2"/>
      <c r="E919" s="2"/>
      <c r="F919" s="2"/>
      <c r="G919" s="2"/>
      <c r="H919" s="2"/>
      <c r="I919" s="2"/>
      <c r="J919" s="2"/>
      <c r="K919" s="2"/>
      <c r="L919" s="2"/>
      <c r="M919" s="2"/>
      <c r="N919" s="2"/>
      <c r="O919" s="2"/>
      <c r="P919" s="2"/>
      <c r="Q919" s="2"/>
      <c r="R919" s="2"/>
      <c r="S919" s="2"/>
      <c r="T919" s="2"/>
      <c r="U919" s="2"/>
      <c r="V919" s="2"/>
      <c r="W919" s="157"/>
      <c r="X919" s="157"/>
      <c r="Y919" s="157"/>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customHeight="1">
      <c r="A920" s="2"/>
      <c r="B920" s="2"/>
      <c r="C920" s="2"/>
      <c r="D920" s="2"/>
      <c r="E920" s="2"/>
      <c r="F920" s="2"/>
      <c r="G920" s="2"/>
      <c r="H920" s="2"/>
      <c r="I920" s="2"/>
      <c r="J920" s="2"/>
      <c r="K920" s="2"/>
      <c r="L920" s="2"/>
      <c r="M920" s="2"/>
      <c r="N920" s="2"/>
      <c r="O920" s="2"/>
      <c r="P920" s="2"/>
      <c r="Q920" s="2"/>
      <c r="R920" s="2"/>
      <c r="S920" s="2"/>
      <c r="T920" s="2"/>
      <c r="U920" s="2"/>
      <c r="V920" s="2"/>
      <c r="W920" s="157"/>
      <c r="X920" s="157"/>
      <c r="Y920" s="157"/>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customHeight="1">
      <c r="A921" s="2"/>
      <c r="B921" s="2"/>
      <c r="C921" s="2"/>
      <c r="D921" s="2"/>
      <c r="E921" s="2"/>
      <c r="F921" s="2"/>
      <c r="G921" s="2"/>
      <c r="H921" s="2"/>
      <c r="I921" s="2"/>
      <c r="J921" s="2"/>
      <c r="K921" s="2"/>
      <c r="L921" s="2"/>
      <c r="M921" s="2"/>
      <c r="N921" s="2"/>
      <c r="O921" s="2"/>
      <c r="P921" s="2"/>
      <c r="Q921" s="2"/>
      <c r="R921" s="2"/>
      <c r="S921" s="2"/>
      <c r="T921" s="2"/>
      <c r="U921" s="2"/>
      <c r="V921" s="2"/>
      <c r="W921" s="157"/>
      <c r="X921" s="157"/>
      <c r="Y921" s="157"/>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customHeight="1">
      <c r="A922" s="2"/>
      <c r="B922" s="2"/>
      <c r="C922" s="2"/>
      <c r="D922" s="2"/>
      <c r="E922" s="2"/>
      <c r="F922" s="2"/>
      <c r="G922" s="2"/>
      <c r="H922" s="2"/>
      <c r="I922" s="2"/>
      <c r="J922" s="2"/>
      <c r="K922" s="2"/>
      <c r="L922" s="2"/>
      <c r="M922" s="2"/>
      <c r="N922" s="2"/>
      <c r="O922" s="2"/>
      <c r="P922" s="2"/>
      <c r="Q922" s="2"/>
      <c r="R922" s="2"/>
      <c r="S922" s="2"/>
      <c r="T922" s="2"/>
      <c r="U922" s="2"/>
      <c r="V922" s="2"/>
      <c r="W922" s="157"/>
      <c r="X922" s="157"/>
      <c r="Y922" s="157"/>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customHeight="1">
      <c r="A923" s="2"/>
      <c r="B923" s="2"/>
      <c r="C923" s="2"/>
      <c r="D923" s="2"/>
      <c r="E923" s="2"/>
      <c r="F923" s="2"/>
      <c r="G923" s="2"/>
      <c r="H923" s="2"/>
      <c r="I923" s="2"/>
      <c r="J923" s="2"/>
      <c r="K923" s="2"/>
      <c r="L923" s="2"/>
      <c r="M923" s="2"/>
      <c r="N923" s="2"/>
      <c r="O923" s="2"/>
      <c r="P923" s="2"/>
      <c r="Q923" s="2"/>
      <c r="R923" s="2"/>
      <c r="S923" s="2"/>
      <c r="T923" s="2"/>
      <c r="U923" s="2"/>
      <c r="V923" s="2"/>
      <c r="W923" s="157"/>
      <c r="X923" s="157"/>
      <c r="Y923" s="157"/>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customHeight="1">
      <c r="A924" s="2"/>
      <c r="B924" s="2"/>
      <c r="C924" s="2"/>
      <c r="D924" s="2"/>
      <c r="E924" s="2"/>
      <c r="F924" s="2"/>
      <c r="G924" s="2"/>
      <c r="H924" s="2"/>
      <c r="I924" s="2"/>
      <c r="J924" s="2"/>
      <c r="K924" s="2"/>
      <c r="L924" s="2"/>
      <c r="M924" s="2"/>
      <c r="N924" s="2"/>
      <c r="O924" s="2"/>
      <c r="P924" s="2"/>
      <c r="Q924" s="2"/>
      <c r="R924" s="2"/>
      <c r="S924" s="2"/>
      <c r="T924" s="2"/>
      <c r="U924" s="2"/>
      <c r="V924" s="2"/>
      <c r="W924" s="157"/>
      <c r="X924" s="157"/>
      <c r="Y924" s="157"/>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customHeight="1">
      <c r="A925" s="2"/>
      <c r="B925" s="2"/>
      <c r="C925" s="2"/>
      <c r="D925" s="2"/>
      <c r="E925" s="2"/>
      <c r="F925" s="2"/>
      <c r="G925" s="2"/>
      <c r="H925" s="2"/>
      <c r="I925" s="2"/>
      <c r="J925" s="2"/>
      <c r="K925" s="2"/>
      <c r="L925" s="2"/>
      <c r="M925" s="2"/>
      <c r="N925" s="2"/>
      <c r="O925" s="2"/>
      <c r="P925" s="2"/>
      <c r="Q925" s="2"/>
      <c r="R925" s="2"/>
      <c r="S925" s="2"/>
      <c r="T925" s="2"/>
      <c r="U925" s="2"/>
      <c r="V925" s="2"/>
      <c r="W925" s="157"/>
      <c r="X925" s="157"/>
      <c r="Y925" s="157"/>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customHeight="1">
      <c r="A926" s="2"/>
      <c r="B926" s="2"/>
      <c r="C926" s="2"/>
      <c r="D926" s="2"/>
      <c r="E926" s="2"/>
      <c r="F926" s="2"/>
      <c r="G926" s="2"/>
      <c r="H926" s="2"/>
      <c r="I926" s="2"/>
      <c r="J926" s="2"/>
      <c r="K926" s="2"/>
      <c r="L926" s="2"/>
      <c r="M926" s="2"/>
      <c r="N926" s="2"/>
      <c r="O926" s="2"/>
      <c r="P926" s="2"/>
      <c r="Q926" s="2"/>
      <c r="R926" s="2"/>
      <c r="S926" s="2"/>
      <c r="T926" s="2"/>
      <c r="U926" s="2"/>
      <c r="V926" s="2"/>
      <c r="W926" s="157"/>
      <c r="X926" s="157"/>
      <c r="Y926" s="157"/>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customHeight="1">
      <c r="A927" s="2"/>
      <c r="B927" s="2"/>
      <c r="C927" s="2"/>
      <c r="D927" s="2"/>
      <c r="E927" s="2"/>
      <c r="F927" s="2"/>
      <c r="G927" s="2"/>
      <c r="H927" s="2"/>
      <c r="I927" s="2"/>
      <c r="J927" s="2"/>
      <c r="K927" s="2"/>
      <c r="L927" s="2"/>
      <c r="M927" s="2"/>
      <c r="N927" s="2"/>
      <c r="O927" s="2"/>
      <c r="P927" s="2"/>
      <c r="Q927" s="2"/>
      <c r="R927" s="2"/>
      <c r="S927" s="2"/>
      <c r="T927" s="2"/>
      <c r="U927" s="2"/>
      <c r="V927" s="2"/>
      <c r="W927" s="157"/>
      <c r="X927" s="157"/>
      <c r="Y927" s="157"/>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customHeight="1">
      <c r="A928" s="2"/>
      <c r="B928" s="2"/>
      <c r="C928" s="2"/>
      <c r="D928" s="2"/>
      <c r="E928" s="2"/>
      <c r="F928" s="2"/>
      <c r="G928" s="2"/>
      <c r="H928" s="2"/>
      <c r="I928" s="2"/>
      <c r="J928" s="2"/>
      <c r="K928" s="2"/>
      <c r="L928" s="2"/>
      <c r="M928" s="2"/>
      <c r="N928" s="2"/>
      <c r="O928" s="2"/>
      <c r="P928" s="2"/>
      <c r="Q928" s="2"/>
      <c r="R928" s="2"/>
      <c r="S928" s="2"/>
      <c r="T928" s="2"/>
      <c r="U928" s="2"/>
      <c r="V928" s="2"/>
      <c r="W928" s="157"/>
      <c r="X928" s="157"/>
      <c r="Y928" s="157"/>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customHeight="1">
      <c r="A929" s="2"/>
      <c r="B929" s="2"/>
      <c r="C929" s="2"/>
      <c r="D929" s="2"/>
      <c r="E929" s="2"/>
      <c r="F929" s="2"/>
      <c r="G929" s="2"/>
      <c r="H929" s="2"/>
      <c r="I929" s="2"/>
      <c r="J929" s="2"/>
      <c r="K929" s="2"/>
      <c r="L929" s="2"/>
      <c r="M929" s="2"/>
      <c r="N929" s="2"/>
      <c r="O929" s="2"/>
      <c r="P929" s="2"/>
      <c r="Q929" s="2"/>
      <c r="R929" s="2"/>
      <c r="S929" s="2"/>
      <c r="T929" s="2"/>
      <c r="U929" s="2"/>
      <c r="V929" s="2"/>
      <c r="W929" s="157"/>
      <c r="X929" s="157"/>
      <c r="Y929" s="157"/>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customHeight="1">
      <c r="A930" s="2"/>
      <c r="B930" s="2"/>
      <c r="C930" s="2"/>
      <c r="D930" s="2"/>
      <c r="E930" s="2"/>
      <c r="F930" s="2"/>
      <c r="G930" s="2"/>
      <c r="H930" s="2"/>
      <c r="I930" s="2"/>
      <c r="J930" s="2"/>
      <c r="K930" s="2"/>
      <c r="L930" s="2"/>
      <c r="M930" s="2"/>
      <c r="N930" s="2"/>
      <c r="O930" s="2"/>
      <c r="P930" s="2"/>
      <c r="Q930" s="2"/>
      <c r="R930" s="2"/>
      <c r="S930" s="2"/>
      <c r="T930" s="2"/>
      <c r="U930" s="2"/>
      <c r="V930" s="2"/>
      <c r="W930" s="157"/>
      <c r="X930" s="157"/>
      <c r="Y930" s="157"/>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customHeight="1">
      <c r="A931" s="2"/>
      <c r="B931" s="2"/>
      <c r="C931" s="2"/>
      <c r="D931" s="2"/>
      <c r="E931" s="2"/>
      <c r="F931" s="2"/>
      <c r="G931" s="2"/>
      <c r="H931" s="2"/>
      <c r="I931" s="2"/>
      <c r="J931" s="2"/>
      <c r="K931" s="2"/>
      <c r="L931" s="2"/>
      <c r="M931" s="2"/>
      <c r="N931" s="2"/>
      <c r="O931" s="2"/>
      <c r="P931" s="2"/>
      <c r="Q931" s="2"/>
      <c r="R931" s="2"/>
      <c r="S931" s="2"/>
      <c r="T931" s="2"/>
      <c r="U931" s="2"/>
      <c r="V931" s="2"/>
      <c r="W931" s="157"/>
      <c r="X931" s="157"/>
      <c r="Y931" s="157"/>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customHeight="1">
      <c r="A932" s="2"/>
      <c r="B932" s="2"/>
      <c r="C932" s="2"/>
      <c r="D932" s="2"/>
      <c r="E932" s="2"/>
      <c r="F932" s="2"/>
      <c r="G932" s="2"/>
      <c r="H932" s="2"/>
      <c r="I932" s="2"/>
      <c r="J932" s="2"/>
      <c r="K932" s="2"/>
      <c r="L932" s="2"/>
      <c r="M932" s="2"/>
      <c r="N932" s="2"/>
      <c r="O932" s="2"/>
      <c r="P932" s="2"/>
      <c r="Q932" s="2"/>
      <c r="R932" s="2"/>
      <c r="S932" s="2"/>
      <c r="T932" s="2"/>
      <c r="U932" s="2"/>
      <c r="V932" s="2"/>
      <c r="W932" s="157"/>
      <c r="X932" s="157"/>
      <c r="Y932" s="157"/>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customHeight="1">
      <c r="A933" s="2"/>
      <c r="B933" s="2"/>
      <c r="C933" s="2"/>
      <c r="D933" s="2"/>
      <c r="E933" s="2"/>
      <c r="F933" s="2"/>
      <c r="G933" s="2"/>
      <c r="H933" s="2"/>
      <c r="I933" s="2"/>
      <c r="J933" s="2"/>
      <c r="K933" s="2"/>
      <c r="L933" s="2"/>
      <c r="M933" s="2"/>
      <c r="N933" s="2"/>
      <c r="O933" s="2"/>
      <c r="P933" s="2"/>
      <c r="Q933" s="2"/>
      <c r="R933" s="2"/>
      <c r="S933" s="2"/>
      <c r="T933" s="2"/>
      <c r="U933" s="2"/>
      <c r="V933" s="2"/>
      <c r="W933" s="157"/>
      <c r="X933" s="157"/>
      <c r="Y933" s="157"/>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customHeight="1">
      <c r="A934" s="2"/>
      <c r="B934" s="2"/>
      <c r="C934" s="2"/>
      <c r="D934" s="2"/>
      <c r="E934" s="2"/>
      <c r="F934" s="2"/>
      <c r="G934" s="2"/>
      <c r="H934" s="2"/>
      <c r="I934" s="2"/>
      <c r="J934" s="2"/>
      <c r="K934" s="2"/>
      <c r="L934" s="2"/>
      <c r="M934" s="2"/>
      <c r="N934" s="2"/>
      <c r="O934" s="2"/>
      <c r="P934" s="2"/>
      <c r="Q934" s="2"/>
      <c r="R934" s="2"/>
      <c r="S934" s="2"/>
      <c r="T934" s="2"/>
      <c r="U934" s="2"/>
      <c r="V934" s="2"/>
      <c r="W934" s="157"/>
      <c r="X934" s="157"/>
      <c r="Y934" s="157"/>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customHeight="1">
      <c r="A935" s="2"/>
      <c r="B935" s="2"/>
      <c r="C935" s="2"/>
      <c r="D935" s="2"/>
      <c r="E935" s="2"/>
      <c r="F935" s="2"/>
      <c r="G935" s="2"/>
      <c r="H935" s="2"/>
      <c r="I935" s="2"/>
      <c r="J935" s="2"/>
      <c r="K935" s="2"/>
      <c r="L935" s="2"/>
      <c r="M935" s="2"/>
      <c r="N935" s="2"/>
      <c r="O935" s="2"/>
      <c r="P935" s="2"/>
      <c r="Q935" s="2"/>
      <c r="R935" s="2"/>
      <c r="S935" s="2"/>
      <c r="T935" s="2"/>
      <c r="U935" s="2"/>
      <c r="V935" s="2"/>
      <c r="W935" s="157"/>
      <c r="X935" s="157"/>
      <c r="Y935" s="157"/>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customHeight="1">
      <c r="A936" s="2"/>
      <c r="B936" s="2"/>
      <c r="C936" s="2"/>
      <c r="D936" s="2"/>
      <c r="E936" s="2"/>
      <c r="F936" s="2"/>
      <c r="G936" s="2"/>
      <c r="H936" s="2"/>
      <c r="I936" s="2"/>
      <c r="J936" s="2"/>
      <c r="K936" s="2"/>
      <c r="L936" s="2"/>
      <c r="M936" s="2"/>
      <c r="N936" s="2"/>
      <c r="O936" s="2"/>
      <c r="P936" s="2"/>
      <c r="Q936" s="2"/>
      <c r="R936" s="2"/>
      <c r="S936" s="2"/>
      <c r="T936" s="2"/>
      <c r="U936" s="2"/>
      <c r="V936" s="2"/>
      <c r="W936" s="157"/>
      <c r="X936" s="157"/>
      <c r="Y936" s="157"/>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customHeight="1">
      <c r="A937" s="2"/>
      <c r="B937" s="2"/>
      <c r="C937" s="2"/>
      <c r="D937" s="2"/>
      <c r="E937" s="2"/>
      <c r="F937" s="2"/>
      <c r="G937" s="2"/>
      <c r="H937" s="2"/>
      <c r="I937" s="2"/>
      <c r="J937" s="2"/>
      <c r="K937" s="2"/>
      <c r="L937" s="2"/>
      <c r="M937" s="2"/>
      <c r="N937" s="2"/>
      <c r="O937" s="2"/>
      <c r="P937" s="2"/>
      <c r="Q937" s="2"/>
      <c r="R937" s="2"/>
      <c r="S937" s="2"/>
      <c r="T937" s="2"/>
      <c r="U937" s="2"/>
      <c r="V937" s="2"/>
      <c r="W937" s="157"/>
      <c r="X937" s="157"/>
      <c r="Y937" s="157"/>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customHeight="1">
      <c r="A938" s="2"/>
      <c r="B938" s="2"/>
      <c r="C938" s="2"/>
      <c r="D938" s="2"/>
      <c r="E938" s="2"/>
      <c r="F938" s="2"/>
      <c r="G938" s="2"/>
      <c r="H938" s="2"/>
      <c r="I938" s="2"/>
      <c r="J938" s="2"/>
      <c r="K938" s="2"/>
      <c r="L938" s="2"/>
      <c r="M938" s="2"/>
      <c r="N938" s="2"/>
      <c r="O938" s="2"/>
      <c r="P938" s="2"/>
      <c r="Q938" s="2"/>
      <c r="R938" s="2"/>
      <c r="S938" s="2"/>
      <c r="T938" s="2"/>
      <c r="U938" s="2"/>
      <c r="V938" s="2"/>
      <c r="W938" s="157"/>
      <c r="X938" s="157"/>
      <c r="Y938" s="157"/>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customHeight="1">
      <c r="A939" s="2"/>
      <c r="B939" s="2"/>
      <c r="C939" s="2"/>
      <c r="D939" s="2"/>
      <c r="E939" s="2"/>
      <c r="F939" s="2"/>
      <c r="G939" s="2"/>
      <c r="H939" s="2"/>
      <c r="I939" s="2"/>
      <c r="J939" s="2"/>
      <c r="K939" s="2"/>
      <c r="L939" s="2"/>
      <c r="M939" s="2"/>
      <c r="N939" s="2"/>
      <c r="O939" s="2"/>
      <c r="P939" s="2"/>
      <c r="Q939" s="2"/>
      <c r="R939" s="2"/>
      <c r="S939" s="2"/>
      <c r="T939" s="2"/>
      <c r="U939" s="2"/>
      <c r="V939" s="2"/>
      <c r="W939" s="157"/>
      <c r="X939" s="157"/>
      <c r="Y939" s="157"/>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customHeight="1">
      <c r="A940" s="2"/>
      <c r="B940" s="2"/>
      <c r="C940" s="2"/>
      <c r="D940" s="2"/>
      <c r="E940" s="2"/>
      <c r="F940" s="2"/>
      <c r="G940" s="2"/>
      <c r="H940" s="2"/>
      <c r="I940" s="2"/>
      <c r="J940" s="2"/>
      <c r="K940" s="2"/>
      <c r="L940" s="2"/>
      <c r="M940" s="2"/>
      <c r="N940" s="2"/>
      <c r="O940" s="2"/>
      <c r="P940" s="2"/>
      <c r="Q940" s="2"/>
      <c r="R940" s="2"/>
      <c r="S940" s="2"/>
      <c r="T940" s="2"/>
      <c r="U940" s="2"/>
      <c r="V940" s="2"/>
      <c r="W940" s="157"/>
      <c r="X940" s="157"/>
      <c r="Y940" s="157"/>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customHeight="1">
      <c r="A941" s="2"/>
      <c r="B941" s="2"/>
      <c r="C941" s="2"/>
      <c r="D941" s="2"/>
      <c r="E941" s="2"/>
      <c r="F941" s="2"/>
      <c r="G941" s="2"/>
      <c r="H941" s="2"/>
      <c r="I941" s="2"/>
      <c r="J941" s="2"/>
      <c r="K941" s="2"/>
      <c r="L941" s="2"/>
      <c r="M941" s="2"/>
      <c r="N941" s="2"/>
      <c r="O941" s="2"/>
      <c r="P941" s="2"/>
      <c r="Q941" s="2"/>
      <c r="R941" s="2"/>
      <c r="S941" s="2"/>
      <c r="T941" s="2"/>
      <c r="U941" s="2"/>
      <c r="V941" s="2"/>
      <c r="W941" s="157"/>
      <c r="X941" s="157"/>
      <c r="Y941" s="157"/>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customHeight="1">
      <c r="A942" s="2"/>
      <c r="B942" s="2"/>
      <c r="C942" s="2"/>
      <c r="D942" s="2"/>
      <c r="E942" s="2"/>
      <c r="F942" s="2"/>
      <c r="G942" s="2"/>
      <c r="H942" s="2"/>
      <c r="I942" s="2"/>
      <c r="J942" s="2"/>
      <c r="K942" s="2"/>
      <c r="L942" s="2"/>
      <c r="M942" s="2"/>
      <c r="N942" s="2"/>
      <c r="O942" s="2"/>
      <c r="P942" s="2"/>
      <c r="Q942" s="2"/>
      <c r="R942" s="2"/>
      <c r="S942" s="2"/>
      <c r="T942" s="2"/>
      <c r="U942" s="2"/>
      <c r="V942" s="2"/>
      <c r="W942" s="157"/>
      <c r="X942" s="157"/>
      <c r="Y942" s="157"/>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customHeight="1">
      <c r="A943" s="2"/>
      <c r="B943" s="2"/>
      <c r="C943" s="2"/>
      <c r="D943" s="2"/>
      <c r="E943" s="2"/>
      <c r="F943" s="2"/>
      <c r="G943" s="2"/>
      <c r="H943" s="2"/>
      <c r="I943" s="2"/>
      <c r="J943" s="2"/>
      <c r="K943" s="2"/>
      <c r="L943" s="2"/>
      <c r="M943" s="2"/>
      <c r="N943" s="2"/>
      <c r="O943" s="2"/>
      <c r="P943" s="2"/>
      <c r="Q943" s="2"/>
      <c r="R943" s="2"/>
      <c r="S943" s="2"/>
      <c r="T943" s="2"/>
      <c r="U943" s="2"/>
      <c r="V943" s="2"/>
      <c r="W943" s="157"/>
      <c r="X943" s="157"/>
      <c r="Y943" s="157"/>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customHeight="1">
      <c r="A944" s="2"/>
      <c r="B944" s="2"/>
      <c r="C944" s="2"/>
      <c r="D944" s="2"/>
      <c r="E944" s="2"/>
      <c r="F944" s="2"/>
      <c r="G944" s="2"/>
      <c r="H944" s="2"/>
      <c r="I944" s="2"/>
      <c r="J944" s="2"/>
      <c r="K944" s="2"/>
      <c r="L944" s="2"/>
      <c r="M944" s="2"/>
      <c r="N944" s="2"/>
      <c r="O944" s="2"/>
      <c r="P944" s="2"/>
      <c r="Q944" s="2"/>
      <c r="R944" s="2"/>
      <c r="S944" s="2"/>
      <c r="T944" s="2"/>
      <c r="U944" s="2"/>
      <c r="V944" s="2"/>
      <c r="W944" s="157"/>
      <c r="X944" s="157"/>
      <c r="Y944" s="157"/>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customHeight="1">
      <c r="A945" s="2"/>
      <c r="B945" s="2"/>
      <c r="C945" s="2"/>
      <c r="D945" s="2"/>
      <c r="E945" s="2"/>
      <c r="F945" s="2"/>
      <c r="G945" s="2"/>
      <c r="H945" s="2"/>
      <c r="I945" s="2"/>
      <c r="J945" s="2"/>
      <c r="K945" s="2"/>
      <c r="L945" s="2"/>
      <c r="M945" s="2"/>
      <c r="N945" s="2"/>
      <c r="O945" s="2"/>
      <c r="P945" s="2"/>
      <c r="Q945" s="2"/>
      <c r="R945" s="2"/>
      <c r="S945" s="2"/>
      <c r="T945" s="2"/>
      <c r="U945" s="2"/>
      <c r="V945" s="2"/>
      <c r="W945" s="157"/>
      <c r="X945" s="157"/>
      <c r="Y945" s="157"/>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customHeight="1">
      <c r="A946" s="2"/>
      <c r="B946" s="2"/>
      <c r="C946" s="2"/>
      <c r="D946" s="2"/>
      <c r="E946" s="2"/>
      <c r="F946" s="2"/>
      <c r="G946" s="2"/>
      <c r="H946" s="2"/>
      <c r="I946" s="2"/>
      <c r="J946" s="2"/>
      <c r="K946" s="2"/>
      <c r="L946" s="2"/>
      <c r="M946" s="2"/>
      <c r="N946" s="2"/>
      <c r="O946" s="2"/>
      <c r="P946" s="2"/>
      <c r="Q946" s="2"/>
      <c r="R946" s="2"/>
      <c r="S946" s="2"/>
      <c r="T946" s="2"/>
      <c r="U946" s="2"/>
      <c r="V946" s="2"/>
      <c r="W946" s="157"/>
      <c r="X946" s="157"/>
      <c r="Y946" s="157"/>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customHeight="1">
      <c r="A947" s="2"/>
      <c r="B947" s="2"/>
      <c r="C947" s="2"/>
      <c r="D947" s="2"/>
      <c r="E947" s="2"/>
      <c r="F947" s="2"/>
      <c r="G947" s="2"/>
      <c r="H947" s="2"/>
      <c r="I947" s="2"/>
      <c r="J947" s="2"/>
      <c r="K947" s="2"/>
      <c r="L947" s="2"/>
      <c r="M947" s="2"/>
      <c r="N947" s="2"/>
      <c r="O947" s="2"/>
      <c r="P947" s="2"/>
      <c r="Q947" s="2"/>
      <c r="R947" s="2"/>
      <c r="S947" s="2"/>
      <c r="T947" s="2"/>
      <c r="U947" s="2"/>
      <c r="V947" s="2"/>
      <c r="W947" s="157"/>
      <c r="X947" s="157"/>
      <c r="Y947" s="157"/>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customHeight="1">
      <c r="A948" s="2"/>
      <c r="B948" s="2"/>
      <c r="C948" s="2"/>
      <c r="D948" s="2"/>
      <c r="E948" s="2"/>
      <c r="F948" s="2"/>
      <c r="G948" s="2"/>
      <c r="H948" s="2"/>
      <c r="I948" s="2"/>
      <c r="J948" s="2"/>
      <c r="K948" s="2"/>
      <c r="L948" s="2"/>
      <c r="M948" s="2"/>
      <c r="N948" s="2"/>
      <c r="O948" s="2"/>
      <c r="P948" s="2"/>
      <c r="Q948" s="2"/>
      <c r="R948" s="2"/>
      <c r="S948" s="2"/>
      <c r="T948" s="2"/>
      <c r="U948" s="2"/>
      <c r="V948" s="2"/>
      <c r="W948" s="157"/>
      <c r="X948" s="157"/>
      <c r="Y948" s="157"/>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customHeight="1">
      <c r="A949" s="2"/>
      <c r="B949" s="2"/>
      <c r="C949" s="2"/>
      <c r="D949" s="2"/>
      <c r="E949" s="2"/>
      <c r="F949" s="2"/>
      <c r="G949" s="2"/>
      <c r="H949" s="2"/>
      <c r="I949" s="2"/>
      <c r="J949" s="2"/>
      <c r="K949" s="2"/>
      <c r="L949" s="2"/>
      <c r="M949" s="2"/>
      <c r="N949" s="2"/>
      <c r="O949" s="2"/>
      <c r="P949" s="2"/>
      <c r="Q949" s="2"/>
      <c r="R949" s="2"/>
      <c r="S949" s="2"/>
      <c r="T949" s="2"/>
      <c r="U949" s="2"/>
      <c r="V949" s="2"/>
      <c r="W949" s="157"/>
      <c r="X949" s="157"/>
      <c r="Y949" s="157"/>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customHeight="1">
      <c r="A950" s="2"/>
      <c r="B950" s="2"/>
      <c r="C950" s="2"/>
      <c r="D950" s="2"/>
      <c r="E950" s="2"/>
      <c r="F950" s="2"/>
      <c r="G950" s="2"/>
      <c r="H950" s="2"/>
      <c r="I950" s="2"/>
      <c r="J950" s="2"/>
      <c r="K950" s="2"/>
      <c r="L950" s="2"/>
      <c r="M950" s="2"/>
      <c r="N950" s="2"/>
      <c r="O950" s="2"/>
      <c r="P950" s="2"/>
      <c r="Q950" s="2"/>
      <c r="R950" s="2"/>
      <c r="S950" s="2"/>
      <c r="T950" s="2"/>
      <c r="U950" s="2"/>
      <c r="V950" s="2"/>
      <c r="W950" s="157"/>
      <c r="X950" s="157"/>
      <c r="Y950" s="157"/>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customHeight="1">
      <c r="A951" s="2"/>
      <c r="B951" s="2"/>
      <c r="C951" s="2"/>
      <c r="D951" s="2"/>
      <c r="E951" s="2"/>
      <c r="F951" s="2"/>
      <c r="G951" s="2"/>
      <c r="H951" s="2"/>
      <c r="I951" s="2"/>
      <c r="J951" s="2"/>
      <c r="K951" s="2"/>
      <c r="L951" s="2"/>
      <c r="M951" s="2"/>
      <c r="N951" s="2"/>
      <c r="O951" s="2"/>
      <c r="P951" s="2"/>
      <c r="Q951" s="2"/>
      <c r="R951" s="2"/>
      <c r="S951" s="2"/>
      <c r="T951" s="2"/>
      <c r="U951" s="2"/>
      <c r="V951" s="2"/>
      <c r="W951" s="157"/>
      <c r="X951" s="157"/>
      <c r="Y951" s="157"/>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customHeight="1">
      <c r="A952" s="2"/>
      <c r="B952" s="2"/>
      <c r="C952" s="2"/>
      <c r="D952" s="2"/>
      <c r="E952" s="2"/>
      <c r="F952" s="2"/>
      <c r="G952" s="2"/>
      <c r="H952" s="2"/>
      <c r="I952" s="2"/>
      <c r="J952" s="2"/>
      <c r="K952" s="2"/>
      <c r="L952" s="2"/>
      <c r="M952" s="2"/>
      <c r="N952" s="2"/>
      <c r="O952" s="2"/>
      <c r="P952" s="2"/>
      <c r="Q952" s="2"/>
      <c r="R952" s="2"/>
      <c r="S952" s="2"/>
      <c r="T952" s="2"/>
      <c r="U952" s="2"/>
      <c r="V952" s="2"/>
      <c r="W952" s="157"/>
      <c r="X952" s="157"/>
      <c r="Y952" s="157"/>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customHeight="1">
      <c r="A953" s="2"/>
      <c r="B953" s="2"/>
      <c r="C953" s="2"/>
      <c r="D953" s="2"/>
      <c r="E953" s="2"/>
      <c r="F953" s="2"/>
      <c r="G953" s="2"/>
      <c r="H953" s="2"/>
      <c r="I953" s="2"/>
      <c r="J953" s="2"/>
      <c r="K953" s="2"/>
      <c r="L953" s="2"/>
      <c r="M953" s="2"/>
      <c r="N953" s="2"/>
      <c r="O953" s="2"/>
      <c r="P953" s="2"/>
      <c r="Q953" s="2"/>
      <c r="R953" s="2"/>
      <c r="S953" s="2"/>
      <c r="T953" s="2"/>
      <c r="U953" s="2"/>
      <c r="V953" s="2"/>
      <c r="W953" s="157"/>
      <c r="X953" s="157"/>
      <c r="Y953" s="157"/>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customHeight="1">
      <c r="A954" s="2"/>
      <c r="B954" s="2"/>
      <c r="C954" s="2"/>
      <c r="D954" s="2"/>
      <c r="E954" s="2"/>
      <c r="F954" s="2"/>
      <c r="G954" s="2"/>
      <c r="H954" s="2"/>
      <c r="I954" s="2"/>
      <c r="J954" s="2"/>
      <c r="K954" s="2"/>
      <c r="L954" s="2"/>
      <c r="M954" s="2"/>
      <c r="N954" s="2"/>
      <c r="O954" s="2"/>
      <c r="P954" s="2"/>
      <c r="Q954" s="2"/>
      <c r="R954" s="2"/>
      <c r="S954" s="2"/>
      <c r="T954" s="2"/>
      <c r="U954" s="2"/>
      <c r="V954" s="2"/>
      <c r="W954" s="157"/>
      <c r="X954" s="157"/>
      <c r="Y954" s="157"/>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customHeight="1">
      <c r="A955" s="2"/>
      <c r="B955" s="2"/>
      <c r="C955" s="2"/>
      <c r="D955" s="2"/>
      <c r="E955" s="2"/>
      <c r="F955" s="2"/>
      <c r="G955" s="2"/>
      <c r="H955" s="2"/>
      <c r="I955" s="2"/>
      <c r="J955" s="2"/>
      <c r="K955" s="2"/>
      <c r="L955" s="2"/>
      <c r="M955" s="2"/>
      <c r="N955" s="2"/>
      <c r="O955" s="2"/>
      <c r="P955" s="2"/>
      <c r="Q955" s="2"/>
      <c r="R955" s="2"/>
      <c r="S955" s="2"/>
      <c r="T955" s="2"/>
      <c r="U955" s="2"/>
      <c r="V955" s="2"/>
      <c r="W955" s="157"/>
      <c r="X955" s="157"/>
      <c r="Y955" s="157"/>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customHeight="1">
      <c r="A956" s="2"/>
      <c r="B956" s="2"/>
      <c r="C956" s="2"/>
      <c r="D956" s="2"/>
      <c r="E956" s="2"/>
      <c r="F956" s="2"/>
      <c r="G956" s="2"/>
      <c r="H956" s="2"/>
      <c r="I956" s="2"/>
      <c r="J956" s="2"/>
      <c r="K956" s="2"/>
      <c r="L956" s="2"/>
      <c r="M956" s="2"/>
      <c r="N956" s="2"/>
      <c r="O956" s="2"/>
      <c r="P956" s="2"/>
      <c r="Q956" s="2"/>
      <c r="R956" s="2"/>
      <c r="S956" s="2"/>
      <c r="T956" s="2"/>
      <c r="U956" s="2"/>
      <c r="V956" s="2"/>
      <c r="W956" s="157"/>
      <c r="X956" s="157"/>
      <c r="Y956" s="157"/>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customHeight="1">
      <c r="A957" s="2"/>
      <c r="B957" s="2"/>
      <c r="C957" s="2"/>
      <c r="D957" s="2"/>
      <c r="E957" s="2"/>
      <c r="F957" s="2"/>
      <c r="G957" s="2"/>
      <c r="H957" s="2"/>
      <c r="I957" s="2"/>
      <c r="J957" s="2"/>
      <c r="K957" s="2"/>
      <c r="L957" s="2"/>
      <c r="M957" s="2"/>
      <c r="N957" s="2"/>
      <c r="O957" s="2"/>
      <c r="P957" s="2"/>
      <c r="Q957" s="2"/>
      <c r="R957" s="2"/>
      <c r="S957" s="2"/>
      <c r="T957" s="2"/>
      <c r="U957" s="2"/>
      <c r="V957" s="2"/>
      <c r="W957" s="157"/>
      <c r="X957" s="157"/>
      <c r="Y957" s="157"/>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customHeight="1">
      <c r="A958" s="2"/>
      <c r="B958" s="2"/>
      <c r="C958" s="2"/>
      <c r="D958" s="2"/>
      <c r="E958" s="2"/>
      <c r="F958" s="2"/>
      <c r="G958" s="2"/>
      <c r="H958" s="2"/>
      <c r="I958" s="2"/>
      <c r="J958" s="2"/>
      <c r="K958" s="2"/>
      <c r="L958" s="2"/>
      <c r="M958" s="2"/>
      <c r="N958" s="2"/>
      <c r="O958" s="2"/>
      <c r="P958" s="2"/>
      <c r="Q958" s="2"/>
      <c r="R958" s="2"/>
      <c r="S958" s="2"/>
      <c r="T958" s="2"/>
      <c r="U958" s="2"/>
      <c r="V958" s="2"/>
      <c r="W958" s="157"/>
      <c r="X958" s="157"/>
      <c r="Y958" s="157"/>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customHeight="1">
      <c r="A959" s="2"/>
      <c r="B959" s="2"/>
      <c r="C959" s="2"/>
      <c r="D959" s="2"/>
      <c r="E959" s="2"/>
      <c r="F959" s="2"/>
      <c r="G959" s="2"/>
      <c r="H959" s="2"/>
      <c r="I959" s="2"/>
      <c r="J959" s="2"/>
      <c r="K959" s="2"/>
      <c r="L959" s="2"/>
      <c r="M959" s="2"/>
      <c r="N959" s="2"/>
      <c r="O959" s="2"/>
      <c r="P959" s="2"/>
      <c r="Q959" s="2"/>
      <c r="R959" s="2"/>
      <c r="S959" s="2"/>
      <c r="T959" s="2"/>
      <c r="U959" s="2"/>
      <c r="V959" s="2"/>
      <c r="W959" s="157"/>
      <c r="X959" s="157"/>
      <c r="Y959" s="157"/>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customHeight="1">
      <c r="A960" s="2"/>
      <c r="B960" s="2"/>
      <c r="C960" s="2"/>
      <c r="D960" s="2"/>
      <c r="E960" s="2"/>
      <c r="F960" s="2"/>
      <c r="G960" s="2"/>
      <c r="H960" s="2"/>
      <c r="I960" s="2"/>
      <c r="J960" s="2"/>
      <c r="K960" s="2"/>
      <c r="L960" s="2"/>
      <c r="M960" s="2"/>
      <c r="N960" s="2"/>
      <c r="O960" s="2"/>
      <c r="P960" s="2"/>
      <c r="Q960" s="2"/>
      <c r="R960" s="2"/>
      <c r="S960" s="2"/>
      <c r="T960" s="2"/>
      <c r="U960" s="2"/>
      <c r="V960" s="2"/>
      <c r="W960" s="157"/>
      <c r="X960" s="157"/>
      <c r="Y960" s="157"/>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customHeight="1">
      <c r="A961" s="2"/>
      <c r="B961" s="2"/>
      <c r="C961" s="2"/>
      <c r="D961" s="2"/>
      <c r="E961" s="2"/>
      <c r="F961" s="2"/>
      <c r="G961" s="2"/>
      <c r="H961" s="2"/>
      <c r="I961" s="2"/>
      <c r="J961" s="2"/>
      <c r="K961" s="2"/>
      <c r="L961" s="2"/>
      <c r="M961" s="2"/>
      <c r="N961" s="2"/>
      <c r="O961" s="2"/>
      <c r="P961" s="2"/>
      <c r="Q961" s="2"/>
      <c r="R961" s="2"/>
      <c r="S961" s="2"/>
      <c r="T961" s="2"/>
      <c r="U961" s="2"/>
      <c r="V961" s="2"/>
      <c r="W961" s="157"/>
      <c r="X961" s="157"/>
      <c r="Y961" s="157"/>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customHeight="1">
      <c r="A962" s="2"/>
      <c r="B962" s="2"/>
      <c r="C962" s="2"/>
      <c r="D962" s="2"/>
      <c r="E962" s="2"/>
      <c r="F962" s="2"/>
      <c r="G962" s="2"/>
      <c r="H962" s="2"/>
      <c r="I962" s="2"/>
      <c r="J962" s="2"/>
      <c r="K962" s="2"/>
      <c r="L962" s="2"/>
      <c r="M962" s="2"/>
      <c r="N962" s="2"/>
      <c r="O962" s="2"/>
      <c r="P962" s="2"/>
      <c r="Q962" s="2"/>
      <c r="R962" s="2"/>
      <c r="S962" s="2"/>
      <c r="T962" s="2"/>
      <c r="U962" s="2"/>
      <c r="V962" s="2"/>
      <c r="W962" s="157"/>
      <c r="X962" s="157"/>
      <c r="Y962" s="157"/>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customHeight="1">
      <c r="A963" s="2"/>
      <c r="B963" s="2"/>
      <c r="C963" s="2"/>
      <c r="D963" s="2"/>
      <c r="E963" s="2"/>
      <c r="F963" s="2"/>
      <c r="G963" s="2"/>
      <c r="H963" s="2"/>
      <c r="I963" s="2"/>
      <c r="J963" s="2"/>
      <c r="K963" s="2"/>
      <c r="L963" s="2"/>
      <c r="M963" s="2"/>
      <c r="N963" s="2"/>
      <c r="O963" s="2"/>
      <c r="P963" s="2"/>
      <c r="Q963" s="2"/>
      <c r="R963" s="2"/>
      <c r="S963" s="2"/>
      <c r="T963" s="2"/>
      <c r="U963" s="2"/>
      <c r="V963" s="2"/>
      <c r="W963" s="157"/>
      <c r="X963" s="157"/>
      <c r="Y963" s="157"/>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customHeight="1">
      <c r="A964" s="2"/>
      <c r="B964" s="2"/>
      <c r="C964" s="2"/>
      <c r="D964" s="2"/>
      <c r="E964" s="2"/>
      <c r="F964" s="2"/>
      <c r="G964" s="2"/>
      <c r="H964" s="2"/>
      <c r="I964" s="2"/>
      <c r="J964" s="2"/>
      <c r="K964" s="2"/>
      <c r="L964" s="2"/>
      <c r="M964" s="2"/>
      <c r="N964" s="2"/>
      <c r="O964" s="2"/>
      <c r="P964" s="2"/>
      <c r="Q964" s="2"/>
      <c r="R964" s="2"/>
      <c r="S964" s="2"/>
      <c r="T964" s="2"/>
      <c r="U964" s="2"/>
      <c r="V964" s="2"/>
      <c r="W964" s="157"/>
      <c r="X964" s="157"/>
      <c r="Y964" s="157"/>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customHeight="1">
      <c r="A965" s="2"/>
      <c r="B965" s="2"/>
      <c r="C965" s="2"/>
      <c r="D965" s="2"/>
      <c r="E965" s="2"/>
      <c r="F965" s="2"/>
      <c r="G965" s="2"/>
      <c r="H965" s="2"/>
      <c r="I965" s="2"/>
      <c r="J965" s="2"/>
      <c r="K965" s="2"/>
      <c r="L965" s="2"/>
      <c r="M965" s="2"/>
      <c r="N965" s="2"/>
      <c r="O965" s="2"/>
      <c r="P965" s="2"/>
      <c r="Q965" s="2"/>
      <c r="R965" s="2"/>
      <c r="S965" s="2"/>
      <c r="T965" s="2"/>
      <c r="U965" s="2"/>
      <c r="V965" s="2"/>
      <c r="W965" s="157"/>
      <c r="X965" s="157"/>
      <c r="Y965" s="157"/>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customHeight="1">
      <c r="A966" s="2"/>
      <c r="B966" s="2"/>
      <c r="C966" s="2"/>
      <c r="D966" s="2"/>
      <c r="E966" s="2"/>
      <c r="F966" s="2"/>
      <c r="G966" s="2"/>
      <c r="H966" s="2"/>
      <c r="I966" s="2"/>
      <c r="J966" s="2"/>
      <c r="K966" s="2"/>
      <c r="L966" s="2"/>
      <c r="M966" s="2"/>
      <c r="N966" s="2"/>
      <c r="O966" s="2"/>
      <c r="P966" s="2"/>
      <c r="Q966" s="2"/>
      <c r="R966" s="2"/>
      <c r="S966" s="2"/>
      <c r="T966" s="2"/>
      <c r="U966" s="2"/>
      <c r="V966" s="2"/>
      <c r="W966" s="157"/>
      <c r="X966" s="157"/>
      <c r="Y966" s="157"/>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customHeight="1">
      <c r="A967" s="2"/>
      <c r="B967" s="2"/>
      <c r="C967" s="2"/>
      <c r="D967" s="2"/>
      <c r="E967" s="2"/>
      <c r="F967" s="2"/>
      <c r="G967" s="2"/>
      <c r="H967" s="2"/>
      <c r="I967" s="2"/>
      <c r="J967" s="2"/>
      <c r="K967" s="2"/>
      <c r="L967" s="2"/>
      <c r="M967" s="2"/>
      <c r="N967" s="2"/>
      <c r="O967" s="2"/>
      <c r="P967" s="2"/>
      <c r="Q967" s="2"/>
      <c r="R967" s="2"/>
      <c r="S967" s="2"/>
      <c r="T967" s="2"/>
      <c r="U967" s="2"/>
      <c r="V967" s="2"/>
      <c r="W967" s="157"/>
      <c r="X967" s="157"/>
      <c r="Y967" s="157"/>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customHeight="1">
      <c r="A968" s="2"/>
      <c r="B968" s="2"/>
      <c r="C968" s="2"/>
      <c r="D968" s="2"/>
      <c r="E968" s="2"/>
      <c r="F968" s="2"/>
      <c r="G968" s="2"/>
      <c r="H968" s="2"/>
      <c r="I968" s="2"/>
      <c r="J968" s="2"/>
      <c r="K968" s="2"/>
      <c r="L968" s="2"/>
      <c r="M968" s="2"/>
      <c r="N968" s="2"/>
      <c r="O968" s="2"/>
      <c r="P968" s="2"/>
      <c r="Q968" s="2"/>
      <c r="R968" s="2"/>
      <c r="S968" s="2"/>
      <c r="T968" s="2"/>
      <c r="U968" s="2"/>
      <c r="V968" s="2"/>
      <c r="W968" s="157"/>
      <c r="X968" s="157"/>
      <c r="Y968" s="157"/>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customHeight="1">
      <c r="A969" s="2"/>
      <c r="B969" s="2"/>
      <c r="C969" s="2"/>
      <c r="D969" s="2"/>
      <c r="E969" s="2"/>
      <c r="F969" s="2"/>
      <c r="G969" s="2"/>
      <c r="H969" s="2"/>
      <c r="I969" s="2"/>
      <c r="J969" s="2"/>
      <c r="K969" s="2"/>
      <c r="L969" s="2"/>
      <c r="M969" s="2"/>
      <c r="N969" s="2"/>
      <c r="O969" s="2"/>
      <c r="P969" s="2"/>
      <c r="Q969" s="2"/>
      <c r="R969" s="2"/>
      <c r="S969" s="2"/>
      <c r="T969" s="2"/>
      <c r="U969" s="2"/>
      <c r="V969" s="2"/>
      <c r="W969" s="157"/>
      <c r="X969" s="157"/>
      <c r="Y969" s="157"/>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customHeight="1">
      <c r="A970" s="2"/>
      <c r="B970" s="2"/>
      <c r="C970" s="2"/>
      <c r="D970" s="2"/>
      <c r="E970" s="2"/>
      <c r="F970" s="2"/>
      <c r="G970" s="2"/>
      <c r="H970" s="2"/>
      <c r="I970" s="2"/>
      <c r="J970" s="2"/>
      <c r="K970" s="2"/>
      <c r="L970" s="2"/>
      <c r="M970" s="2"/>
      <c r="N970" s="2"/>
      <c r="O970" s="2"/>
      <c r="P970" s="2"/>
      <c r="Q970" s="2"/>
      <c r="R970" s="2"/>
      <c r="S970" s="2"/>
      <c r="T970" s="2"/>
      <c r="U970" s="2"/>
      <c r="V970" s="2"/>
      <c r="W970" s="157"/>
      <c r="X970" s="157"/>
      <c r="Y970" s="157"/>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customHeight="1">
      <c r="A971" s="2"/>
      <c r="B971" s="2"/>
      <c r="C971" s="2"/>
      <c r="D971" s="2"/>
      <c r="E971" s="2"/>
      <c r="F971" s="2"/>
      <c r="G971" s="2"/>
      <c r="H971" s="2"/>
      <c r="I971" s="2"/>
      <c r="J971" s="2"/>
      <c r="K971" s="2"/>
      <c r="L971" s="2"/>
      <c r="M971" s="2"/>
      <c r="N971" s="2"/>
      <c r="O971" s="2"/>
      <c r="P971" s="2"/>
      <c r="Q971" s="2"/>
      <c r="R971" s="2"/>
      <c r="S971" s="2"/>
      <c r="T971" s="2"/>
      <c r="U971" s="2"/>
      <c r="V971" s="2"/>
      <c r="W971" s="157"/>
      <c r="X971" s="157"/>
      <c r="Y971" s="157"/>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customHeight="1">
      <c r="A972" s="2"/>
      <c r="B972" s="2"/>
      <c r="C972" s="2"/>
      <c r="D972" s="2"/>
      <c r="E972" s="2"/>
      <c r="F972" s="2"/>
      <c r="G972" s="2"/>
      <c r="H972" s="2"/>
      <c r="I972" s="2"/>
      <c r="J972" s="2"/>
      <c r="K972" s="2"/>
      <c r="L972" s="2"/>
      <c r="M972" s="2"/>
      <c r="N972" s="2"/>
      <c r="O972" s="2"/>
      <c r="P972" s="2"/>
      <c r="Q972" s="2"/>
      <c r="R972" s="2"/>
      <c r="S972" s="2"/>
      <c r="T972" s="2"/>
      <c r="U972" s="2"/>
      <c r="V972" s="2"/>
      <c r="W972" s="157"/>
      <c r="X972" s="157"/>
      <c r="Y972" s="157"/>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customHeight="1">
      <c r="A973" s="2"/>
      <c r="B973" s="2"/>
      <c r="C973" s="2"/>
      <c r="D973" s="2"/>
      <c r="E973" s="2"/>
      <c r="F973" s="2"/>
      <c r="G973" s="2"/>
      <c r="H973" s="2"/>
      <c r="I973" s="2"/>
      <c r="J973" s="2"/>
      <c r="K973" s="2"/>
      <c r="L973" s="2"/>
      <c r="M973" s="2"/>
      <c r="N973" s="2"/>
      <c r="O973" s="2"/>
      <c r="P973" s="2"/>
      <c r="Q973" s="2"/>
      <c r="R973" s="2"/>
      <c r="S973" s="2"/>
      <c r="T973" s="2"/>
      <c r="U973" s="2"/>
      <c r="V973" s="2"/>
      <c r="W973" s="157"/>
      <c r="X973" s="157"/>
      <c r="Y973" s="157"/>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customHeight="1">
      <c r="A974" s="2"/>
      <c r="B974" s="2"/>
      <c r="C974" s="2"/>
      <c r="D974" s="2"/>
      <c r="E974" s="2"/>
      <c r="F974" s="2"/>
      <c r="G974" s="2"/>
      <c r="H974" s="2"/>
      <c r="I974" s="2"/>
      <c r="J974" s="2"/>
      <c r="K974" s="2"/>
      <c r="L974" s="2"/>
      <c r="M974" s="2"/>
      <c r="N974" s="2"/>
      <c r="O974" s="2"/>
      <c r="P974" s="2"/>
      <c r="Q974" s="2"/>
      <c r="R974" s="2"/>
      <c r="S974" s="2"/>
      <c r="T974" s="2"/>
      <c r="U974" s="2"/>
      <c r="V974" s="2"/>
      <c r="W974" s="157"/>
      <c r="X974" s="157"/>
      <c r="Y974" s="157"/>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customHeight="1">
      <c r="A975" s="2"/>
      <c r="B975" s="2"/>
      <c r="C975" s="2"/>
      <c r="D975" s="2"/>
      <c r="E975" s="2"/>
      <c r="F975" s="2"/>
      <c r="G975" s="2"/>
      <c r="H975" s="2"/>
      <c r="I975" s="2"/>
      <c r="J975" s="2"/>
      <c r="K975" s="2"/>
      <c r="L975" s="2"/>
      <c r="M975" s="2"/>
      <c r="N975" s="2"/>
      <c r="O975" s="2"/>
      <c r="P975" s="2"/>
      <c r="Q975" s="2"/>
      <c r="R975" s="2"/>
      <c r="S975" s="2"/>
      <c r="T975" s="2"/>
      <c r="U975" s="2"/>
      <c r="V975" s="2"/>
      <c r="W975" s="157"/>
      <c r="X975" s="157"/>
      <c r="Y975" s="157"/>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customHeight="1">
      <c r="A976" s="2"/>
      <c r="B976" s="2"/>
      <c r="C976" s="2"/>
      <c r="D976" s="2"/>
      <c r="E976" s="2"/>
      <c r="F976" s="2"/>
      <c r="G976" s="2"/>
      <c r="H976" s="2"/>
      <c r="I976" s="2"/>
      <c r="J976" s="2"/>
      <c r="K976" s="2"/>
      <c r="L976" s="2"/>
      <c r="M976" s="2"/>
      <c r="N976" s="2"/>
      <c r="O976" s="2"/>
      <c r="P976" s="2"/>
      <c r="Q976" s="2"/>
      <c r="R976" s="2"/>
      <c r="S976" s="2"/>
      <c r="T976" s="2"/>
      <c r="U976" s="2"/>
      <c r="V976" s="2"/>
      <c r="W976" s="157"/>
      <c r="X976" s="157"/>
      <c r="Y976" s="157"/>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customHeight="1">
      <c r="A977" s="2"/>
      <c r="B977" s="2"/>
      <c r="C977" s="2"/>
      <c r="D977" s="2"/>
      <c r="E977" s="2"/>
      <c r="F977" s="2"/>
      <c r="G977" s="2"/>
      <c r="H977" s="2"/>
      <c r="I977" s="2"/>
      <c r="J977" s="2"/>
      <c r="K977" s="2"/>
      <c r="L977" s="2"/>
      <c r="M977" s="2"/>
      <c r="N977" s="2"/>
      <c r="O977" s="2"/>
      <c r="P977" s="2"/>
      <c r="Q977" s="2"/>
      <c r="R977" s="2"/>
      <c r="S977" s="2"/>
      <c r="T977" s="2"/>
      <c r="U977" s="2"/>
      <c r="V977" s="2"/>
      <c r="W977" s="157"/>
      <c r="X977" s="157"/>
      <c r="Y977" s="157"/>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customHeight="1">
      <c r="A978" s="2"/>
      <c r="B978" s="2"/>
      <c r="C978" s="2"/>
      <c r="D978" s="2"/>
      <c r="E978" s="2"/>
      <c r="F978" s="2"/>
      <c r="G978" s="2"/>
      <c r="H978" s="2"/>
      <c r="I978" s="2"/>
      <c r="J978" s="2"/>
      <c r="K978" s="2"/>
      <c r="L978" s="2"/>
      <c r="M978" s="2"/>
      <c r="N978" s="2"/>
      <c r="O978" s="2"/>
      <c r="P978" s="2"/>
      <c r="Q978" s="2"/>
      <c r="R978" s="2"/>
      <c r="S978" s="2"/>
      <c r="T978" s="2"/>
      <c r="U978" s="2"/>
      <c r="V978" s="2"/>
      <c r="W978" s="157"/>
      <c r="X978" s="157"/>
      <c r="Y978" s="157"/>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customHeight="1">
      <c r="A979" s="2"/>
      <c r="B979" s="2"/>
      <c r="C979" s="2"/>
      <c r="D979" s="2"/>
      <c r="E979" s="2"/>
      <c r="F979" s="2"/>
      <c r="G979" s="2"/>
      <c r="H979" s="2"/>
      <c r="I979" s="2"/>
      <c r="J979" s="2"/>
      <c r="K979" s="2"/>
      <c r="L979" s="2"/>
      <c r="M979" s="2"/>
      <c r="N979" s="2"/>
      <c r="O979" s="2"/>
      <c r="P979" s="2"/>
      <c r="Q979" s="2"/>
      <c r="R979" s="2"/>
      <c r="S979" s="2"/>
      <c r="T979" s="2"/>
      <c r="U979" s="2"/>
      <c r="V979" s="2"/>
      <c r="W979" s="157"/>
      <c r="X979" s="157"/>
      <c r="Y979" s="157"/>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customHeight="1">
      <c r="A980" s="2"/>
      <c r="B980" s="2"/>
      <c r="C980" s="2"/>
      <c r="D980" s="2"/>
      <c r="E980" s="2"/>
      <c r="F980" s="2"/>
      <c r="G980" s="2"/>
      <c r="H980" s="2"/>
      <c r="I980" s="2"/>
      <c r="J980" s="2"/>
      <c r="K980" s="2"/>
      <c r="L980" s="2"/>
      <c r="M980" s="2"/>
      <c r="N980" s="2"/>
      <c r="O980" s="2"/>
      <c r="P980" s="2"/>
      <c r="Q980" s="2"/>
      <c r="R980" s="2"/>
      <c r="S980" s="2"/>
      <c r="T980" s="2"/>
      <c r="U980" s="2"/>
      <c r="V980" s="2"/>
      <c r="W980" s="157"/>
      <c r="X980" s="157"/>
      <c r="Y980" s="157"/>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customHeight="1">
      <c r="A981" s="2"/>
      <c r="B981" s="2"/>
      <c r="C981" s="2"/>
      <c r="D981" s="2"/>
      <c r="E981" s="2"/>
      <c r="F981" s="2"/>
      <c r="G981" s="2"/>
      <c r="H981" s="2"/>
      <c r="I981" s="2"/>
      <c r="J981" s="2"/>
      <c r="K981" s="2"/>
      <c r="L981" s="2"/>
      <c r="M981" s="2"/>
      <c r="N981" s="2"/>
      <c r="O981" s="2"/>
      <c r="P981" s="2"/>
      <c r="Q981" s="2"/>
      <c r="R981" s="2"/>
      <c r="S981" s="2"/>
      <c r="T981" s="2"/>
      <c r="U981" s="2"/>
      <c r="V981" s="2"/>
      <c r="W981" s="157"/>
      <c r="X981" s="157"/>
      <c r="Y981" s="157"/>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customHeight="1">
      <c r="A982" s="2"/>
      <c r="B982" s="2"/>
      <c r="C982" s="2"/>
      <c r="D982" s="2"/>
      <c r="E982" s="2"/>
      <c r="F982" s="2"/>
      <c r="G982" s="2"/>
      <c r="H982" s="2"/>
      <c r="I982" s="2"/>
      <c r="J982" s="2"/>
      <c r="K982" s="2"/>
      <c r="L982" s="2"/>
      <c r="M982" s="2"/>
      <c r="N982" s="2"/>
      <c r="O982" s="2"/>
      <c r="P982" s="2"/>
      <c r="Q982" s="2"/>
      <c r="R982" s="2"/>
      <c r="S982" s="2"/>
      <c r="T982" s="2"/>
      <c r="U982" s="2"/>
      <c r="V982" s="2"/>
      <c r="W982" s="157"/>
      <c r="X982" s="157"/>
      <c r="Y982" s="157"/>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customHeight="1">
      <c r="A983" s="2"/>
      <c r="B983" s="2"/>
      <c r="C983" s="2"/>
      <c r="D983" s="2"/>
      <c r="E983" s="2"/>
      <c r="F983" s="2"/>
      <c r="G983" s="2"/>
      <c r="H983" s="2"/>
      <c r="I983" s="2"/>
      <c r="J983" s="2"/>
      <c r="K983" s="2"/>
      <c r="L983" s="2"/>
      <c r="M983" s="2"/>
      <c r="N983" s="2"/>
      <c r="O983" s="2"/>
      <c r="P983" s="2"/>
      <c r="Q983" s="2"/>
      <c r="R983" s="2"/>
      <c r="S983" s="2"/>
      <c r="T983" s="2"/>
      <c r="U983" s="2"/>
      <c r="V983" s="2"/>
      <c r="W983" s="157"/>
      <c r="X983" s="157"/>
      <c r="Y983" s="157"/>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customHeight="1">
      <c r="A984" s="2"/>
      <c r="B984" s="2"/>
      <c r="C984" s="2"/>
      <c r="D984" s="2"/>
      <c r="E984" s="2"/>
      <c r="F984" s="2"/>
      <c r="G984" s="2"/>
      <c r="H984" s="2"/>
      <c r="I984" s="2"/>
      <c r="J984" s="2"/>
      <c r="K984" s="2"/>
      <c r="L984" s="2"/>
      <c r="M984" s="2"/>
      <c r="N984" s="2"/>
      <c r="O984" s="2"/>
      <c r="P984" s="2"/>
      <c r="Q984" s="2"/>
      <c r="R984" s="2"/>
      <c r="S984" s="2"/>
      <c r="T984" s="2"/>
      <c r="U984" s="2"/>
      <c r="V984" s="2"/>
      <c r="W984" s="157"/>
      <c r="X984" s="157"/>
      <c r="Y984" s="157"/>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customHeight="1">
      <c r="A985" s="2"/>
      <c r="B985" s="2"/>
      <c r="C985" s="2"/>
      <c r="D985" s="2"/>
      <c r="E985" s="2"/>
      <c r="F985" s="2"/>
      <c r="G985" s="2"/>
      <c r="H985" s="2"/>
      <c r="I985" s="2"/>
      <c r="J985" s="2"/>
      <c r="K985" s="2"/>
      <c r="L985" s="2"/>
      <c r="M985" s="2"/>
      <c r="N985" s="2"/>
      <c r="O985" s="2"/>
      <c r="P985" s="2"/>
      <c r="Q985" s="2"/>
      <c r="R985" s="2"/>
      <c r="S985" s="2"/>
      <c r="T985" s="2"/>
      <c r="U985" s="2"/>
      <c r="V985" s="2"/>
      <c r="W985" s="157"/>
      <c r="X985" s="157"/>
      <c r="Y985" s="157"/>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customHeight="1">
      <c r="A986" s="2"/>
      <c r="B986" s="2"/>
      <c r="C986" s="2"/>
      <c r="D986" s="2"/>
      <c r="E986" s="2"/>
      <c r="F986" s="2"/>
      <c r="G986" s="2"/>
      <c r="H986" s="2"/>
      <c r="I986" s="2"/>
      <c r="J986" s="2"/>
      <c r="K986" s="2"/>
      <c r="L986" s="2"/>
      <c r="M986" s="2"/>
      <c r="N986" s="2"/>
      <c r="O986" s="2"/>
      <c r="P986" s="2"/>
      <c r="Q986" s="2"/>
      <c r="R986" s="2"/>
      <c r="S986" s="2"/>
      <c r="T986" s="2"/>
      <c r="U986" s="2"/>
      <c r="V986" s="2"/>
      <c r="W986" s="157"/>
      <c r="X986" s="157"/>
      <c r="Y986" s="157"/>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customHeight="1">
      <c r="A987" s="2"/>
      <c r="B987" s="2"/>
      <c r="C987" s="2"/>
      <c r="D987" s="2"/>
      <c r="E987" s="2"/>
      <c r="F987" s="2"/>
      <c r="G987" s="2"/>
      <c r="H987" s="2"/>
      <c r="I987" s="2"/>
      <c r="J987" s="2"/>
      <c r="K987" s="2"/>
      <c r="L987" s="2"/>
      <c r="M987" s="2"/>
      <c r="N987" s="2"/>
      <c r="O987" s="2"/>
      <c r="P987" s="2"/>
      <c r="Q987" s="2"/>
      <c r="R987" s="2"/>
      <c r="S987" s="2"/>
      <c r="T987" s="2"/>
      <c r="U987" s="2"/>
      <c r="V987" s="2"/>
      <c r="W987" s="157"/>
      <c r="X987" s="157"/>
      <c r="Y987" s="157"/>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customHeight="1">
      <c r="A988" s="2"/>
      <c r="B988" s="2"/>
      <c r="C988" s="2"/>
      <c r="D988" s="2"/>
      <c r="E988" s="2"/>
      <c r="F988" s="2"/>
      <c r="G988" s="2"/>
      <c r="H988" s="2"/>
      <c r="I988" s="2"/>
      <c r="J988" s="2"/>
      <c r="K988" s="2"/>
      <c r="L988" s="2"/>
      <c r="M988" s="2"/>
      <c r="N988" s="2"/>
      <c r="O988" s="2"/>
      <c r="P988" s="2"/>
      <c r="Q988" s="2"/>
      <c r="R988" s="2"/>
      <c r="S988" s="2"/>
      <c r="T988" s="2"/>
      <c r="U988" s="2"/>
      <c r="V988" s="2"/>
      <c r="W988" s="157"/>
      <c r="X988" s="157"/>
      <c r="Y988" s="157"/>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customHeight="1">
      <c r="A989" s="2"/>
      <c r="B989" s="2"/>
      <c r="C989" s="2"/>
      <c r="D989" s="2"/>
      <c r="E989" s="2"/>
      <c r="F989" s="2"/>
      <c r="G989" s="2"/>
      <c r="H989" s="2"/>
      <c r="I989" s="2"/>
      <c r="J989" s="2"/>
      <c r="K989" s="2"/>
      <c r="L989" s="2"/>
      <c r="M989" s="2"/>
      <c r="N989" s="2"/>
      <c r="O989" s="2"/>
      <c r="P989" s="2"/>
      <c r="Q989" s="2"/>
      <c r="R989" s="2"/>
      <c r="S989" s="2"/>
      <c r="T989" s="2"/>
      <c r="U989" s="2"/>
      <c r="V989" s="2"/>
      <c r="W989" s="157"/>
      <c r="X989" s="157"/>
      <c r="Y989" s="157"/>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customHeight="1">
      <c r="A990" s="2"/>
      <c r="B990" s="2"/>
      <c r="C990" s="2"/>
      <c r="D990" s="2"/>
      <c r="E990" s="2"/>
      <c r="F990" s="2"/>
      <c r="G990" s="2"/>
      <c r="H990" s="2"/>
      <c r="I990" s="2"/>
      <c r="J990" s="2"/>
      <c r="K990" s="2"/>
      <c r="L990" s="2"/>
      <c r="M990" s="2"/>
      <c r="N990" s="2"/>
      <c r="O990" s="2"/>
      <c r="P990" s="2"/>
      <c r="Q990" s="2"/>
      <c r="R990" s="2"/>
      <c r="S990" s="2"/>
      <c r="T990" s="2"/>
      <c r="U990" s="2"/>
      <c r="V990" s="2"/>
      <c r="W990" s="157"/>
      <c r="X990" s="157"/>
      <c r="Y990" s="157"/>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customHeight="1">
      <c r="A991" s="2"/>
      <c r="B991" s="2"/>
      <c r="C991" s="2"/>
      <c r="D991" s="2"/>
      <c r="E991" s="2"/>
      <c r="F991" s="2"/>
      <c r="G991" s="2"/>
      <c r="H991" s="2"/>
      <c r="I991" s="2"/>
      <c r="J991" s="2"/>
      <c r="K991" s="2"/>
      <c r="L991" s="2"/>
      <c r="M991" s="2"/>
      <c r="N991" s="2"/>
      <c r="O991" s="2"/>
      <c r="P991" s="2"/>
      <c r="Q991" s="2"/>
      <c r="R991" s="2"/>
      <c r="S991" s="2"/>
      <c r="T991" s="2"/>
      <c r="U991" s="2"/>
      <c r="V991" s="2"/>
      <c r="W991" s="157"/>
      <c r="X991" s="157"/>
      <c r="Y991" s="157"/>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customHeight="1">
      <c r="A992" s="2"/>
      <c r="B992" s="2"/>
      <c r="C992" s="2"/>
      <c r="D992" s="2"/>
      <c r="E992" s="2"/>
      <c r="F992" s="2"/>
      <c r="G992" s="2"/>
      <c r="H992" s="2"/>
      <c r="I992" s="2"/>
      <c r="J992" s="2"/>
      <c r="K992" s="2"/>
      <c r="L992" s="2"/>
      <c r="M992" s="2"/>
      <c r="N992" s="2"/>
      <c r="O992" s="2"/>
      <c r="P992" s="2"/>
      <c r="Q992" s="2"/>
      <c r="R992" s="2"/>
      <c r="S992" s="2"/>
      <c r="T992" s="2"/>
      <c r="U992" s="2"/>
      <c r="V992" s="2"/>
      <c r="W992" s="157"/>
      <c r="X992" s="157"/>
      <c r="Y992" s="157"/>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customHeight="1">
      <c r="A993" s="2"/>
      <c r="B993" s="2"/>
      <c r="C993" s="2"/>
      <c r="D993" s="2"/>
      <c r="E993" s="2"/>
      <c r="F993" s="2"/>
      <c r="G993" s="2"/>
      <c r="H993" s="2"/>
      <c r="I993" s="2"/>
      <c r="J993" s="2"/>
      <c r="K993" s="2"/>
      <c r="L993" s="2"/>
      <c r="M993" s="2"/>
      <c r="N993" s="2"/>
      <c r="O993" s="2"/>
      <c r="P993" s="2"/>
      <c r="Q993" s="2"/>
      <c r="R993" s="2"/>
      <c r="S993" s="2"/>
      <c r="T993" s="2"/>
      <c r="U993" s="2"/>
      <c r="V993" s="2"/>
      <c r="W993" s="157"/>
      <c r="X993" s="157"/>
      <c r="Y993" s="157"/>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customHeight="1">
      <c r="A994" s="2"/>
      <c r="B994" s="2"/>
      <c r="C994" s="2"/>
      <c r="D994" s="2"/>
      <c r="E994" s="2"/>
      <c r="F994" s="2"/>
      <c r="G994" s="2"/>
      <c r="H994" s="2"/>
      <c r="I994" s="2"/>
      <c r="J994" s="2"/>
      <c r="K994" s="2"/>
      <c r="L994" s="2"/>
      <c r="M994" s="2"/>
      <c r="N994" s="2"/>
      <c r="O994" s="2"/>
      <c r="P994" s="2"/>
      <c r="Q994" s="2"/>
      <c r="R994" s="2"/>
      <c r="S994" s="2"/>
      <c r="T994" s="2"/>
      <c r="U994" s="2"/>
      <c r="V994" s="2"/>
      <c r="W994" s="157"/>
      <c r="X994" s="157"/>
      <c r="Y994" s="157"/>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customHeight="1">
      <c r="A995" s="2"/>
      <c r="B995" s="2"/>
      <c r="C995" s="2"/>
      <c r="D995" s="2"/>
      <c r="E995" s="2"/>
      <c r="F995" s="2"/>
      <c r="G995" s="2"/>
      <c r="H995" s="2"/>
      <c r="I995" s="2"/>
      <c r="J995" s="2"/>
      <c r="K995" s="2"/>
      <c r="L995" s="2"/>
      <c r="M995" s="2"/>
      <c r="N995" s="2"/>
      <c r="O995" s="2"/>
      <c r="P995" s="2"/>
      <c r="Q995" s="2"/>
      <c r="R995" s="2"/>
      <c r="S995" s="2"/>
      <c r="T995" s="2"/>
      <c r="U995" s="2"/>
      <c r="V995" s="2"/>
      <c r="W995" s="157"/>
      <c r="X995" s="157"/>
      <c r="Y995" s="157"/>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customHeight="1">
      <c r="A996" s="2"/>
      <c r="B996" s="2"/>
      <c r="C996" s="2"/>
      <c r="D996" s="2"/>
      <c r="E996" s="2"/>
      <c r="F996" s="2"/>
      <c r="G996" s="2"/>
      <c r="H996" s="2"/>
      <c r="I996" s="2"/>
      <c r="J996" s="2"/>
      <c r="K996" s="2"/>
      <c r="L996" s="2"/>
      <c r="M996" s="2"/>
      <c r="N996" s="2"/>
      <c r="O996" s="2"/>
      <c r="P996" s="2"/>
      <c r="Q996" s="2"/>
      <c r="R996" s="2"/>
      <c r="S996" s="2"/>
      <c r="T996" s="2"/>
      <c r="U996" s="2"/>
      <c r="V996" s="2"/>
      <c r="W996" s="157"/>
      <c r="X996" s="157"/>
      <c r="Y996" s="157"/>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customHeight="1">
      <c r="A997" s="2"/>
      <c r="B997" s="2"/>
      <c r="C997" s="2"/>
      <c r="D997" s="2"/>
      <c r="E997" s="2"/>
      <c r="F997" s="2"/>
      <c r="G997" s="2"/>
      <c r="H997" s="2"/>
      <c r="I997" s="2"/>
      <c r="J997" s="2"/>
      <c r="K997" s="2"/>
      <c r="L997" s="2"/>
      <c r="M997" s="2"/>
      <c r="N997" s="2"/>
      <c r="O997" s="2"/>
      <c r="P997" s="2"/>
      <c r="Q997" s="2"/>
      <c r="R997" s="2"/>
      <c r="S997" s="2"/>
      <c r="T997" s="2"/>
      <c r="U997" s="2"/>
      <c r="V997" s="2"/>
      <c r="W997" s="157"/>
      <c r="X997" s="157"/>
      <c r="Y997" s="157"/>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customHeight="1">
      <c r="A998" s="2"/>
      <c r="B998" s="2"/>
      <c r="C998" s="2"/>
      <c r="D998" s="2"/>
      <c r="E998" s="2"/>
      <c r="F998" s="2"/>
      <c r="G998" s="2"/>
      <c r="H998" s="2"/>
      <c r="I998" s="2"/>
      <c r="J998" s="2"/>
      <c r="K998" s="2"/>
      <c r="L998" s="2"/>
      <c r="M998" s="2"/>
      <c r="N998" s="2"/>
      <c r="O998" s="2"/>
      <c r="P998" s="2"/>
      <c r="Q998" s="2"/>
      <c r="R998" s="2"/>
      <c r="S998" s="2"/>
      <c r="T998" s="2"/>
      <c r="U998" s="2"/>
      <c r="V998" s="2"/>
      <c r="W998" s="157"/>
      <c r="X998" s="157"/>
      <c r="Y998" s="157"/>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customHeight="1">
      <c r="A999" s="2"/>
      <c r="B999" s="2"/>
      <c r="C999" s="2"/>
      <c r="D999" s="2"/>
      <c r="E999" s="2"/>
      <c r="F999" s="2"/>
      <c r="G999" s="2"/>
      <c r="H999" s="2"/>
      <c r="I999" s="2"/>
      <c r="J999" s="2"/>
      <c r="K999" s="2"/>
      <c r="L999" s="2"/>
      <c r="M999" s="2"/>
      <c r="N999" s="2"/>
      <c r="O999" s="2"/>
      <c r="P999" s="2"/>
      <c r="Q999" s="2"/>
      <c r="R999" s="2"/>
      <c r="S999" s="2"/>
      <c r="T999" s="2"/>
      <c r="U999" s="2"/>
      <c r="V999" s="2"/>
      <c r="W999" s="157"/>
      <c r="X999" s="157"/>
      <c r="Y999" s="157"/>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57"/>
      <c r="X1000" s="157"/>
      <c r="Y1000" s="157"/>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A5:H5"/>
    <mergeCell ref="A6:H6"/>
    <mergeCell ref="D7:E7"/>
    <mergeCell ref="G7:H7"/>
    <mergeCell ref="J7:K7"/>
    <mergeCell ref="M7:N7"/>
    <mergeCell ref="P7:Q7"/>
    <mergeCell ref="D8:E8"/>
    <mergeCell ref="G8:H8"/>
    <mergeCell ref="J8:K8"/>
    <mergeCell ref="M8:N8"/>
    <mergeCell ref="P8:Q8"/>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D12:E12"/>
    <mergeCell ref="G12:H12"/>
    <mergeCell ref="J12:K12"/>
    <mergeCell ref="M12:N12"/>
    <mergeCell ref="P12:Q12"/>
    <mergeCell ref="A14:S14"/>
    <mergeCell ref="H15:R15"/>
    <mergeCell ref="AK15:AO15"/>
    <mergeCell ref="AP15:AT15"/>
    <mergeCell ref="A18:H18"/>
    <mergeCell ref="A19:H19"/>
    <mergeCell ref="D20:E20"/>
    <mergeCell ref="G20:H20"/>
    <mergeCell ref="J20:K20"/>
    <mergeCell ref="M20:N20"/>
    <mergeCell ref="P20:Q20"/>
    <mergeCell ref="D21:E21"/>
    <mergeCell ref="G21:H21"/>
    <mergeCell ref="J21:K21"/>
    <mergeCell ref="M21:N21"/>
    <mergeCell ref="P21:Q21"/>
    <mergeCell ref="P25:Q25"/>
    <mergeCell ref="D22:E22"/>
    <mergeCell ref="G22:H22"/>
    <mergeCell ref="J22:K22"/>
    <mergeCell ref="M22:N22"/>
    <mergeCell ref="P22:Q22"/>
    <mergeCell ref="D23:E23"/>
    <mergeCell ref="G23:H23"/>
    <mergeCell ref="J23:K23"/>
    <mergeCell ref="M23:N23"/>
    <mergeCell ref="P23:Q23"/>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s>
  <dataValidations count="15">
    <dataValidation type="list" allowBlank="1" showErrorMessage="1" sqref="G8 J8 M8 P8 B21 D21 G21 J21 M21 P21 B34 D34 G34 J34 M34 P34">
      <formula1>$C$50:$C$62</formula1>
    </dataValidation>
    <dataValidation type="list" allowBlank="1" showErrorMessage="1" sqref="B11 D11 G11 J11 M11 P11 B24 D24 G24 J24 M24 P24 B37 D37 G37 J37 M37 P37">
      <formula1>$G$50:$G$62</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2:B13 D12:D13 G12:G13 J12:J13 M12:M13 P12:P13 B25:B26 D25:D26 G25:G26 J25:J26 M25:M26 P25:P26 B38 D38 G38 J38 M38 P38">
      <formula1>$K$50:$K$62</formula1>
    </dataValidation>
    <dataValidation type="list" allowBlank="1" showErrorMessage="1" sqref="A6">
      <formula1>$V$3:$V$10</formula1>
    </dataValidation>
    <dataValidation type="list" allowBlank="1" showErrorMessage="1" sqref="B10 D10 G10 J10 M10 P10 B23 D23 G23 J23 M23 P23 B36 D36 G36 J36 M36 P36">
      <formula1>$E$50:$E$62</formula1>
    </dataValidation>
    <dataValidation type="list" allowBlank="1" showErrorMessage="1" sqref="B9 D9 G9 J9 M9 P9 B22 D22 G22 J22 M22 P22 B35 D35 G35 J35 M35 P35">
      <formula1>$I$50:$I$62</formula1>
    </dataValidation>
    <dataValidation type="list" allowBlank="1" showErrorMessage="1" sqref="N6 N19 N32">
      <formula1>$AM$3:$AM$7</formula1>
    </dataValidation>
    <dataValidation type="list" allowBlank="1" showErrorMessage="1" sqref="B8 D8">
      <formula1>$AV$1:$AV$13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76"/>
      <c r="C2" s="183"/>
      <c r="D2" s="183"/>
      <c r="E2" s="183"/>
      <c r="F2" s="183"/>
      <c r="G2" s="183"/>
      <c r="H2" s="183"/>
      <c r="I2" s="183"/>
      <c r="J2" s="183"/>
      <c r="K2" s="183"/>
      <c r="L2" s="183"/>
      <c r="M2" s="183"/>
      <c r="N2" s="183"/>
      <c r="O2" s="183"/>
      <c r="P2" s="2"/>
      <c r="Q2" s="369" t="str">
        <f>IF(Roster!$A$2=0,"","#"&amp;Roster!$A$2)</f>
        <v>#1</v>
      </c>
      <c r="R2" s="183"/>
      <c r="S2" s="183"/>
      <c r="T2" s="183"/>
      <c r="U2" s="183"/>
      <c r="V2" s="183"/>
      <c r="W2" s="183"/>
      <c r="X2" s="183"/>
      <c r="Y2" s="183"/>
      <c r="Z2" s="183"/>
      <c r="AA2" s="183"/>
      <c r="AB2" s="183"/>
      <c r="AC2" s="183"/>
      <c r="AD2" s="183"/>
      <c r="AE2" s="2"/>
      <c r="AF2" s="369" t="str">
        <f>IF(Roster!$A$3=0,"","#"&amp;Roster!$A$3)</f>
        <v>#2</v>
      </c>
      <c r="AG2" s="183"/>
      <c r="AH2" s="183"/>
      <c r="AI2" s="183"/>
      <c r="AJ2" s="183"/>
      <c r="AK2" s="183"/>
      <c r="AL2" s="183"/>
      <c r="AM2" s="183"/>
      <c r="AN2" s="183"/>
      <c r="AO2" s="183"/>
      <c r="AP2" s="183"/>
      <c r="AQ2" s="183"/>
      <c r="AR2" s="183"/>
      <c r="AS2" s="183"/>
      <c r="AT2" s="2"/>
      <c r="AU2" s="369" t="str">
        <f>IF(Roster!$A$4=0,"","#"&amp;Roster!$A$4)</f>
        <v>#3</v>
      </c>
      <c r="AV2" s="183"/>
      <c r="AW2" s="183"/>
      <c r="AX2" s="183"/>
      <c r="AY2" s="183"/>
      <c r="AZ2" s="183"/>
      <c r="BA2" s="183"/>
      <c r="BB2" s="183"/>
      <c r="BC2" s="183"/>
      <c r="BD2" s="183"/>
      <c r="BE2" s="183"/>
      <c r="BF2" s="183"/>
      <c r="BG2" s="183"/>
      <c r="BH2" s="183"/>
    </row>
    <row r="3" spans="1:60" ht="15" customHeight="1">
      <c r="A3" s="2"/>
      <c r="B3" s="240"/>
      <c r="C3" s="354" t="str">
        <f>IF(Roster!$J$24=0,Roster!$C$24,Roster!$J$24)</f>
        <v>Kakkole armate</v>
      </c>
      <c r="D3" s="243"/>
      <c r="E3" s="243"/>
      <c r="F3" s="243"/>
      <c r="G3" s="243"/>
      <c r="H3" s="243"/>
      <c r="I3" s="243"/>
      <c r="J3" s="243"/>
      <c r="K3" s="243"/>
      <c r="L3" s="243"/>
      <c r="M3" s="243"/>
      <c r="N3" s="244"/>
      <c r="O3" s="183"/>
      <c r="P3" s="2"/>
      <c r="Q3" s="240"/>
      <c r="R3" s="354" t="str">
        <f>IF(Roster!$B$2=0,"",Roster!$B$2)</f>
        <v>Plof</v>
      </c>
      <c r="S3" s="243"/>
      <c r="T3" s="243"/>
      <c r="U3" s="243"/>
      <c r="V3" s="243"/>
      <c r="W3" s="243"/>
      <c r="X3" s="243"/>
      <c r="Y3" s="243"/>
      <c r="Z3" s="243"/>
      <c r="AA3" s="243"/>
      <c r="AB3" s="243"/>
      <c r="AC3" s="244"/>
      <c r="AD3" s="183"/>
      <c r="AE3" s="2"/>
      <c r="AF3" s="240"/>
      <c r="AG3" s="354" t="str">
        <f>IF(Roster!$B$3=0,"",Roster!$B$3)</f>
        <v>Bum</v>
      </c>
      <c r="AH3" s="243"/>
      <c r="AI3" s="243"/>
      <c r="AJ3" s="243"/>
      <c r="AK3" s="243"/>
      <c r="AL3" s="243"/>
      <c r="AM3" s="243"/>
      <c r="AN3" s="243"/>
      <c r="AO3" s="243"/>
      <c r="AP3" s="243"/>
      <c r="AQ3" s="243"/>
      <c r="AR3" s="244"/>
      <c r="AS3" s="183"/>
      <c r="AT3" s="2"/>
      <c r="AU3" s="240"/>
      <c r="AV3" s="354" t="str">
        <f>IF(Roster!$B$4=0,"",Roster!$B$4)</f>
        <v>Op</v>
      </c>
      <c r="AW3" s="243"/>
      <c r="AX3" s="243"/>
      <c r="AY3" s="243"/>
      <c r="AZ3" s="243"/>
      <c r="BA3" s="243"/>
      <c r="BB3" s="243"/>
      <c r="BC3" s="243"/>
      <c r="BD3" s="243"/>
      <c r="BE3" s="243"/>
      <c r="BF3" s="243"/>
      <c r="BG3" s="244"/>
      <c r="BH3" s="183"/>
    </row>
    <row r="4" spans="1:60" ht="11.25" customHeight="1">
      <c r="A4" s="2"/>
      <c r="B4" s="240"/>
      <c r="C4" s="370" t="str">
        <f>IF(Roster!$J$21="SPONSORS",Roster!$J$23,Roster!$J$23&amp;"; Sponsor: "&amp;Roster!$J$21)</f>
        <v>Snotling</v>
      </c>
      <c r="D4" s="243"/>
      <c r="E4" s="243"/>
      <c r="F4" s="243"/>
      <c r="G4" s="243"/>
      <c r="H4" s="243"/>
      <c r="I4" s="243"/>
      <c r="J4" s="243"/>
      <c r="K4" s="243"/>
      <c r="L4" s="243"/>
      <c r="M4" s="243"/>
      <c r="N4" s="244"/>
      <c r="O4" s="184"/>
      <c r="P4" s="2"/>
      <c r="Q4" s="241"/>
      <c r="R4" s="370" t="str">
        <f>IF(Roster!$C$2=0,"",Roster!$C$2)</f>
        <v>Fungus Flinga</v>
      </c>
      <c r="S4" s="243"/>
      <c r="T4" s="243"/>
      <c r="U4" s="243"/>
      <c r="V4" s="243"/>
      <c r="W4" s="243"/>
      <c r="X4" s="243"/>
      <c r="Y4" s="243"/>
      <c r="Z4" s="243"/>
      <c r="AA4" s="243"/>
      <c r="AB4" s="243"/>
      <c r="AC4" s="244"/>
      <c r="AD4" s="184"/>
      <c r="AE4" s="2"/>
      <c r="AF4" s="241"/>
      <c r="AG4" s="370" t="str">
        <f>IF(Roster!$C$3=0,"",Roster!$C$3)</f>
        <v>Fungus Flinga</v>
      </c>
      <c r="AH4" s="243"/>
      <c r="AI4" s="243"/>
      <c r="AJ4" s="243"/>
      <c r="AK4" s="243"/>
      <c r="AL4" s="243"/>
      <c r="AM4" s="243"/>
      <c r="AN4" s="243"/>
      <c r="AO4" s="243"/>
      <c r="AP4" s="243"/>
      <c r="AQ4" s="243"/>
      <c r="AR4" s="244"/>
      <c r="AS4" s="184"/>
      <c r="AT4" s="2"/>
      <c r="AU4" s="241"/>
      <c r="AV4" s="370" t="str">
        <f>IF(Roster!$C$4=0,"",Roster!$C$4)</f>
        <v>Fun-hoppa</v>
      </c>
      <c r="AW4" s="243"/>
      <c r="AX4" s="243"/>
      <c r="AY4" s="243"/>
      <c r="AZ4" s="243"/>
      <c r="BA4" s="243"/>
      <c r="BB4" s="243"/>
      <c r="BC4" s="243"/>
      <c r="BD4" s="243"/>
      <c r="BE4" s="243"/>
      <c r="BF4" s="243"/>
      <c r="BG4" s="244"/>
      <c r="BH4" s="184"/>
    </row>
    <row r="5" spans="1:60" ht="11.25" customHeight="1">
      <c r="A5" s="2"/>
      <c r="B5" s="241"/>
      <c r="C5" s="185"/>
      <c r="D5" s="370" t="str">
        <f>IF(Roster!$C$32=0,"",Roster!$C$32)</f>
        <v>VALORE SQUADRA</v>
      </c>
      <c r="E5" s="243"/>
      <c r="F5" s="244"/>
      <c r="G5" s="186"/>
      <c r="H5" s="370" t="str">
        <f>IF(Roster!$C$26=0,"",Roster!$C$26)</f>
        <v>TIFOSI SFEGATATI</v>
      </c>
      <c r="I5" s="243"/>
      <c r="J5" s="244"/>
      <c r="K5" s="186"/>
      <c r="L5" s="370" t="str">
        <f>IF(Roster!$AD$21=0,"",Roster!$AD$21)</f>
        <v>REROLLS TOTALI</v>
      </c>
      <c r="M5" s="243"/>
      <c r="N5" s="244"/>
      <c r="O5" s="183"/>
      <c r="P5" s="2"/>
      <c r="Q5" s="187" t="str">
        <f>IF(Roster!$J$1=0,"",Roster!$J$1)</f>
        <v>MA</v>
      </c>
      <c r="R5" s="186"/>
      <c r="S5" s="368"/>
      <c r="T5" s="277"/>
      <c r="U5" s="277"/>
      <c r="V5" s="277"/>
      <c r="W5" s="277"/>
      <c r="X5" s="277"/>
      <c r="Y5" s="277"/>
      <c r="Z5" s="277"/>
      <c r="AA5" s="277"/>
      <c r="AB5" s="277"/>
      <c r="AC5" s="277"/>
      <c r="AD5" s="183"/>
      <c r="AE5" s="2"/>
      <c r="AF5" s="187" t="str">
        <f>IF(Roster!$J$1=0,"",Roster!$J$1)</f>
        <v>MA</v>
      </c>
      <c r="AG5" s="186"/>
      <c r="AH5" s="368"/>
      <c r="AI5" s="277"/>
      <c r="AJ5" s="277"/>
      <c r="AK5" s="277"/>
      <c r="AL5" s="277"/>
      <c r="AM5" s="277"/>
      <c r="AN5" s="277"/>
      <c r="AO5" s="277"/>
      <c r="AP5" s="277"/>
      <c r="AQ5" s="277"/>
      <c r="AR5" s="277"/>
      <c r="AS5" s="183"/>
      <c r="AT5" s="2"/>
      <c r="AU5" s="187" t="str">
        <f>IF(Roster!$J$1=0,"",Roster!$J$1)</f>
        <v>MA</v>
      </c>
      <c r="AV5" s="186"/>
      <c r="AW5" s="368"/>
      <c r="AX5" s="277"/>
      <c r="AY5" s="277"/>
      <c r="AZ5" s="277"/>
      <c r="BA5" s="277"/>
      <c r="BB5" s="277"/>
      <c r="BC5" s="277"/>
      <c r="BD5" s="277"/>
      <c r="BE5" s="277"/>
      <c r="BF5" s="277"/>
      <c r="BG5" s="277"/>
      <c r="BH5" s="183"/>
    </row>
    <row r="6" spans="1:60" ht="37.5" customHeight="1">
      <c r="A6" s="2"/>
      <c r="B6" s="377" t="str">
        <f>IF(Roster!$J$22=0,"",Roster!$J$22)</f>
        <v>Francesco Rizzi</v>
      </c>
      <c r="C6" s="188"/>
      <c r="D6" s="372">
        <f>Roster!$J$32</f>
        <v>960</v>
      </c>
      <c r="E6" s="243"/>
      <c r="F6" s="244"/>
      <c r="G6" s="186"/>
      <c r="H6" s="372">
        <f>IF(Roster!$J$26=0,"",Roster!$J$26)</f>
        <v>2</v>
      </c>
      <c r="I6" s="243"/>
      <c r="J6" s="244"/>
      <c r="K6" s="186"/>
      <c r="L6" s="372">
        <f>Roster!$AI$22</f>
        <v>3</v>
      </c>
      <c r="M6" s="243"/>
      <c r="N6" s="244"/>
      <c r="O6" s="183"/>
      <c r="P6" s="2"/>
      <c r="Q6" s="189">
        <f>IF(Roster!$J$2=0,"",Roster!$J$2)</f>
        <v>5</v>
      </c>
      <c r="R6" s="186"/>
      <c r="S6" s="277"/>
      <c r="T6" s="277"/>
      <c r="U6" s="277"/>
      <c r="V6" s="277"/>
      <c r="W6" s="277"/>
      <c r="X6" s="277"/>
      <c r="Y6" s="277"/>
      <c r="Z6" s="277"/>
      <c r="AA6" s="277"/>
      <c r="AB6" s="277"/>
      <c r="AC6" s="277"/>
      <c r="AD6" s="183"/>
      <c r="AE6" s="2"/>
      <c r="AF6" s="189">
        <f>IF(Roster!$J$3=0,"",Roster!$J$3)</f>
        <v>5</v>
      </c>
      <c r="AG6" s="186"/>
      <c r="AH6" s="277"/>
      <c r="AI6" s="277"/>
      <c r="AJ6" s="277"/>
      <c r="AK6" s="277"/>
      <c r="AL6" s="277"/>
      <c r="AM6" s="277"/>
      <c r="AN6" s="277"/>
      <c r="AO6" s="277"/>
      <c r="AP6" s="277"/>
      <c r="AQ6" s="277"/>
      <c r="AR6" s="277"/>
      <c r="AS6" s="183"/>
      <c r="AT6" s="2"/>
      <c r="AU6" s="189">
        <f>IF(Roster!$J$4=0,"",Roster!$J$4)</f>
        <v>6</v>
      </c>
      <c r="AV6" s="186"/>
      <c r="AW6" s="277"/>
      <c r="AX6" s="277"/>
      <c r="AY6" s="277"/>
      <c r="AZ6" s="277"/>
      <c r="BA6" s="277"/>
      <c r="BB6" s="277"/>
      <c r="BC6" s="277"/>
      <c r="BD6" s="277"/>
      <c r="BE6" s="277"/>
      <c r="BF6" s="277"/>
      <c r="BG6" s="277"/>
      <c r="BH6" s="183"/>
    </row>
    <row r="7" spans="1:60" ht="11.25" customHeight="1">
      <c r="A7" s="2"/>
      <c r="B7" s="240"/>
      <c r="C7" s="187"/>
      <c r="D7" s="370" t="str">
        <f>IF(Roster!$R$22=0,"",Roster!$R$22)</f>
        <v>MEDICO</v>
      </c>
      <c r="E7" s="243"/>
      <c r="F7" s="244"/>
      <c r="G7" s="186"/>
      <c r="H7" s="370" t="str">
        <f>IF(Roster!$R$23=0,"",Roster!$R$23)</f>
        <v>CHEERLEADERS</v>
      </c>
      <c r="I7" s="243"/>
      <c r="J7" s="244"/>
      <c r="K7" s="186"/>
      <c r="L7" s="370" t="str">
        <f>IF(Roster!$R$24=0,"",Roster!$R$24)</f>
        <v>ASSISTENTI ALLENATORI</v>
      </c>
      <c r="M7" s="243"/>
      <c r="N7" s="244"/>
      <c r="O7" s="183"/>
      <c r="P7" s="2"/>
      <c r="Q7" s="187" t="str">
        <f>IF(Roster!$K$1=0,"",Roster!$K$1)</f>
        <v>ST</v>
      </c>
      <c r="R7" s="186"/>
      <c r="S7" s="277"/>
      <c r="T7" s="277"/>
      <c r="U7" s="277"/>
      <c r="V7" s="277"/>
      <c r="W7" s="277"/>
      <c r="X7" s="277"/>
      <c r="Y7" s="277"/>
      <c r="Z7" s="277"/>
      <c r="AA7" s="277"/>
      <c r="AB7" s="277"/>
      <c r="AC7" s="277"/>
      <c r="AD7" s="183"/>
      <c r="AE7" s="2"/>
      <c r="AF7" s="187" t="str">
        <f>IF(Roster!$K$1=0,"",Roster!$K$1)</f>
        <v>ST</v>
      </c>
      <c r="AG7" s="186"/>
      <c r="AH7" s="277"/>
      <c r="AI7" s="277"/>
      <c r="AJ7" s="277"/>
      <c r="AK7" s="277"/>
      <c r="AL7" s="277"/>
      <c r="AM7" s="277"/>
      <c r="AN7" s="277"/>
      <c r="AO7" s="277"/>
      <c r="AP7" s="277"/>
      <c r="AQ7" s="277"/>
      <c r="AR7" s="277"/>
      <c r="AS7" s="183"/>
      <c r="AT7" s="2"/>
      <c r="AU7" s="187" t="str">
        <f>IF(Roster!$K$1=0,"",Roster!$K$1)</f>
        <v>ST</v>
      </c>
      <c r="AV7" s="186"/>
      <c r="AW7" s="277"/>
      <c r="AX7" s="277"/>
      <c r="AY7" s="277"/>
      <c r="AZ7" s="277"/>
      <c r="BA7" s="277"/>
      <c r="BB7" s="277"/>
      <c r="BC7" s="277"/>
      <c r="BD7" s="277"/>
      <c r="BE7" s="277"/>
      <c r="BF7" s="277"/>
      <c r="BG7" s="277"/>
      <c r="BH7" s="183"/>
    </row>
    <row r="8" spans="1:60" ht="37.5" customHeight="1">
      <c r="A8" s="2"/>
      <c r="B8" s="240"/>
      <c r="C8" s="190"/>
      <c r="D8" s="372">
        <f>Roster!$W$22</f>
        <v>1</v>
      </c>
      <c r="E8" s="243"/>
      <c r="F8" s="244"/>
      <c r="G8" s="186"/>
      <c r="H8" s="372">
        <f>Roster!$W$23</f>
        <v>0</v>
      </c>
      <c r="I8" s="243"/>
      <c r="J8" s="244"/>
      <c r="K8" s="186"/>
      <c r="L8" s="372">
        <f>Roster!$W$24</f>
        <v>0</v>
      </c>
      <c r="M8" s="243"/>
      <c r="N8" s="244"/>
      <c r="O8" s="183"/>
      <c r="P8" s="2"/>
      <c r="Q8" s="189">
        <f>IF(Roster!$K$2=0,"",Roster!$K$2)</f>
        <v>1</v>
      </c>
      <c r="R8" s="186"/>
      <c r="S8" s="277"/>
      <c r="T8" s="277"/>
      <c r="U8" s="277"/>
      <c r="V8" s="277"/>
      <c r="W8" s="277"/>
      <c r="X8" s="277"/>
      <c r="Y8" s="277"/>
      <c r="Z8" s="277"/>
      <c r="AA8" s="277"/>
      <c r="AB8" s="277"/>
      <c r="AC8" s="277"/>
      <c r="AD8" s="183"/>
      <c r="AE8" s="2"/>
      <c r="AF8" s="189">
        <f>IF(Roster!$K$3=0,"",Roster!$K$3)</f>
        <v>1</v>
      </c>
      <c r="AG8" s="186"/>
      <c r="AH8" s="277"/>
      <c r="AI8" s="277"/>
      <c r="AJ8" s="277"/>
      <c r="AK8" s="277"/>
      <c r="AL8" s="277"/>
      <c r="AM8" s="277"/>
      <c r="AN8" s="277"/>
      <c r="AO8" s="277"/>
      <c r="AP8" s="277"/>
      <c r="AQ8" s="277"/>
      <c r="AR8" s="277"/>
      <c r="AS8" s="183"/>
      <c r="AT8" s="2"/>
      <c r="AU8" s="189">
        <f>IF(Roster!$K$4=0,"",Roster!$K$4)</f>
        <v>1</v>
      </c>
      <c r="AV8" s="186"/>
      <c r="AW8" s="277"/>
      <c r="AX8" s="277"/>
      <c r="AY8" s="277"/>
      <c r="AZ8" s="277"/>
      <c r="BA8" s="277"/>
      <c r="BB8" s="277"/>
      <c r="BC8" s="277"/>
      <c r="BD8" s="277"/>
      <c r="BE8" s="277"/>
      <c r="BF8" s="277"/>
      <c r="BG8" s="277"/>
      <c r="BH8" s="183"/>
    </row>
    <row r="9" spans="1:60" ht="11.25" customHeight="1">
      <c r="A9" s="2"/>
      <c r="B9" s="240"/>
      <c r="C9" s="185"/>
      <c r="D9" s="370" t="str">
        <f>IF(Roster!$R$25=0,"",Roster!$R$25)</f>
        <v>FUSTI DI BLOODWEISER</v>
      </c>
      <c r="E9" s="243"/>
      <c r="F9" s="244"/>
      <c r="G9" s="186"/>
      <c r="H9" s="370" t="str">
        <f>IF(Roster!$R$29=0,"",Roster!$R$29)</f>
        <v>MAZZETTE</v>
      </c>
      <c r="I9" s="243"/>
      <c r="J9" s="244"/>
      <c r="K9" s="186"/>
      <c r="L9" s="370" t="str">
        <f>IF(Roster!$R$30=0,"",Roster!$R$30)</f>
        <v>CAPOCUOCO</v>
      </c>
      <c r="M9" s="243"/>
      <c r="N9" s="244"/>
      <c r="O9" s="183"/>
      <c r="P9" s="2"/>
      <c r="Q9" s="187" t="str">
        <f>IF(Roster!$L$1=0,"",Roster!$L$1)</f>
        <v>AG</v>
      </c>
      <c r="R9" s="186"/>
      <c r="S9" s="277"/>
      <c r="T9" s="277"/>
      <c r="U9" s="277"/>
      <c r="V9" s="277"/>
      <c r="W9" s="277"/>
      <c r="X9" s="277"/>
      <c r="Y9" s="277"/>
      <c r="Z9" s="277"/>
      <c r="AA9" s="277"/>
      <c r="AB9" s="277"/>
      <c r="AC9" s="277"/>
      <c r="AD9" s="183"/>
      <c r="AE9" s="2"/>
      <c r="AF9" s="187" t="str">
        <f>IF(Roster!$L$1=0,"",Roster!$L$1)</f>
        <v>AG</v>
      </c>
      <c r="AG9" s="186"/>
      <c r="AH9" s="277"/>
      <c r="AI9" s="277"/>
      <c r="AJ9" s="277"/>
      <c r="AK9" s="277"/>
      <c r="AL9" s="277"/>
      <c r="AM9" s="277"/>
      <c r="AN9" s="277"/>
      <c r="AO9" s="277"/>
      <c r="AP9" s="277"/>
      <c r="AQ9" s="277"/>
      <c r="AR9" s="277"/>
      <c r="AS9" s="183"/>
      <c r="AT9" s="2"/>
      <c r="AU9" s="187" t="str">
        <f>IF(Roster!$L$1=0,"",Roster!$L$1)</f>
        <v>AG</v>
      </c>
      <c r="AV9" s="186"/>
      <c r="AW9" s="277"/>
      <c r="AX9" s="277"/>
      <c r="AY9" s="277"/>
      <c r="AZ9" s="277"/>
      <c r="BA9" s="277"/>
      <c r="BB9" s="277"/>
      <c r="BC9" s="277"/>
      <c r="BD9" s="277"/>
      <c r="BE9" s="277"/>
      <c r="BF9" s="277"/>
      <c r="BG9" s="277"/>
      <c r="BH9" s="183"/>
    </row>
    <row r="10" spans="1:60" ht="37.5" customHeight="1">
      <c r="A10" s="2"/>
      <c r="B10" s="240"/>
      <c r="C10" s="190"/>
      <c r="D10" s="372">
        <f>Roster!$W$25</f>
        <v>0</v>
      </c>
      <c r="E10" s="243"/>
      <c r="F10" s="244"/>
      <c r="G10" s="186"/>
      <c r="H10" s="372">
        <f>Roster!$W$29</f>
        <v>0</v>
      </c>
      <c r="I10" s="243"/>
      <c r="J10" s="244"/>
      <c r="K10" s="186"/>
      <c r="L10" s="372">
        <f>Roster!$W$30</f>
        <v>0</v>
      </c>
      <c r="M10" s="243"/>
      <c r="N10" s="244"/>
      <c r="O10" s="183"/>
      <c r="P10" s="2"/>
      <c r="Q10" s="189" t="str">
        <f>IF(Roster!$L$2=0&amp;"+","",Roster!$L$2)</f>
        <v>3+</v>
      </c>
      <c r="R10" s="186"/>
      <c r="S10" s="277"/>
      <c r="T10" s="277"/>
      <c r="U10" s="277"/>
      <c r="V10" s="277"/>
      <c r="W10" s="277"/>
      <c r="X10" s="277"/>
      <c r="Y10" s="277"/>
      <c r="Z10" s="277"/>
      <c r="AA10" s="277"/>
      <c r="AB10" s="277"/>
      <c r="AC10" s="277"/>
      <c r="AD10" s="183"/>
      <c r="AE10" s="2"/>
      <c r="AF10" s="189" t="str">
        <f>IF(Roster!$L$3=0&amp;"+","",Roster!$L$3)</f>
        <v>3+</v>
      </c>
      <c r="AG10" s="186"/>
      <c r="AH10" s="277"/>
      <c r="AI10" s="277"/>
      <c r="AJ10" s="277"/>
      <c r="AK10" s="277"/>
      <c r="AL10" s="277"/>
      <c r="AM10" s="277"/>
      <c r="AN10" s="277"/>
      <c r="AO10" s="277"/>
      <c r="AP10" s="277"/>
      <c r="AQ10" s="277"/>
      <c r="AR10" s="277"/>
      <c r="AS10" s="183"/>
      <c r="AT10" s="2"/>
      <c r="AU10" s="189" t="str">
        <f>IF(Roster!$L$4=0&amp;"+","",Roster!$L$4)</f>
        <v>3+</v>
      </c>
      <c r="AV10" s="186"/>
      <c r="AW10" s="277"/>
      <c r="AX10" s="277"/>
      <c r="AY10" s="277"/>
      <c r="AZ10" s="277"/>
      <c r="BA10" s="277"/>
      <c r="BB10" s="277"/>
      <c r="BC10" s="277"/>
      <c r="BD10" s="277"/>
      <c r="BE10" s="277"/>
      <c r="BF10" s="277"/>
      <c r="BG10" s="277"/>
      <c r="BH10" s="183"/>
    </row>
    <row r="11" spans="1:60" ht="11.25" customHeight="1">
      <c r="A11" s="2"/>
      <c r="B11" s="240"/>
      <c r="C11" s="187"/>
      <c r="D11" s="373" t="str">
        <f>IF(Roster!$R$31=0,"",Roster!$R$31)</f>
        <v>ESORDIENTI RIBELLI</v>
      </c>
      <c r="E11" s="243"/>
      <c r="F11" s="244"/>
      <c r="G11" s="191"/>
      <c r="H11" s="373" t="str">
        <f>IF(Roster!$AD$25=0,"",Roster!$AD$25)</f>
        <v>WIZARDS</v>
      </c>
      <c r="I11" s="243"/>
      <c r="J11" s="244"/>
      <c r="K11" s="191"/>
      <c r="L11" s="370" t="str">
        <f>IF(Roster!$AD$24=0,"",Roster!$AD$24)</f>
        <v>MAGO DEL CLIMA</v>
      </c>
      <c r="M11" s="243"/>
      <c r="N11" s="244"/>
      <c r="O11" s="192"/>
      <c r="P11" s="2"/>
      <c r="Q11" s="187" t="str">
        <f>IF(Roster!$M$1=0,"",Roster!$M$1)</f>
        <v>PA</v>
      </c>
      <c r="R11" s="186"/>
      <c r="S11" s="277"/>
      <c r="T11" s="277"/>
      <c r="U11" s="277"/>
      <c r="V11" s="277"/>
      <c r="W11" s="277"/>
      <c r="X11" s="277"/>
      <c r="Y11" s="277"/>
      <c r="Z11" s="277"/>
      <c r="AA11" s="277"/>
      <c r="AB11" s="277"/>
      <c r="AC11" s="277"/>
      <c r="AD11" s="192"/>
      <c r="AE11" s="2"/>
      <c r="AF11" s="187" t="str">
        <f>IF(Roster!$M$1=0,"",Roster!$M$1)</f>
        <v>PA</v>
      </c>
      <c r="AG11" s="186"/>
      <c r="AH11" s="277"/>
      <c r="AI11" s="277"/>
      <c r="AJ11" s="277"/>
      <c r="AK11" s="277"/>
      <c r="AL11" s="277"/>
      <c r="AM11" s="277"/>
      <c r="AN11" s="277"/>
      <c r="AO11" s="277"/>
      <c r="AP11" s="277"/>
      <c r="AQ11" s="277"/>
      <c r="AR11" s="277"/>
      <c r="AS11" s="192"/>
      <c r="AT11" s="2"/>
      <c r="AU11" s="187" t="str">
        <f>IF(Roster!$M$1=0,"",Roster!$M$1)</f>
        <v>PA</v>
      </c>
      <c r="AV11" s="186"/>
      <c r="AW11" s="277"/>
      <c r="AX11" s="277"/>
      <c r="AY11" s="277"/>
      <c r="AZ11" s="277"/>
      <c r="BA11" s="277"/>
      <c r="BB11" s="277"/>
      <c r="BC11" s="277"/>
      <c r="BD11" s="277"/>
      <c r="BE11" s="277"/>
      <c r="BF11" s="277"/>
      <c r="BG11" s="277"/>
      <c r="BH11" s="192"/>
    </row>
    <row r="12" spans="1:60" ht="6" customHeight="1">
      <c r="A12" s="2"/>
      <c r="B12" s="240"/>
      <c r="C12" s="188"/>
      <c r="D12" s="374">
        <f>Roster!$W$31</f>
        <v>0</v>
      </c>
      <c r="E12" s="356"/>
      <c r="F12" s="357"/>
      <c r="G12" s="193"/>
      <c r="H12" s="374">
        <f>Roster!$AI$25</f>
        <v>0</v>
      </c>
      <c r="I12" s="356"/>
      <c r="J12" s="357"/>
      <c r="K12" s="193"/>
      <c r="L12" s="374">
        <f>Roster!$AI$24</f>
        <v>0</v>
      </c>
      <c r="M12" s="356"/>
      <c r="N12" s="357"/>
      <c r="O12" s="194"/>
      <c r="P12" s="2"/>
      <c r="Q12" s="367" t="str">
        <f>IF(Roster!$M$2=0&amp;"+","",Roster!$M$2)</f>
        <v>4+</v>
      </c>
      <c r="R12" s="186"/>
      <c r="S12" s="277"/>
      <c r="T12" s="277"/>
      <c r="U12" s="277"/>
      <c r="V12" s="277"/>
      <c r="W12" s="277"/>
      <c r="X12" s="277"/>
      <c r="Y12" s="277"/>
      <c r="Z12" s="277"/>
      <c r="AA12" s="277"/>
      <c r="AB12" s="277"/>
      <c r="AC12" s="277"/>
      <c r="AD12" s="194"/>
      <c r="AE12" s="2"/>
      <c r="AF12" s="367" t="str">
        <f>IF(Roster!$M$3=0&amp;"+","",Roster!$M$3)</f>
        <v>4+</v>
      </c>
      <c r="AG12" s="186"/>
      <c r="AH12" s="277"/>
      <c r="AI12" s="277"/>
      <c r="AJ12" s="277"/>
      <c r="AK12" s="277"/>
      <c r="AL12" s="277"/>
      <c r="AM12" s="277"/>
      <c r="AN12" s="277"/>
      <c r="AO12" s="277"/>
      <c r="AP12" s="277"/>
      <c r="AQ12" s="277"/>
      <c r="AR12" s="277"/>
      <c r="AS12" s="194"/>
      <c r="AT12" s="2"/>
      <c r="AU12" s="367" t="str">
        <f>IF(Roster!$M$4=0&amp;"+","",Roster!$M$4)</f>
        <v>5+</v>
      </c>
      <c r="AV12" s="186"/>
      <c r="AW12" s="277"/>
      <c r="AX12" s="277"/>
      <c r="AY12" s="277"/>
      <c r="AZ12" s="277"/>
      <c r="BA12" s="277"/>
      <c r="BB12" s="277"/>
      <c r="BC12" s="277"/>
      <c r="BD12" s="277"/>
      <c r="BE12" s="277"/>
      <c r="BF12" s="277"/>
      <c r="BG12" s="277"/>
      <c r="BH12" s="194"/>
    </row>
    <row r="13" spans="1:60" ht="4.5" customHeight="1">
      <c r="A13" s="2"/>
      <c r="B13" s="240"/>
      <c r="C13" s="188"/>
      <c r="D13" s="358"/>
      <c r="E13" s="277"/>
      <c r="F13" s="336"/>
      <c r="G13" s="193"/>
      <c r="H13" s="358"/>
      <c r="I13" s="277"/>
      <c r="J13" s="336"/>
      <c r="K13" s="193"/>
      <c r="L13" s="358"/>
      <c r="M13" s="277"/>
      <c r="N13" s="336"/>
      <c r="O13" s="194"/>
      <c r="P13" s="2"/>
      <c r="Q13" s="240"/>
      <c r="R13" s="186"/>
      <c r="S13" s="183"/>
      <c r="T13" s="193"/>
      <c r="U13" s="183"/>
      <c r="V13" s="193"/>
      <c r="W13" s="183"/>
      <c r="X13" s="193"/>
      <c r="Y13" s="183"/>
      <c r="Z13" s="193"/>
      <c r="AA13" s="183"/>
      <c r="AB13" s="193"/>
      <c r="AC13" s="183"/>
      <c r="AD13" s="194"/>
      <c r="AE13" s="2"/>
      <c r="AF13" s="240"/>
      <c r="AG13" s="186"/>
      <c r="AH13" s="183"/>
      <c r="AI13" s="193"/>
      <c r="AJ13" s="183"/>
      <c r="AK13" s="193"/>
      <c r="AL13" s="183"/>
      <c r="AM13" s="193"/>
      <c r="AN13" s="183"/>
      <c r="AO13" s="193"/>
      <c r="AP13" s="183"/>
      <c r="AQ13" s="193"/>
      <c r="AR13" s="183"/>
      <c r="AS13" s="194"/>
      <c r="AT13" s="2"/>
      <c r="AU13" s="240"/>
      <c r="AV13" s="186"/>
      <c r="AW13" s="183"/>
      <c r="AX13" s="193"/>
      <c r="AY13" s="183"/>
      <c r="AZ13" s="193"/>
      <c r="BA13" s="183"/>
      <c r="BB13" s="193"/>
      <c r="BC13" s="183"/>
      <c r="BD13" s="193"/>
      <c r="BE13" s="183"/>
      <c r="BF13" s="193"/>
      <c r="BG13" s="183"/>
      <c r="BH13" s="194"/>
    </row>
    <row r="14" spans="1:60" ht="11.25" customHeight="1">
      <c r="A14" s="2"/>
      <c r="B14" s="240"/>
      <c r="C14" s="188"/>
      <c r="D14" s="358"/>
      <c r="E14" s="277"/>
      <c r="F14" s="336"/>
      <c r="G14" s="193"/>
      <c r="H14" s="358"/>
      <c r="I14" s="277"/>
      <c r="J14" s="336"/>
      <c r="K14" s="193"/>
      <c r="L14" s="358"/>
      <c r="M14" s="277"/>
      <c r="N14" s="336"/>
      <c r="O14" s="194"/>
      <c r="P14" s="2"/>
      <c r="Q14" s="240"/>
      <c r="R14" s="186"/>
      <c r="S14" s="195" t="str">
        <f>IF(Roster!$AC$1=0,"",Roster!$AC$1)</f>
        <v>TD</v>
      </c>
      <c r="T14" s="193"/>
      <c r="U14" s="195" t="str">
        <f>IF(Roster!$J$25="Español","HER",(IF(Roster!$J$25="Deutsch","VER",(IF(Roster!$J$25="Français","BLES","CAS")))))</f>
        <v>CAS</v>
      </c>
      <c r="V14" s="193"/>
      <c r="W14" s="195" t="str">
        <f>IF(Roster!$AF$1=0,"",Roster!$AF$1)</f>
        <v>BH</v>
      </c>
      <c r="X14" s="193"/>
      <c r="Y14" s="195" t="str">
        <f>IF(Roster!$AG$1=0,"",Roster!$AG$1)</f>
        <v>SI</v>
      </c>
      <c r="Z14" s="193"/>
      <c r="AA14" s="195" t="str">
        <f>IF(Roster!$AH$1=0,"",Roster!$AH$1)</f>
        <v>KILL</v>
      </c>
      <c r="AB14" s="193"/>
      <c r="AC14" s="195" t="str">
        <f>IF(Roster!$AB$1=0,"",Roster!$AB$1)</f>
        <v>CP</v>
      </c>
      <c r="AD14" s="194"/>
      <c r="AE14" s="2"/>
      <c r="AF14" s="240"/>
      <c r="AG14" s="186"/>
      <c r="AH14" s="195" t="str">
        <f>IF(Roster!$AC$1=0,"",Roster!$AC$1)</f>
        <v>TD</v>
      </c>
      <c r="AI14" s="193"/>
      <c r="AJ14" s="195" t="str">
        <f>IF(Roster!$J$25="Español","HER",(IF(Roster!$J$25="Deutsch","VER",(IF(Roster!$J$25="Français","BLES","CAS")))))</f>
        <v>CAS</v>
      </c>
      <c r="AK14" s="193"/>
      <c r="AL14" s="195" t="str">
        <f>IF(Roster!$AF$1=0,"",Roster!$AF$1)</f>
        <v>BH</v>
      </c>
      <c r="AM14" s="193"/>
      <c r="AN14" s="195" t="str">
        <f>IF(Roster!$AG$1=0,"",Roster!$AG$1)</f>
        <v>SI</v>
      </c>
      <c r="AO14" s="193"/>
      <c r="AP14" s="195" t="str">
        <f>IF(Roster!$AH$1=0,"",Roster!$AH$1)</f>
        <v>KILL</v>
      </c>
      <c r="AQ14" s="193"/>
      <c r="AR14" s="195" t="str">
        <f>IF(Roster!$AB$1=0,"",Roster!$AB$1)</f>
        <v>CP</v>
      </c>
      <c r="AS14" s="194"/>
      <c r="AT14" s="2"/>
      <c r="AU14" s="240"/>
      <c r="AV14" s="186"/>
      <c r="AW14" s="195" t="str">
        <f>IF(Roster!$AC$1=0,"",Roster!$AC$1)</f>
        <v>TD</v>
      </c>
      <c r="AX14" s="193"/>
      <c r="AY14" s="195" t="str">
        <f>IF(Roster!$J$25="Español","HER",(IF(Roster!$J$25="Deutsch","VER",(IF(Roster!$J$25="Français","BLES","CAS")))))</f>
        <v>CAS</v>
      </c>
      <c r="AZ14" s="193"/>
      <c r="BA14" s="195" t="str">
        <f>IF(Roster!$AF$1=0,"",Roster!$AF$1)</f>
        <v>BH</v>
      </c>
      <c r="BB14" s="193"/>
      <c r="BC14" s="195" t="str">
        <f>IF(Roster!$AG$1=0,"",Roster!$AG$1)</f>
        <v>SI</v>
      </c>
      <c r="BD14" s="193"/>
      <c r="BE14" s="195" t="str">
        <f>IF(Roster!$AH$1=0,"",Roster!$AH$1)</f>
        <v>KILL</v>
      </c>
      <c r="BF14" s="193"/>
      <c r="BG14" s="195" t="str">
        <f>IF(Roster!$AB$1=0,"",Roster!$AB$1)</f>
        <v>CP</v>
      </c>
      <c r="BH14" s="194"/>
    </row>
    <row r="15" spans="1:60" ht="15" customHeight="1">
      <c r="A15" s="2"/>
      <c r="B15" s="240"/>
      <c r="C15" s="188"/>
      <c r="D15" s="358"/>
      <c r="E15" s="277"/>
      <c r="F15" s="336"/>
      <c r="G15" s="188"/>
      <c r="H15" s="358"/>
      <c r="I15" s="277"/>
      <c r="J15" s="336"/>
      <c r="K15" s="188"/>
      <c r="L15" s="358"/>
      <c r="M15" s="277"/>
      <c r="N15" s="336"/>
      <c r="O15" s="194"/>
      <c r="P15" s="2"/>
      <c r="Q15" s="240"/>
      <c r="R15" s="188"/>
      <c r="S15" s="196" t="str">
        <f>IF(Roster!$AC$2=0,"",Roster!$AC$2)</f>
        <v/>
      </c>
      <c r="T15" s="188"/>
      <c r="U15" s="196" t="str">
        <f>IF((SUM(W15,Y15,AA15))=0,"",(SUM(W15,Y15,AA15)))</f>
        <v/>
      </c>
      <c r="V15" s="188"/>
      <c r="W15" s="196" t="str">
        <f>IF(Roster!$AF$2=0,"",Roster!$AF$2)</f>
        <v/>
      </c>
      <c r="X15" s="188"/>
      <c r="Y15" s="196" t="str">
        <f>IF(Roster!$AG$2=0,"",Roster!$AG$2)</f>
        <v/>
      </c>
      <c r="Z15" s="188"/>
      <c r="AA15" s="196" t="str">
        <f>IF(Roster!$AH$2=0,"",Roster!$AH$2)</f>
        <v/>
      </c>
      <c r="AB15" s="188"/>
      <c r="AC15" s="196" t="str">
        <f>IF(Roster!$AB$2=0,"",Roster!$AB$2)</f>
        <v/>
      </c>
      <c r="AD15" s="194"/>
      <c r="AE15" s="2"/>
      <c r="AF15" s="240"/>
      <c r="AG15" s="188"/>
      <c r="AH15" s="196" t="str">
        <f>IF(Roster!$AC$3=0,"",Roster!$AC$3)</f>
        <v/>
      </c>
      <c r="AI15" s="188"/>
      <c r="AJ15" s="196" t="str">
        <f>IF((SUM(AL15,AN15,AP15))=0,"",(SUM(AL15,AN15,AP15)))</f>
        <v/>
      </c>
      <c r="AK15" s="188"/>
      <c r="AL15" s="196" t="str">
        <f>IF(Roster!$AF$3=0,"",Roster!$AF$3)</f>
        <v/>
      </c>
      <c r="AM15" s="188"/>
      <c r="AN15" s="196" t="str">
        <f>IF(Roster!$AG$3=0,"",Roster!$AG$3)</f>
        <v/>
      </c>
      <c r="AO15" s="188"/>
      <c r="AP15" s="196" t="str">
        <f>IF(Roster!$AH$3=0,"",Roster!$AH$3)</f>
        <v/>
      </c>
      <c r="AQ15" s="188"/>
      <c r="AR15" s="196" t="str">
        <f>IF(Roster!$AB$3=0,"",Roster!$AB$3)</f>
        <v/>
      </c>
      <c r="AS15" s="194"/>
      <c r="AT15" s="2"/>
      <c r="AU15" s="240"/>
      <c r="AV15" s="188"/>
      <c r="AW15" s="196">
        <f>IF(Roster!$AC$4=0,"",Roster!$AC$4)</f>
        <v>1</v>
      </c>
      <c r="AX15" s="188"/>
      <c r="AY15" s="196">
        <f>IF((SUM(BA15,BC15,BE15))=0,"",(SUM(BA15,BC15,BE15)))</f>
        <v>1</v>
      </c>
      <c r="AZ15" s="188"/>
      <c r="BA15" s="196">
        <f>IF(Roster!$AF$4=0,"",Roster!$AF$4)</f>
        <v>1</v>
      </c>
      <c r="BB15" s="188"/>
      <c r="BC15" s="196" t="str">
        <f>IF(Roster!$AG$4=0,"",Roster!$AG$4)</f>
        <v/>
      </c>
      <c r="BD15" s="188"/>
      <c r="BE15" s="196" t="str">
        <f>IF(Roster!$AH$4=0,"",Roster!$AH$4)</f>
        <v/>
      </c>
      <c r="BF15" s="188"/>
      <c r="BG15" s="196" t="str">
        <f>IF(Roster!$AB$4=0,"",Roster!$AB$4)</f>
        <v/>
      </c>
      <c r="BH15" s="194"/>
    </row>
    <row r="16" spans="1:60" ht="4.5" customHeight="1">
      <c r="A16" s="2"/>
      <c r="B16" s="240"/>
      <c r="C16" s="188"/>
      <c r="D16" s="359"/>
      <c r="E16" s="360"/>
      <c r="F16" s="361"/>
      <c r="G16" s="188"/>
      <c r="H16" s="359"/>
      <c r="I16" s="360"/>
      <c r="J16" s="361"/>
      <c r="K16" s="188"/>
      <c r="L16" s="359"/>
      <c r="M16" s="360"/>
      <c r="N16" s="361"/>
      <c r="O16" s="194"/>
      <c r="P16" s="2"/>
      <c r="Q16" s="241"/>
      <c r="R16" s="188"/>
      <c r="S16" s="197"/>
      <c r="T16" s="188"/>
      <c r="U16" s="197"/>
      <c r="V16" s="188"/>
      <c r="W16" s="197"/>
      <c r="X16" s="188"/>
      <c r="Y16" s="197"/>
      <c r="Z16" s="188"/>
      <c r="AA16" s="197"/>
      <c r="AB16" s="188"/>
      <c r="AC16" s="197"/>
      <c r="AD16" s="194"/>
      <c r="AE16" s="2"/>
      <c r="AF16" s="241"/>
      <c r="AG16" s="188"/>
      <c r="AH16" s="197"/>
      <c r="AI16" s="188"/>
      <c r="AJ16" s="197"/>
      <c r="AK16" s="188"/>
      <c r="AL16" s="197"/>
      <c r="AM16" s="188"/>
      <c r="AN16" s="197"/>
      <c r="AO16" s="188"/>
      <c r="AP16" s="197"/>
      <c r="AQ16" s="188"/>
      <c r="AR16" s="197"/>
      <c r="AS16" s="194"/>
      <c r="AT16" s="2"/>
      <c r="AU16" s="241"/>
      <c r="AV16" s="188"/>
      <c r="AW16" s="197"/>
      <c r="AX16" s="188"/>
      <c r="AY16" s="197"/>
      <c r="AZ16" s="188"/>
      <c r="BA16" s="197"/>
      <c r="BB16" s="188"/>
      <c r="BC16" s="197"/>
      <c r="BD16" s="188"/>
      <c r="BE16" s="197"/>
      <c r="BF16" s="188"/>
      <c r="BG16" s="197"/>
      <c r="BH16" s="194"/>
    </row>
    <row r="17" spans="1:60" ht="11.25" customHeight="1">
      <c r="A17" s="2"/>
      <c r="B17" s="240"/>
      <c r="C17" s="187"/>
      <c r="D17" s="370" t="str">
        <f>IF(Roster!$R$26=0,"",Roster!$R$26)</f>
        <v>CARTE SPECIALI</v>
      </c>
      <c r="E17" s="243"/>
      <c r="F17" s="244"/>
      <c r="G17" s="187"/>
      <c r="H17" s="373" t="str">
        <f>IF(Roster!$AD$26=0,"",Roster!$AD$26)</f>
        <v>(IN)FAMOUS COACHES</v>
      </c>
      <c r="I17" s="243"/>
      <c r="J17" s="244"/>
      <c r="K17" s="187"/>
      <c r="L17" s="373" t="str">
        <f>IF(Roster!$AD$27=0,"",Roster!$AD$27)</f>
        <v>(IN)FAMOUS COACHES</v>
      </c>
      <c r="M17" s="243"/>
      <c r="N17" s="244"/>
      <c r="O17" s="183"/>
      <c r="P17" s="2"/>
      <c r="Q17" s="187" t="str">
        <f>IF(Roster!$N$1=0,"",Roster!$N$1)</f>
        <v>AV</v>
      </c>
      <c r="R17" s="187"/>
      <c r="S17" s="195" t="str">
        <f>IF(Roster!$AD$1=0,"",Roster!$AD$1)</f>
        <v>DEF</v>
      </c>
      <c r="T17" s="187"/>
      <c r="U17" s="195" t="str">
        <f>IF(Roster!$AE$1=0,"",Roster!$AE$1)</f>
        <v>INT</v>
      </c>
      <c r="V17" s="187"/>
      <c r="W17" s="195" t="str">
        <f>IF(Roster!$AA$1=0,"",Roster!$AA$1)</f>
        <v>SPE</v>
      </c>
      <c r="X17" s="187"/>
      <c r="Y17" s="195" t="str">
        <f>IF(Roster!$AI$1=0,"",Roster!$AI$1)</f>
        <v>MVP</v>
      </c>
      <c r="Z17" s="187"/>
      <c r="AA17" s="195" t="s">
        <v>392</v>
      </c>
      <c r="AB17" s="187"/>
      <c r="AC17" s="198" t="str">
        <f>IF(Roster!$J$25="Español","LPP/RT",(IF(Roster!$J$25="Deutsch","VNS/AD",(IF(Roster!$J$25="Français","RPM/RT","MNG/TR")))))</f>
        <v>MNG/TR</v>
      </c>
      <c r="AD17" s="183"/>
      <c r="AE17" s="2"/>
      <c r="AF17" s="187" t="str">
        <f>IF(Roster!$N$1=0,"",Roster!$N$1)</f>
        <v>AV</v>
      </c>
      <c r="AG17" s="187"/>
      <c r="AH17" s="195" t="str">
        <f>IF(Roster!$AD$1=0,"",Roster!$AD$1)</f>
        <v>DEF</v>
      </c>
      <c r="AI17" s="187"/>
      <c r="AJ17" s="195" t="str">
        <f>IF(Roster!$AE$1=0,"",Roster!$AE$1)</f>
        <v>INT</v>
      </c>
      <c r="AK17" s="187"/>
      <c r="AL17" s="195" t="str">
        <f>IF(Roster!$AA$1=0,"",Roster!$AA$1)</f>
        <v>SPE</v>
      </c>
      <c r="AM17" s="187"/>
      <c r="AN17" s="195" t="str">
        <f>IF(Roster!$AI$1=0,"",Roster!$AI$1)</f>
        <v>MVP</v>
      </c>
      <c r="AO17" s="187"/>
      <c r="AP17" s="195" t="s">
        <v>392</v>
      </c>
      <c r="AQ17" s="187"/>
      <c r="AR17" s="198" t="str">
        <f>IF(Roster!$J$25="Español","LPP/RT",(IF(Roster!$J$25="Deutsch","VNS/AD",(IF(Roster!$J$25="Français","RPM/RT","MNG/TR")))))</f>
        <v>MNG/TR</v>
      </c>
      <c r="AS17" s="183"/>
      <c r="AT17" s="2"/>
      <c r="AU17" s="187" t="str">
        <f>IF(Roster!$N$1=0,"",Roster!$N$1)</f>
        <v>AV</v>
      </c>
      <c r="AV17" s="187"/>
      <c r="AW17" s="195" t="str">
        <f>IF(Roster!$AD$1=0,"",Roster!$AD$1)</f>
        <v>DEF</v>
      </c>
      <c r="AX17" s="187"/>
      <c r="AY17" s="195" t="str">
        <f>IF(Roster!$AE$1=0,"",Roster!$AE$1)</f>
        <v>INT</v>
      </c>
      <c r="AZ17" s="187"/>
      <c r="BA17" s="195" t="str">
        <f>IF(Roster!$AA$1=0,"",Roster!$AA$1)</f>
        <v>SPE</v>
      </c>
      <c r="BB17" s="187"/>
      <c r="BC17" s="195" t="str">
        <f>IF(Roster!$AI$1=0,"",Roster!$AI$1)</f>
        <v>MVP</v>
      </c>
      <c r="BD17" s="187"/>
      <c r="BE17" s="195" t="s">
        <v>392</v>
      </c>
      <c r="BF17" s="187"/>
      <c r="BG17" s="198" t="str">
        <f>IF(Roster!$J$25="Español","LPP/RT",(IF(Roster!$J$25="Deutsch","VNS/AD",(IF(Roster!$J$25="Français","RPM/RT","MNG/TR")))))</f>
        <v>MNG/TR</v>
      </c>
      <c r="BH17" s="183"/>
    </row>
    <row r="18" spans="1:60" ht="15" customHeight="1">
      <c r="A18" s="2"/>
      <c r="B18" s="240"/>
      <c r="C18" s="188"/>
      <c r="D18" s="374">
        <f>Roster!$W$26</f>
        <v>0</v>
      </c>
      <c r="E18" s="356"/>
      <c r="F18" s="357"/>
      <c r="G18" s="188"/>
      <c r="H18" s="374">
        <f>Roster!$AI$26</f>
        <v>0</v>
      </c>
      <c r="I18" s="356"/>
      <c r="J18" s="357"/>
      <c r="K18" s="188"/>
      <c r="L18" s="374">
        <f>Roster!$AI$27</f>
        <v>0</v>
      </c>
      <c r="M18" s="356"/>
      <c r="N18" s="357"/>
      <c r="O18" s="199"/>
      <c r="P18" s="2"/>
      <c r="Q18" s="367" t="str">
        <f>IF(Roster!$N$2=0&amp;"+","",Roster!$N$2)</f>
        <v>6+</v>
      </c>
      <c r="R18" s="188"/>
      <c r="S18" s="196" t="str">
        <f>IF(Roster!$AD$2=0,"",Roster!$AD$2)</f>
        <v/>
      </c>
      <c r="T18" s="188"/>
      <c r="U18" s="196" t="str">
        <f>IF(Roster!$AE$2=0,"",Roster!$AE$2)</f>
        <v/>
      </c>
      <c r="V18" s="188"/>
      <c r="W18" s="196" t="str">
        <f>IF(Roster!$AA$2=0,"",Roster!$AA$2)</f>
        <v/>
      </c>
      <c r="X18" s="188"/>
      <c r="Y18" s="196">
        <f>IF(Roster!$AI$2=0,"",Roster!$AI$2)</f>
        <v>1</v>
      </c>
      <c r="Z18" s="188"/>
      <c r="AA18" s="196">
        <f>IF(Roster!$AJ$2=0,"",Roster!$AJ$2)</f>
        <v>4</v>
      </c>
      <c r="AB18" s="188"/>
      <c r="AC18" s="196" t="str">
        <f>IF(Roster!$Z$2=0,"",Roster!$Z$2)</f>
        <v/>
      </c>
      <c r="AD18" s="199"/>
      <c r="AE18" s="2"/>
      <c r="AF18" s="367" t="str">
        <f>IF(Roster!$N$3=0&amp;"+","",Roster!$N$3)</f>
        <v>6+</v>
      </c>
      <c r="AG18" s="188"/>
      <c r="AH18" s="196" t="str">
        <f>IF(Roster!$AD$3=0,"",Roster!$AD$3)</f>
        <v/>
      </c>
      <c r="AI18" s="188"/>
      <c r="AJ18" s="196" t="str">
        <f>IF(Roster!$AE$3=0,"",Roster!$AE$3)</f>
        <v/>
      </c>
      <c r="AK18" s="188"/>
      <c r="AL18" s="196" t="str">
        <f>IF(Roster!$AA$3=0,"",Roster!$AA$3)</f>
        <v/>
      </c>
      <c r="AM18" s="188"/>
      <c r="AN18" s="196" t="str">
        <f>IF(Roster!$AI$3=0,"",Roster!$AI$3)</f>
        <v/>
      </c>
      <c r="AO18" s="188"/>
      <c r="AP18" s="196" t="str">
        <f>IF(Roster!$AJ$3=0,"",Roster!$AJ$3)</f>
        <v/>
      </c>
      <c r="AQ18" s="188"/>
      <c r="AR18" s="196" t="str">
        <f>IF(Roster!$Z$3=0,"",Roster!$Z$3)</f>
        <v/>
      </c>
      <c r="AS18" s="199"/>
      <c r="AT18" s="2"/>
      <c r="AU18" s="367" t="str">
        <f>IF(Roster!$N$4=0&amp;"+","",Roster!$N$4)</f>
        <v>6+</v>
      </c>
      <c r="AV18" s="188"/>
      <c r="AW18" s="196" t="str">
        <f>IF(Roster!$AD$4=0,"",Roster!$AD$4)</f>
        <v/>
      </c>
      <c r="AX18" s="188"/>
      <c r="AY18" s="196" t="str">
        <f>IF(Roster!$AE$4=0,"",Roster!$AE$4)</f>
        <v/>
      </c>
      <c r="AZ18" s="188"/>
      <c r="BA18" s="196" t="str">
        <f>IF(Roster!$AA$4=0,"",Roster!$AA$4)</f>
        <v/>
      </c>
      <c r="BB18" s="188"/>
      <c r="BC18" s="196" t="str">
        <f>IF(Roster!$AI$4=0,"",Roster!$AI$4)</f>
        <v/>
      </c>
      <c r="BD18" s="188"/>
      <c r="BE18" s="196">
        <f>IF(Roster!$AJ$4=0,"",Roster!$AJ$4)</f>
        <v>5</v>
      </c>
      <c r="BF18" s="188"/>
      <c r="BG18" s="196" t="str">
        <f>IF(Roster!$Z$4=0,"",Roster!$Z$4)</f>
        <v/>
      </c>
      <c r="BH18" s="199"/>
    </row>
    <row r="19" spans="1:60" ht="4.5" customHeight="1">
      <c r="A19" s="2"/>
      <c r="B19" s="240"/>
      <c r="C19" s="188"/>
      <c r="D19" s="358"/>
      <c r="E19" s="277"/>
      <c r="F19" s="336"/>
      <c r="G19" s="188"/>
      <c r="H19" s="358"/>
      <c r="I19" s="277"/>
      <c r="J19" s="336"/>
      <c r="K19" s="188"/>
      <c r="L19" s="358"/>
      <c r="M19" s="277"/>
      <c r="N19" s="336"/>
      <c r="O19" s="199"/>
      <c r="P19" s="2"/>
      <c r="Q19" s="240"/>
      <c r="R19" s="188"/>
      <c r="S19" s="188"/>
      <c r="T19" s="188"/>
      <c r="U19" s="188"/>
      <c r="V19" s="188"/>
      <c r="W19" s="188"/>
      <c r="X19" s="188"/>
      <c r="Y19" s="188"/>
      <c r="Z19" s="188"/>
      <c r="AA19" s="188"/>
      <c r="AB19" s="188"/>
      <c r="AC19" s="194"/>
      <c r="AD19" s="199"/>
      <c r="AE19" s="2"/>
      <c r="AF19" s="240"/>
      <c r="AG19" s="188"/>
      <c r="AH19" s="188"/>
      <c r="AI19" s="188"/>
      <c r="AJ19" s="188"/>
      <c r="AK19" s="188"/>
      <c r="AL19" s="188"/>
      <c r="AM19" s="188"/>
      <c r="AN19" s="188"/>
      <c r="AO19" s="188"/>
      <c r="AP19" s="188"/>
      <c r="AQ19" s="188"/>
      <c r="AR19" s="194"/>
      <c r="AS19" s="199"/>
      <c r="AT19" s="2"/>
      <c r="AU19" s="240"/>
      <c r="AV19" s="188"/>
      <c r="AW19" s="188"/>
      <c r="AX19" s="188"/>
      <c r="AY19" s="188"/>
      <c r="AZ19" s="188"/>
      <c r="BA19" s="188"/>
      <c r="BB19" s="188"/>
      <c r="BC19" s="188"/>
      <c r="BD19" s="188"/>
      <c r="BE19" s="188"/>
      <c r="BF19" s="188"/>
      <c r="BG19" s="194"/>
      <c r="BH19" s="199"/>
    </row>
    <row r="20" spans="1:60" ht="11.25" customHeight="1">
      <c r="A20" s="2"/>
      <c r="B20" s="240"/>
      <c r="C20" s="188"/>
      <c r="D20" s="358"/>
      <c r="E20" s="277"/>
      <c r="F20" s="336"/>
      <c r="G20" s="192"/>
      <c r="H20" s="358"/>
      <c r="I20" s="277"/>
      <c r="J20" s="336"/>
      <c r="K20" s="192"/>
      <c r="L20" s="358"/>
      <c r="M20" s="277"/>
      <c r="N20" s="336"/>
      <c r="O20" s="199"/>
      <c r="P20" s="2"/>
      <c r="Q20" s="240"/>
      <c r="R20" s="188"/>
      <c r="S20" s="353" t="str">
        <f>IF(Roster!$J$25="Italiano","ABILITÀ &amp; TRATTI",(IF(Roster!$J$25="Español","HABILIDADES Y RASGOS","SKILLS &amp; TRAITS")))</f>
        <v>ABILITÀ &amp; TRATTI</v>
      </c>
      <c r="T20" s="243"/>
      <c r="U20" s="243"/>
      <c r="V20" s="243"/>
      <c r="W20" s="243"/>
      <c r="X20" s="243"/>
      <c r="Y20" s="243"/>
      <c r="Z20" s="243"/>
      <c r="AA20" s="243"/>
      <c r="AB20" s="243"/>
      <c r="AC20" s="244"/>
      <c r="AD20" s="199"/>
      <c r="AE20" s="2"/>
      <c r="AF20" s="240"/>
      <c r="AG20" s="188"/>
      <c r="AH20" s="353" t="str">
        <f>IF(Roster!$J$25="Italiano","ABILITÀ &amp; TRATTI",(IF(Roster!$J$25="Español","HABILIDADES Y RASGOS","SKILLS &amp; TRAITS")))</f>
        <v>ABILITÀ &amp; TRATTI</v>
      </c>
      <c r="AI20" s="243"/>
      <c r="AJ20" s="243"/>
      <c r="AK20" s="243"/>
      <c r="AL20" s="243"/>
      <c r="AM20" s="243"/>
      <c r="AN20" s="243"/>
      <c r="AO20" s="243"/>
      <c r="AP20" s="243"/>
      <c r="AQ20" s="243"/>
      <c r="AR20" s="244"/>
      <c r="AS20" s="199"/>
      <c r="AT20" s="2"/>
      <c r="AU20" s="240"/>
      <c r="AV20" s="188"/>
      <c r="AW20" s="353" t="str">
        <f>IF(Roster!$J$25="Italiano","ABILITÀ &amp; TRATTI",(IF(Roster!$J$25="Español","HABILIDADES Y RASGOS","SKILLS &amp; TRAITS")))</f>
        <v>ABILITÀ &amp; TRATTI</v>
      </c>
      <c r="AX20" s="243"/>
      <c r="AY20" s="243"/>
      <c r="AZ20" s="243"/>
      <c r="BA20" s="243"/>
      <c r="BB20" s="243"/>
      <c r="BC20" s="243"/>
      <c r="BD20" s="243"/>
      <c r="BE20" s="243"/>
      <c r="BF20" s="243"/>
      <c r="BG20" s="244"/>
      <c r="BH20" s="199"/>
    </row>
    <row r="21" spans="1:60" ht="6.75" customHeight="1">
      <c r="A21" s="2"/>
      <c r="B21" s="240"/>
      <c r="C21" s="188"/>
      <c r="D21" s="359"/>
      <c r="E21" s="360"/>
      <c r="F21" s="361"/>
      <c r="G21" s="200"/>
      <c r="H21" s="359"/>
      <c r="I21" s="360"/>
      <c r="J21" s="361"/>
      <c r="K21" s="200"/>
      <c r="L21" s="359"/>
      <c r="M21" s="360"/>
      <c r="N21" s="361"/>
      <c r="O21" s="199"/>
      <c r="P21" s="2"/>
      <c r="Q21" s="241"/>
      <c r="R21" s="188"/>
      <c r="S21" s="363" t="str">
        <f>IF(Roster!$O$2=0&amp;BF2,"",Roster!$O$2)</f>
        <v>Bombardier, Dodge, Right Stuff, Secret Weapon, Side Step, Stunty</v>
      </c>
      <c r="T21" s="356"/>
      <c r="U21" s="356"/>
      <c r="V21" s="356"/>
      <c r="W21" s="356"/>
      <c r="X21" s="356"/>
      <c r="Y21" s="356"/>
      <c r="Z21" s="356"/>
      <c r="AA21" s="356"/>
      <c r="AB21" s="356"/>
      <c r="AC21" s="357"/>
      <c r="AD21" s="199"/>
      <c r="AE21" s="2"/>
      <c r="AF21" s="241"/>
      <c r="AG21" s="188"/>
      <c r="AH21" s="363" t="str">
        <f>IF(Roster!$O$3=0&amp;BF3,"",Roster!$O$3)</f>
        <v>Bombardier, Dodge, Right Stuff, Secret Weapon, Side Step, Stunty</v>
      </c>
      <c r="AI21" s="356"/>
      <c r="AJ21" s="356"/>
      <c r="AK21" s="356"/>
      <c r="AL21" s="356"/>
      <c r="AM21" s="356"/>
      <c r="AN21" s="356"/>
      <c r="AO21" s="356"/>
      <c r="AP21" s="356"/>
      <c r="AQ21" s="356"/>
      <c r="AR21" s="357"/>
      <c r="AS21" s="199"/>
      <c r="AT21" s="2"/>
      <c r="AU21" s="241"/>
      <c r="AV21" s="188"/>
      <c r="AW21" s="363" t="str">
        <f>IF(Roster!$O$4=0&amp;BF4,"",Roster!$O$4)</f>
        <v>Dodge, Pogo Stick, Right Stuff, Side Step, Stunty, Sure Feet</v>
      </c>
      <c r="AX21" s="356"/>
      <c r="AY21" s="356"/>
      <c r="AZ21" s="356"/>
      <c r="BA21" s="356"/>
      <c r="BB21" s="356"/>
      <c r="BC21" s="356"/>
      <c r="BD21" s="356"/>
      <c r="BE21" s="356"/>
      <c r="BF21" s="356"/>
      <c r="BG21" s="357"/>
      <c r="BH21" s="199"/>
    </row>
    <row r="22" spans="1:60" ht="11.25" customHeight="1">
      <c r="A22" s="2"/>
      <c r="B22" s="240"/>
      <c r="C22" s="185"/>
      <c r="D22" s="373" t="str">
        <f>IF(Roster!$AD$28=0,"",Roster!$AD$28)</f>
        <v>BIASED REFEREE</v>
      </c>
      <c r="E22" s="243"/>
      <c r="F22" s="244"/>
      <c r="G22" s="200"/>
      <c r="H22" s="373" t="str">
        <f>IF(Roster!$AD$29=0,"",Roster!$AD$29)</f>
        <v>OTHER INDUCEMENTS</v>
      </c>
      <c r="I22" s="243"/>
      <c r="J22" s="244"/>
      <c r="K22" s="200"/>
      <c r="L22" s="370" t="str">
        <f>IF(Roster!$AD$31=0,"",Roster!$AD$31)</f>
        <v>MEDICI VAGABONDI</v>
      </c>
      <c r="M22" s="243"/>
      <c r="N22" s="244"/>
      <c r="O22" s="200"/>
      <c r="P22" s="2"/>
      <c r="Q22" s="187" t="str">
        <f>IF(Roster!$AN$1=0,"",Roster!$AN$1)</f>
        <v>COSTO</v>
      </c>
      <c r="R22" s="187"/>
      <c r="S22" s="358"/>
      <c r="T22" s="277"/>
      <c r="U22" s="277"/>
      <c r="V22" s="277"/>
      <c r="W22" s="277"/>
      <c r="X22" s="277"/>
      <c r="Y22" s="277"/>
      <c r="Z22" s="277"/>
      <c r="AA22" s="277"/>
      <c r="AB22" s="277"/>
      <c r="AC22" s="336"/>
      <c r="AD22" s="200"/>
      <c r="AE22" s="2"/>
      <c r="AF22" s="187" t="str">
        <f>IF(Roster!$AN$1=0,"",Roster!$AN$1)</f>
        <v>COSTO</v>
      </c>
      <c r="AG22" s="187"/>
      <c r="AH22" s="358"/>
      <c r="AI22" s="277"/>
      <c r="AJ22" s="277"/>
      <c r="AK22" s="277"/>
      <c r="AL22" s="277"/>
      <c r="AM22" s="277"/>
      <c r="AN22" s="277"/>
      <c r="AO22" s="277"/>
      <c r="AP22" s="277"/>
      <c r="AQ22" s="277"/>
      <c r="AR22" s="336"/>
      <c r="AS22" s="200"/>
      <c r="AT22" s="2"/>
      <c r="AU22" s="187" t="str">
        <f>IF(Roster!$AN$1=0,"",Roster!$AN$1)</f>
        <v>COSTO</v>
      </c>
      <c r="AV22" s="187"/>
      <c r="AW22" s="358"/>
      <c r="AX22" s="277"/>
      <c r="AY22" s="277"/>
      <c r="AZ22" s="277"/>
      <c r="BA22" s="277"/>
      <c r="BB22" s="277"/>
      <c r="BC22" s="277"/>
      <c r="BD22" s="277"/>
      <c r="BE22" s="277"/>
      <c r="BF22" s="277"/>
      <c r="BG22" s="336"/>
      <c r="BH22" s="200"/>
    </row>
    <row r="23" spans="1:60" ht="34.5" customHeight="1">
      <c r="A23" s="2"/>
      <c r="B23" s="241"/>
      <c r="C23" s="201"/>
      <c r="D23" s="375">
        <f>Roster!$AI$28</f>
        <v>0</v>
      </c>
      <c r="E23" s="243"/>
      <c r="F23" s="244"/>
      <c r="G23" s="200"/>
      <c r="H23" s="375">
        <f>Roster!$AI$29</f>
        <v>0</v>
      </c>
      <c r="I23" s="243"/>
      <c r="J23" s="244"/>
      <c r="K23" s="200"/>
      <c r="L23" s="375">
        <f>Roster!$AI$31</f>
        <v>0</v>
      </c>
      <c r="M23" s="243"/>
      <c r="N23" s="244"/>
      <c r="O23" s="200"/>
      <c r="P23" s="2"/>
      <c r="Q23" s="202">
        <f>IF(Roster!$AN$2=0,"",Roster!$AN$2)</f>
        <v>30000</v>
      </c>
      <c r="R23" s="203"/>
      <c r="S23" s="359"/>
      <c r="T23" s="360"/>
      <c r="U23" s="360"/>
      <c r="V23" s="360"/>
      <c r="W23" s="360"/>
      <c r="X23" s="360"/>
      <c r="Y23" s="360"/>
      <c r="Z23" s="360"/>
      <c r="AA23" s="360"/>
      <c r="AB23" s="360"/>
      <c r="AC23" s="361"/>
      <c r="AD23" s="200"/>
      <c r="AE23" s="2"/>
      <c r="AF23" s="202">
        <f>IF(Roster!$AN$3=0,"",Roster!$AN$3)</f>
        <v>30000</v>
      </c>
      <c r="AG23" s="203"/>
      <c r="AH23" s="359"/>
      <c r="AI23" s="360"/>
      <c r="AJ23" s="360"/>
      <c r="AK23" s="360"/>
      <c r="AL23" s="360"/>
      <c r="AM23" s="360"/>
      <c r="AN23" s="360"/>
      <c r="AO23" s="360"/>
      <c r="AP23" s="360"/>
      <c r="AQ23" s="360"/>
      <c r="AR23" s="361"/>
      <c r="AS23" s="200"/>
      <c r="AT23" s="2"/>
      <c r="AU23" s="202">
        <f>IF(Roster!$AN$4=0,"",Roster!$AN$4)</f>
        <v>30000</v>
      </c>
      <c r="AV23" s="203"/>
      <c r="AW23" s="359"/>
      <c r="AX23" s="360"/>
      <c r="AY23" s="360"/>
      <c r="AZ23" s="360"/>
      <c r="BA23" s="360"/>
      <c r="BB23" s="360"/>
      <c r="BC23" s="360"/>
      <c r="BD23" s="360"/>
      <c r="BE23" s="360"/>
      <c r="BF23" s="360"/>
      <c r="BG23" s="361"/>
      <c r="BH23" s="200"/>
    </row>
    <row r="24" spans="1:60" ht="4.5" customHeight="1">
      <c r="A24" s="2"/>
      <c r="B24" s="371"/>
      <c r="C24" s="243"/>
      <c r="D24" s="243"/>
      <c r="E24" s="243"/>
      <c r="F24" s="243"/>
      <c r="G24" s="243"/>
      <c r="H24" s="243"/>
      <c r="I24" s="243"/>
      <c r="J24" s="243"/>
      <c r="K24" s="243"/>
      <c r="L24" s="243"/>
      <c r="M24" s="243"/>
      <c r="N24" s="244"/>
      <c r="O24" s="200"/>
      <c r="P24" s="2"/>
      <c r="Q24" s="371"/>
      <c r="R24" s="243"/>
      <c r="S24" s="243"/>
      <c r="T24" s="243"/>
      <c r="U24" s="243"/>
      <c r="V24" s="243"/>
      <c r="W24" s="243"/>
      <c r="X24" s="243"/>
      <c r="Y24" s="243"/>
      <c r="Z24" s="243"/>
      <c r="AA24" s="243"/>
      <c r="AB24" s="243"/>
      <c r="AC24" s="244"/>
      <c r="AD24" s="200"/>
      <c r="AE24" s="2"/>
      <c r="AF24" s="371"/>
      <c r="AG24" s="243"/>
      <c r="AH24" s="243"/>
      <c r="AI24" s="243"/>
      <c r="AJ24" s="243"/>
      <c r="AK24" s="243"/>
      <c r="AL24" s="243"/>
      <c r="AM24" s="243"/>
      <c r="AN24" s="243"/>
      <c r="AO24" s="243"/>
      <c r="AP24" s="243"/>
      <c r="AQ24" s="243"/>
      <c r="AR24" s="244"/>
      <c r="AS24" s="200"/>
      <c r="AT24" s="2"/>
      <c r="AU24" s="183"/>
      <c r="AV24" s="183"/>
      <c r="AW24" s="183"/>
      <c r="AX24" s="183"/>
      <c r="AY24" s="183"/>
      <c r="AZ24" s="183"/>
      <c r="BA24" s="183"/>
      <c r="BB24" s="183"/>
      <c r="BC24" s="183"/>
      <c r="BD24" s="183"/>
      <c r="BE24" s="183"/>
      <c r="BF24" s="183"/>
      <c r="BG24" s="200"/>
      <c r="BH24" s="200"/>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69" t="str">
        <f>IF(Roster!$A$5=0,"","#"&amp;Roster!$A$5)</f>
        <v>#4</v>
      </c>
      <c r="C26" s="183"/>
      <c r="D26" s="183"/>
      <c r="E26" s="183"/>
      <c r="F26" s="183"/>
      <c r="G26" s="183"/>
      <c r="H26" s="183"/>
      <c r="I26" s="183"/>
      <c r="J26" s="183"/>
      <c r="K26" s="183"/>
      <c r="L26" s="183"/>
      <c r="M26" s="183"/>
      <c r="N26" s="183"/>
      <c r="O26" s="183"/>
      <c r="P26" s="2"/>
      <c r="Q26" s="369" t="str">
        <f>IF(Roster!$A$6=0,"","#"&amp;Roster!$A$6)</f>
        <v>#5</v>
      </c>
      <c r="R26" s="183"/>
      <c r="S26" s="183"/>
      <c r="T26" s="183"/>
      <c r="U26" s="183"/>
      <c r="V26" s="183"/>
      <c r="W26" s="183"/>
      <c r="X26" s="183"/>
      <c r="Y26" s="183"/>
      <c r="Z26" s="183"/>
      <c r="AA26" s="183"/>
      <c r="AB26" s="183"/>
      <c r="AC26" s="183"/>
      <c r="AD26" s="183"/>
      <c r="AE26" s="2"/>
      <c r="AF26" s="369" t="str">
        <f>IF(Roster!$A$7=0,"","#"&amp;Roster!$A$7)</f>
        <v>#6</v>
      </c>
      <c r="AG26" s="183"/>
      <c r="AH26" s="183"/>
      <c r="AI26" s="183"/>
      <c r="AJ26" s="183"/>
      <c r="AK26" s="183"/>
      <c r="AL26" s="183"/>
      <c r="AM26" s="183"/>
      <c r="AN26" s="183"/>
      <c r="AO26" s="183"/>
      <c r="AP26" s="183"/>
      <c r="AQ26" s="183"/>
      <c r="AR26" s="183"/>
      <c r="AS26" s="183"/>
      <c r="AT26" s="2"/>
      <c r="AU26" s="369" t="str">
        <f>IF(Roster!$A$8=0,"","#"&amp;Roster!$A$8)</f>
        <v>#7</v>
      </c>
      <c r="AV26" s="183"/>
      <c r="AW26" s="183"/>
      <c r="AX26" s="183"/>
      <c r="AY26" s="183"/>
      <c r="AZ26" s="183"/>
      <c r="BA26" s="183"/>
      <c r="BB26" s="183"/>
      <c r="BC26" s="183"/>
      <c r="BD26" s="183"/>
      <c r="BE26" s="183"/>
      <c r="BF26" s="183"/>
      <c r="BG26" s="183"/>
      <c r="BH26" s="183"/>
    </row>
    <row r="27" spans="1:60" ht="15" customHeight="1">
      <c r="A27" s="2"/>
      <c r="B27" s="240"/>
      <c r="C27" s="354" t="str">
        <f>IF(Roster!$B$5=0,"",Roster!$B$5)</f>
        <v>Lalà</v>
      </c>
      <c r="D27" s="243"/>
      <c r="E27" s="243"/>
      <c r="F27" s="243"/>
      <c r="G27" s="243"/>
      <c r="H27" s="243"/>
      <c r="I27" s="243"/>
      <c r="J27" s="243"/>
      <c r="K27" s="243"/>
      <c r="L27" s="243"/>
      <c r="M27" s="243"/>
      <c r="N27" s="244"/>
      <c r="O27" s="183"/>
      <c r="P27" s="2"/>
      <c r="Q27" s="240"/>
      <c r="R27" s="354" t="str">
        <f>IF(Roster!$B$6=0,"",Roster!$B$6)</f>
        <v>Mbeh</v>
      </c>
      <c r="S27" s="243"/>
      <c r="T27" s="243"/>
      <c r="U27" s="243"/>
      <c r="V27" s="243"/>
      <c r="W27" s="243"/>
      <c r="X27" s="243"/>
      <c r="Y27" s="243"/>
      <c r="Z27" s="243"/>
      <c r="AA27" s="243"/>
      <c r="AB27" s="243"/>
      <c r="AC27" s="244"/>
      <c r="AD27" s="183"/>
      <c r="AE27" s="2"/>
      <c r="AF27" s="240"/>
      <c r="AG27" s="354" t="str">
        <f>IF(Roster!$B$7=0,"",Roster!$B$7)</f>
        <v>Ahia</v>
      </c>
      <c r="AH27" s="243"/>
      <c r="AI27" s="243"/>
      <c r="AJ27" s="243"/>
      <c r="AK27" s="243"/>
      <c r="AL27" s="243"/>
      <c r="AM27" s="243"/>
      <c r="AN27" s="243"/>
      <c r="AO27" s="243"/>
      <c r="AP27" s="243"/>
      <c r="AQ27" s="243"/>
      <c r="AR27" s="244"/>
      <c r="AS27" s="183"/>
      <c r="AT27" s="2"/>
      <c r="AU27" s="240"/>
      <c r="AV27" s="354" t="str">
        <f>IF(Roster!$B$8=0,"",Roster!$B$8)</f>
        <v>Painkillermaximus terzo</v>
      </c>
      <c r="AW27" s="243"/>
      <c r="AX27" s="243"/>
      <c r="AY27" s="243"/>
      <c r="AZ27" s="243"/>
      <c r="BA27" s="243"/>
      <c r="BB27" s="243"/>
      <c r="BC27" s="243"/>
      <c r="BD27" s="243"/>
      <c r="BE27" s="243"/>
      <c r="BF27" s="243"/>
      <c r="BG27" s="244"/>
      <c r="BH27" s="183"/>
    </row>
    <row r="28" spans="1:60" ht="11.25" customHeight="1">
      <c r="A28" s="2"/>
      <c r="B28" s="241"/>
      <c r="C28" s="370" t="str">
        <f>IF(Roster!$C$5=0,"",Roster!$C$5)</f>
        <v>Fun-hoppa</v>
      </c>
      <c r="D28" s="243"/>
      <c r="E28" s="243"/>
      <c r="F28" s="243"/>
      <c r="G28" s="243"/>
      <c r="H28" s="243"/>
      <c r="I28" s="243"/>
      <c r="J28" s="243"/>
      <c r="K28" s="243"/>
      <c r="L28" s="243"/>
      <c r="M28" s="243"/>
      <c r="N28" s="244"/>
      <c r="O28" s="184"/>
      <c r="P28" s="2"/>
      <c r="Q28" s="241"/>
      <c r="R28" s="370" t="str">
        <f>IF(Roster!$C$6=0,"",Roster!$C$6)</f>
        <v>Stilty Runna</v>
      </c>
      <c r="S28" s="243"/>
      <c r="T28" s="243"/>
      <c r="U28" s="243"/>
      <c r="V28" s="243"/>
      <c r="W28" s="243"/>
      <c r="X28" s="243"/>
      <c r="Y28" s="243"/>
      <c r="Z28" s="243"/>
      <c r="AA28" s="243"/>
      <c r="AB28" s="243"/>
      <c r="AC28" s="244"/>
      <c r="AD28" s="184"/>
      <c r="AE28" s="2"/>
      <c r="AF28" s="241"/>
      <c r="AG28" s="370" t="str">
        <f>IF(Roster!$C$7=0,"",Roster!$C$7)</f>
        <v>Stilty Runna</v>
      </c>
      <c r="AH28" s="243"/>
      <c r="AI28" s="243"/>
      <c r="AJ28" s="243"/>
      <c r="AK28" s="243"/>
      <c r="AL28" s="243"/>
      <c r="AM28" s="243"/>
      <c r="AN28" s="243"/>
      <c r="AO28" s="243"/>
      <c r="AP28" s="243"/>
      <c r="AQ28" s="243"/>
      <c r="AR28" s="244"/>
      <c r="AS28" s="184"/>
      <c r="AT28" s="2"/>
      <c r="AU28" s="241"/>
      <c r="AV28" s="370" t="str">
        <f>IF(Roster!$C$8=0,"",Roster!$C$8)</f>
        <v>Pump Wagon</v>
      </c>
      <c r="AW28" s="243"/>
      <c r="AX28" s="243"/>
      <c r="AY28" s="243"/>
      <c r="AZ28" s="243"/>
      <c r="BA28" s="243"/>
      <c r="BB28" s="243"/>
      <c r="BC28" s="243"/>
      <c r="BD28" s="243"/>
      <c r="BE28" s="243"/>
      <c r="BF28" s="243"/>
      <c r="BG28" s="244"/>
      <c r="BH28" s="184"/>
    </row>
    <row r="29" spans="1:60" ht="11.25" customHeight="1">
      <c r="A29" s="2"/>
      <c r="B29" s="187" t="str">
        <f>IF(Roster!$J$1=0,"",Roster!$J$1)</f>
        <v>MA</v>
      </c>
      <c r="C29" s="186"/>
      <c r="D29" s="368"/>
      <c r="E29" s="277"/>
      <c r="F29" s="277"/>
      <c r="G29" s="277"/>
      <c r="H29" s="277"/>
      <c r="I29" s="277"/>
      <c r="J29" s="277"/>
      <c r="K29" s="277"/>
      <c r="L29" s="277"/>
      <c r="M29" s="277"/>
      <c r="N29" s="277"/>
      <c r="O29" s="183"/>
      <c r="P29" s="2"/>
      <c r="Q29" s="187" t="str">
        <f>IF(Roster!$J$1=0,"",Roster!$J$1)</f>
        <v>MA</v>
      </c>
      <c r="R29" s="186"/>
      <c r="S29" s="368"/>
      <c r="T29" s="277"/>
      <c r="U29" s="277"/>
      <c r="V29" s="277"/>
      <c r="W29" s="277"/>
      <c r="X29" s="277"/>
      <c r="Y29" s="277"/>
      <c r="Z29" s="277"/>
      <c r="AA29" s="277"/>
      <c r="AB29" s="277"/>
      <c r="AC29" s="277"/>
      <c r="AD29" s="183"/>
      <c r="AE29" s="2"/>
      <c r="AF29" s="187" t="str">
        <f>IF(Roster!$J$1=0,"",Roster!$J$1)</f>
        <v>MA</v>
      </c>
      <c r="AG29" s="186"/>
      <c r="AH29" s="368"/>
      <c r="AI29" s="277"/>
      <c r="AJ29" s="277"/>
      <c r="AK29" s="277"/>
      <c r="AL29" s="277"/>
      <c r="AM29" s="277"/>
      <c r="AN29" s="277"/>
      <c r="AO29" s="277"/>
      <c r="AP29" s="277"/>
      <c r="AQ29" s="277"/>
      <c r="AR29" s="277"/>
      <c r="AS29" s="183"/>
      <c r="AT29" s="2"/>
      <c r="AU29" s="187" t="str">
        <f>IF(Roster!$J$1=0,"",Roster!$J$1)</f>
        <v>MA</v>
      </c>
      <c r="AV29" s="186"/>
      <c r="AW29" s="368"/>
      <c r="AX29" s="277"/>
      <c r="AY29" s="277"/>
      <c r="AZ29" s="277"/>
      <c r="BA29" s="277"/>
      <c r="BB29" s="277"/>
      <c r="BC29" s="277"/>
      <c r="BD29" s="277"/>
      <c r="BE29" s="277"/>
      <c r="BF29" s="277"/>
      <c r="BG29" s="277"/>
      <c r="BH29" s="183"/>
    </row>
    <row r="30" spans="1:60" ht="37.5" customHeight="1">
      <c r="A30" s="2"/>
      <c r="B30" s="189">
        <f>IF(Roster!$J$5=0,"",Roster!$J$5)</f>
        <v>5</v>
      </c>
      <c r="C30" s="186"/>
      <c r="D30" s="277"/>
      <c r="E30" s="277"/>
      <c r="F30" s="277"/>
      <c r="G30" s="277"/>
      <c r="H30" s="277"/>
      <c r="I30" s="277"/>
      <c r="J30" s="277"/>
      <c r="K30" s="277"/>
      <c r="L30" s="277"/>
      <c r="M30" s="277"/>
      <c r="N30" s="277"/>
      <c r="O30" s="183"/>
      <c r="P30" s="2"/>
      <c r="Q30" s="189">
        <f>IF(Roster!$J$6=0,"",Roster!$J$6)</f>
        <v>6</v>
      </c>
      <c r="R30" s="186"/>
      <c r="S30" s="277"/>
      <c r="T30" s="277"/>
      <c r="U30" s="277"/>
      <c r="V30" s="277"/>
      <c r="W30" s="277"/>
      <c r="X30" s="277"/>
      <c r="Y30" s="277"/>
      <c r="Z30" s="277"/>
      <c r="AA30" s="277"/>
      <c r="AB30" s="277"/>
      <c r="AC30" s="277"/>
      <c r="AD30" s="183"/>
      <c r="AE30" s="2"/>
      <c r="AF30" s="189">
        <f>IF(Roster!$J$7=0,"",Roster!$J$7)</f>
        <v>6</v>
      </c>
      <c r="AG30" s="186"/>
      <c r="AH30" s="277"/>
      <c r="AI30" s="277"/>
      <c r="AJ30" s="277"/>
      <c r="AK30" s="277"/>
      <c r="AL30" s="277"/>
      <c r="AM30" s="277"/>
      <c r="AN30" s="277"/>
      <c r="AO30" s="277"/>
      <c r="AP30" s="277"/>
      <c r="AQ30" s="277"/>
      <c r="AR30" s="277"/>
      <c r="AS30" s="183"/>
      <c r="AT30" s="2"/>
      <c r="AU30" s="189">
        <f>IF(Roster!$J$8=0,"",Roster!$J$8)</f>
        <v>4</v>
      </c>
      <c r="AV30" s="186"/>
      <c r="AW30" s="277"/>
      <c r="AX30" s="277"/>
      <c r="AY30" s="277"/>
      <c r="AZ30" s="277"/>
      <c r="BA30" s="277"/>
      <c r="BB30" s="277"/>
      <c r="BC30" s="277"/>
      <c r="BD30" s="277"/>
      <c r="BE30" s="277"/>
      <c r="BF30" s="277"/>
      <c r="BG30" s="277"/>
      <c r="BH30" s="183"/>
    </row>
    <row r="31" spans="1:60" ht="11.25" customHeight="1">
      <c r="A31" s="2"/>
      <c r="B31" s="187" t="str">
        <f>IF(Roster!$K$1=0,"",Roster!$K$1)</f>
        <v>ST</v>
      </c>
      <c r="C31" s="186"/>
      <c r="D31" s="277"/>
      <c r="E31" s="277"/>
      <c r="F31" s="277"/>
      <c r="G31" s="277"/>
      <c r="H31" s="277"/>
      <c r="I31" s="277"/>
      <c r="J31" s="277"/>
      <c r="K31" s="277"/>
      <c r="L31" s="277"/>
      <c r="M31" s="277"/>
      <c r="N31" s="277"/>
      <c r="O31" s="183"/>
      <c r="P31" s="2"/>
      <c r="Q31" s="187" t="str">
        <f>IF(Roster!$K$1=0,"",Roster!$K$1)</f>
        <v>ST</v>
      </c>
      <c r="R31" s="186"/>
      <c r="S31" s="277"/>
      <c r="T31" s="277"/>
      <c r="U31" s="277"/>
      <c r="V31" s="277"/>
      <c r="W31" s="277"/>
      <c r="X31" s="277"/>
      <c r="Y31" s="277"/>
      <c r="Z31" s="277"/>
      <c r="AA31" s="277"/>
      <c r="AB31" s="277"/>
      <c r="AC31" s="277"/>
      <c r="AD31" s="183"/>
      <c r="AE31" s="2"/>
      <c r="AF31" s="187" t="str">
        <f>IF(Roster!$K$1=0,"",Roster!$K$1)</f>
        <v>ST</v>
      </c>
      <c r="AG31" s="186"/>
      <c r="AH31" s="277"/>
      <c r="AI31" s="277"/>
      <c r="AJ31" s="277"/>
      <c r="AK31" s="277"/>
      <c r="AL31" s="277"/>
      <c r="AM31" s="277"/>
      <c r="AN31" s="277"/>
      <c r="AO31" s="277"/>
      <c r="AP31" s="277"/>
      <c r="AQ31" s="277"/>
      <c r="AR31" s="277"/>
      <c r="AS31" s="183"/>
      <c r="AT31" s="2"/>
      <c r="AU31" s="187" t="str">
        <f>IF(Roster!$K$1=0,"",Roster!$K$1)</f>
        <v>ST</v>
      </c>
      <c r="AV31" s="186"/>
      <c r="AW31" s="277"/>
      <c r="AX31" s="277"/>
      <c r="AY31" s="277"/>
      <c r="AZ31" s="277"/>
      <c r="BA31" s="277"/>
      <c r="BB31" s="277"/>
      <c r="BC31" s="277"/>
      <c r="BD31" s="277"/>
      <c r="BE31" s="277"/>
      <c r="BF31" s="277"/>
      <c r="BG31" s="277"/>
      <c r="BH31" s="183"/>
    </row>
    <row r="32" spans="1:60" ht="37.5" customHeight="1">
      <c r="A32" s="2"/>
      <c r="B32" s="189">
        <f>IF(Roster!$K$5=0,"",Roster!$K$5)</f>
        <v>1</v>
      </c>
      <c r="C32" s="186"/>
      <c r="D32" s="277"/>
      <c r="E32" s="277"/>
      <c r="F32" s="277"/>
      <c r="G32" s="277"/>
      <c r="H32" s="277"/>
      <c r="I32" s="277"/>
      <c r="J32" s="277"/>
      <c r="K32" s="277"/>
      <c r="L32" s="277"/>
      <c r="M32" s="277"/>
      <c r="N32" s="277"/>
      <c r="O32" s="183"/>
      <c r="P32" s="2"/>
      <c r="Q32" s="189">
        <f>IF(Roster!$K$6=0,"",Roster!$K$6)</f>
        <v>1</v>
      </c>
      <c r="R32" s="186"/>
      <c r="S32" s="277"/>
      <c r="T32" s="277"/>
      <c r="U32" s="277"/>
      <c r="V32" s="277"/>
      <c r="W32" s="277"/>
      <c r="X32" s="277"/>
      <c r="Y32" s="277"/>
      <c r="Z32" s="277"/>
      <c r="AA32" s="277"/>
      <c r="AB32" s="277"/>
      <c r="AC32" s="277"/>
      <c r="AD32" s="183"/>
      <c r="AE32" s="2"/>
      <c r="AF32" s="189">
        <f>IF(Roster!$K$7=0,"",Roster!$K$7)</f>
        <v>1</v>
      </c>
      <c r="AG32" s="186"/>
      <c r="AH32" s="277"/>
      <c r="AI32" s="277"/>
      <c r="AJ32" s="277"/>
      <c r="AK32" s="277"/>
      <c r="AL32" s="277"/>
      <c r="AM32" s="277"/>
      <c r="AN32" s="277"/>
      <c r="AO32" s="277"/>
      <c r="AP32" s="277"/>
      <c r="AQ32" s="277"/>
      <c r="AR32" s="277"/>
      <c r="AS32" s="183"/>
      <c r="AT32" s="2"/>
      <c r="AU32" s="189">
        <f>IF(Roster!$K$8=0,"",Roster!$K$8)</f>
        <v>5</v>
      </c>
      <c r="AV32" s="186"/>
      <c r="AW32" s="277"/>
      <c r="AX32" s="277"/>
      <c r="AY32" s="277"/>
      <c r="AZ32" s="277"/>
      <c r="BA32" s="277"/>
      <c r="BB32" s="277"/>
      <c r="BC32" s="277"/>
      <c r="BD32" s="277"/>
      <c r="BE32" s="277"/>
      <c r="BF32" s="277"/>
      <c r="BG32" s="277"/>
      <c r="BH32" s="183"/>
    </row>
    <row r="33" spans="1:60" ht="11.25" customHeight="1">
      <c r="A33" s="2"/>
      <c r="B33" s="187" t="str">
        <f>IF(Roster!$L$1=0,"",Roster!$L$1)</f>
        <v>AG</v>
      </c>
      <c r="C33" s="186"/>
      <c r="D33" s="277"/>
      <c r="E33" s="277"/>
      <c r="F33" s="277"/>
      <c r="G33" s="277"/>
      <c r="H33" s="277"/>
      <c r="I33" s="277"/>
      <c r="J33" s="277"/>
      <c r="K33" s="277"/>
      <c r="L33" s="277"/>
      <c r="M33" s="277"/>
      <c r="N33" s="277"/>
      <c r="O33" s="183"/>
      <c r="P33" s="2"/>
      <c r="Q33" s="187" t="str">
        <f>IF(Roster!$L$1=0,"",Roster!$L$1)</f>
        <v>AG</v>
      </c>
      <c r="R33" s="186"/>
      <c r="S33" s="277"/>
      <c r="T33" s="277"/>
      <c r="U33" s="277"/>
      <c r="V33" s="277"/>
      <c r="W33" s="277"/>
      <c r="X33" s="277"/>
      <c r="Y33" s="277"/>
      <c r="Z33" s="277"/>
      <c r="AA33" s="277"/>
      <c r="AB33" s="277"/>
      <c r="AC33" s="277"/>
      <c r="AD33" s="183"/>
      <c r="AE33" s="2"/>
      <c r="AF33" s="187" t="str">
        <f>IF(Roster!$L$1=0,"",Roster!$L$1)</f>
        <v>AG</v>
      </c>
      <c r="AG33" s="186"/>
      <c r="AH33" s="277"/>
      <c r="AI33" s="277"/>
      <c r="AJ33" s="277"/>
      <c r="AK33" s="277"/>
      <c r="AL33" s="277"/>
      <c r="AM33" s="277"/>
      <c r="AN33" s="277"/>
      <c r="AO33" s="277"/>
      <c r="AP33" s="277"/>
      <c r="AQ33" s="277"/>
      <c r="AR33" s="277"/>
      <c r="AS33" s="183"/>
      <c r="AT33" s="2"/>
      <c r="AU33" s="187" t="str">
        <f>IF(Roster!$L$1=0,"",Roster!$L$1)</f>
        <v>AG</v>
      </c>
      <c r="AV33" s="186"/>
      <c r="AW33" s="277"/>
      <c r="AX33" s="277"/>
      <c r="AY33" s="277"/>
      <c r="AZ33" s="277"/>
      <c r="BA33" s="277"/>
      <c r="BB33" s="277"/>
      <c r="BC33" s="277"/>
      <c r="BD33" s="277"/>
      <c r="BE33" s="277"/>
      <c r="BF33" s="277"/>
      <c r="BG33" s="277"/>
      <c r="BH33" s="183"/>
    </row>
    <row r="34" spans="1:60" ht="37.5" customHeight="1">
      <c r="A34" s="2"/>
      <c r="B34" s="189" t="str">
        <f>IF(Roster!$L$5=0&amp;"+","",Roster!$L$5)</f>
        <v>3+</v>
      </c>
      <c r="C34" s="186"/>
      <c r="D34" s="277"/>
      <c r="E34" s="277"/>
      <c r="F34" s="277"/>
      <c r="G34" s="277"/>
      <c r="H34" s="277"/>
      <c r="I34" s="277"/>
      <c r="J34" s="277"/>
      <c r="K34" s="277"/>
      <c r="L34" s="277"/>
      <c r="M34" s="277"/>
      <c r="N34" s="277"/>
      <c r="O34" s="183"/>
      <c r="P34" s="2"/>
      <c r="Q34" s="189" t="str">
        <f>IF(Roster!$L$6=0&amp;"+","",Roster!$L$6)</f>
        <v>3+</v>
      </c>
      <c r="R34" s="186"/>
      <c r="S34" s="277"/>
      <c r="T34" s="277"/>
      <c r="U34" s="277"/>
      <c r="V34" s="277"/>
      <c r="W34" s="277"/>
      <c r="X34" s="277"/>
      <c r="Y34" s="277"/>
      <c r="Z34" s="277"/>
      <c r="AA34" s="277"/>
      <c r="AB34" s="277"/>
      <c r="AC34" s="277"/>
      <c r="AD34" s="183"/>
      <c r="AE34" s="2"/>
      <c r="AF34" s="189" t="str">
        <f>IF(Roster!$L$7=0&amp;"+","",Roster!$L$7)</f>
        <v>3+</v>
      </c>
      <c r="AG34" s="186"/>
      <c r="AH34" s="277"/>
      <c r="AI34" s="277"/>
      <c r="AJ34" s="277"/>
      <c r="AK34" s="277"/>
      <c r="AL34" s="277"/>
      <c r="AM34" s="277"/>
      <c r="AN34" s="277"/>
      <c r="AO34" s="277"/>
      <c r="AP34" s="277"/>
      <c r="AQ34" s="277"/>
      <c r="AR34" s="277"/>
      <c r="AS34" s="183"/>
      <c r="AT34" s="2"/>
      <c r="AU34" s="189" t="str">
        <f>IF(Roster!$L$8=0&amp;"+","",Roster!$L$8)</f>
        <v>5+</v>
      </c>
      <c r="AV34" s="186"/>
      <c r="AW34" s="277"/>
      <c r="AX34" s="277"/>
      <c r="AY34" s="277"/>
      <c r="AZ34" s="277"/>
      <c r="BA34" s="277"/>
      <c r="BB34" s="277"/>
      <c r="BC34" s="277"/>
      <c r="BD34" s="277"/>
      <c r="BE34" s="277"/>
      <c r="BF34" s="277"/>
      <c r="BG34" s="277"/>
      <c r="BH34" s="183"/>
    </row>
    <row r="35" spans="1:60" ht="11.25" customHeight="1">
      <c r="A35" s="2"/>
      <c r="B35" s="187" t="str">
        <f>IF(Roster!$M$1=0,"",Roster!$M$1)</f>
        <v>PA</v>
      </c>
      <c r="C35" s="186"/>
      <c r="D35" s="277"/>
      <c r="E35" s="277"/>
      <c r="F35" s="277"/>
      <c r="G35" s="277"/>
      <c r="H35" s="277"/>
      <c r="I35" s="277"/>
      <c r="J35" s="277"/>
      <c r="K35" s="277"/>
      <c r="L35" s="277"/>
      <c r="M35" s="277"/>
      <c r="N35" s="277"/>
      <c r="O35" s="192"/>
      <c r="P35" s="2"/>
      <c r="Q35" s="187" t="str">
        <f>IF(Roster!$M$1=0,"",Roster!$M$1)</f>
        <v>PA</v>
      </c>
      <c r="R35" s="186"/>
      <c r="S35" s="277"/>
      <c r="T35" s="277"/>
      <c r="U35" s="277"/>
      <c r="V35" s="277"/>
      <c r="W35" s="277"/>
      <c r="X35" s="277"/>
      <c r="Y35" s="277"/>
      <c r="Z35" s="277"/>
      <c r="AA35" s="277"/>
      <c r="AB35" s="277"/>
      <c r="AC35" s="277"/>
      <c r="AD35" s="192"/>
      <c r="AE35" s="2"/>
      <c r="AF35" s="187" t="str">
        <f>IF(Roster!$M$1=0,"",Roster!$M$1)</f>
        <v>PA</v>
      </c>
      <c r="AG35" s="186"/>
      <c r="AH35" s="277"/>
      <c r="AI35" s="277"/>
      <c r="AJ35" s="277"/>
      <c r="AK35" s="277"/>
      <c r="AL35" s="277"/>
      <c r="AM35" s="277"/>
      <c r="AN35" s="277"/>
      <c r="AO35" s="277"/>
      <c r="AP35" s="277"/>
      <c r="AQ35" s="277"/>
      <c r="AR35" s="277"/>
      <c r="AS35" s="192"/>
      <c r="AT35" s="2"/>
      <c r="AU35" s="187" t="str">
        <f>IF(Roster!$M$1=0,"",Roster!$M$1)</f>
        <v>PA</v>
      </c>
      <c r="AV35" s="186"/>
      <c r="AW35" s="277"/>
      <c r="AX35" s="277"/>
      <c r="AY35" s="277"/>
      <c r="AZ35" s="277"/>
      <c r="BA35" s="277"/>
      <c r="BB35" s="277"/>
      <c r="BC35" s="277"/>
      <c r="BD35" s="277"/>
      <c r="BE35" s="277"/>
      <c r="BF35" s="277"/>
      <c r="BG35" s="277"/>
      <c r="BH35" s="192"/>
    </row>
    <row r="36" spans="1:60" ht="6" customHeight="1">
      <c r="A36" s="2"/>
      <c r="B36" s="367" t="str">
        <f>IF(Roster!$M$5=0&amp;"+","",Roster!$M$5)</f>
        <v>5+</v>
      </c>
      <c r="C36" s="186"/>
      <c r="D36" s="277"/>
      <c r="E36" s="277"/>
      <c r="F36" s="277"/>
      <c r="G36" s="277"/>
      <c r="H36" s="277"/>
      <c r="I36" s="277"/>
      <c r="J36" s="277"/>
      <c r="K36" s="277"/>
      <c r="L36" s="277"/>
      <c r="M36" s="277"/>
      <c r="N36" s="277"/>
      <c r="O36" s="194"/>
      <c r="P36" s="2"/>
      <c r="Q36" s="367" t="str">
        <f>IF(Roster!$M$6=0&amp;"+","",Roster!$M$6)</f>
        <v>5+</v>
      </c>
      <c r="R36" s="186"/>
      <c r="S36" s="277"/>
      <c r="T36" s="277"/>
      <c r="U36" s="277"/>
      <c r="V36" s="277"/>
      <c r="W36" s="277"/>
      <c r="X36" s="277"/>
      <c r="Y36" s="277"/>
      <c r="Z36" s="277"/>
      <c r="AA36" s="277"/>
      <c r="AB36" s="277"/>
      <c r="AC36" s="277"/>
      <c r="AD36" s="194"/>
      <c r="AE36" s="2"/>
      <c r="AF36" s="367" t="str">
        <f>IF(Roster!$M$7=0&amp;"+","",Roster!$M$7)</f>
        <v>5+</v>
      </c>
      <c r="AG36" s="186"/>
      <c r="AH36" s="277"/>
      <c r="AI36" s="277"/>
      <c r="AJ36" s="277"/>
      <c r="AK36" s="277"/>
      <c r="AL36" s="277"/>
      <c r="AM36" s="277"/>
      <c r="AN36" s="277"/>
      <c r="AO36" s="277"/>
      <c r="AP36" s="277"/>
      <c r="AQ36" s="277"/>
      <c r="AR36" s="277"/>
      <c r="AS36" s="194"/>
      <c r="AT36" s="2"/>
      <c r="AU36" s="367" t="str">
        <f>IF(Roster!$M$8=0&amp;"+","",Roster!$M$8)</f>
        <v/>
      </c>
      <c r="AV36" s="186"/>
      <c r="AW36" s="277"/>
      <c r="AX36" s="277"/>
      <c r="AY36" s="277"/>
      <c r="AZ36" s="277"/>
      <c r="BA36" s="277"/>
      <c r="BB36" s="277"/>
      <c r="BC36" s="277"/>
      <c r="BD36" s="277"/>
      <c r="BE36" s="277"/>
      <c r="BF36" s="277"/>
      <c r="BG36" s="277"/>
      <c r="BH36" s="194"/>
    </row>
    <row r="37" spans="1:60" ht="4.5" customHeight="1">
      <c r="A37" s="2"/>
      <c r="B37" s="240"/>
      <c r="C37" s="186"/>
      <c r="D37" s="183"/>
      <c r="E37" s="193"/>
      <c r="F37" s="183"/>
      <c r="G37" s="193"/>
      <c r="H37" s="183"/>
      <c r="I37" s="193"/>
      <c r="J37" s="183"/>
      <c r="K37" s="193"/>
      <c r="L37" s="183"/>
      <c r="M37" s="193"/>
      <c r="N37" s="183"/>
      <c r="O37" s="194"/>
      <c r="P37" s="2"/>
      <c r="Q37" s="240"/>
      <c r="R37" s="186"/>
      <c r="S37" s="183"/>
      <c r="T37" s="193"/>
      <c r="U37" s="183"/>
      <c r="V37" s="193"/>
      <c r="W37" s="183"/>
      <c r="X37" s="193"/>
      <c r="Y37" s="183"/>
      <c r="Z37" s="193"/>
      <c r="AA37" s="183"/>
      <c r="AB37" s="193"/>
      <c r="AC37" s="183"/>
      <c r="AD37" s="194"/>
      <c r="AE37" s="2"/>
      <c r="AF37" s="240"/>
      <c r="AG37" s="186"/>
      <c r="AH37" s="183"/>
      <c r="AI37" s="193"/>
      <c r="AJ37" s="183"/>
      <c r="AK37" s="193"/>
      <c r="AL37" s="183"/>
      <c r="AM37" s="193"/>
      <c r="AN37" s="183"/>
      <c r="AO37" s="193"/>
      <c r="AP37" s="183"/>
      <c r="AQ37" s="193"/>
      <c r="AR37" s="183"/>
      <c r="AS37" s="194"/>
      <c r="AT37" s="2"/>
      <c r="AU37" s="240"/>
      <c r="AV37" s="186"/>
      <c r="AW37" s="183"/>
      <c r="AX37" s="193"/>
      <c r="AY37" s="183"/>
      <c r="AZ37" s="193"/>
      <c r="BA37" s="183"/>
      <c r="BB37" s="193"/>
      <c r="BC37" s="183"/>
      <c r="BD37" s="193"/>
      <c r="BE37" s="183"/>
      <c r="BF37" s="193"/>
      <c r="BG37" s="183"/>
      <c r="BH37" s="194"/>
    </row>
    <row r="38" spans="1:60" ht="11.25" customHeight="1">
      <c r="A38" s="2"/>
      <c r="B38" s="240"/>
      <c r="C38" s="186"/>
      <c r="D38" s="195" t="str">
        <f>IF(Roster!$AC$1=0,"",Roster!$AC$1)</f>
        <v>TD</v>
      </c>
      <c r="E38" s="193"/>
      <c r="F38" s="195" t="str">
        <f>IF(Roster!$J$25="Español","HER",(IF(Roster!$J$25="Deutsch","VER",(IF(Roster!$J$25="Français","BLES","CAS")))))</f>
        <v>CAS</v>
      </c>
      <c r="G38" s="193"/>
      <c r="H38" s="195" t="str">
        <f>IF(Roster!$AF$1=0,"",Roster!$AF$1)</f>
        <v>BH</v>
      </c>
      <c r="I38" s="193"/>
      <c r="J38" s="195" t="str">
        <f>IF(Roster!$AG$1=0,"",Roster!$AG$1)</f>
        <v>SI</v>
      </c>
      <c r="K38" s="193"/>
      <c r="L38" s="195" t="str">
        <f>IF(Roster!$AH$1=0,"",Roster!$AH$1)</f>
        <v>KILL</v>
      </c>
      <c r="M38" s="193"/>
      <c r="N38" s="195" t="str">
        <f>IF(Roster!$AB$1=0,"",Roster!$AB$1)</f>
        <v>CP</v>
      </c>
      <c r="O38" s="194"/>
      <c r="P38" s="2"/>
      <c r="Q38" s="240"/>
      <c r="R38" s="186"/>
      <c r="S38" s="195" t="str">
        <f>IF(Roster!$AC$1=0,"",Roster!$AC$1)</f>
        <v>TD</v>
      </c>
      <c r="T38" s="193"/>
      <c r="U38" s="195" t="str">
        <f>IF(Roster!$J$25="Español","HER",(IF(Roster!$J$25="Deutsch","VER",(IF(Roster!$J$25="Français","BLES","CAS")))))</f>
        <v>CAS</v>
      </c>
      <c r="V38" s="193"/>
      <c r="W38" s="195" t="str">
        <f>IF(Roster!$AF$1=0,"",Roster!$AF$1)</f>
        <v>BH</v>
      </c>
      <c r="X38" s="193"/>
      <c r="Y38" s="195" t="str">
        <f>IF(Roster!$AG$1=0,"",Roster!$AG$1)</f>
        <v>SI</v>
      </c>
      <c r="Z38" s="193"/>
      <c r="AA38" s="195" t="str">
        <f>IF(Roster!$AH$1=0,"",Roster!$AH$1)</f>
        <v>KILL</v>
      </c>
      <c r="AB38" s="193"/>
      <c r="AC38" s="195" t="str">
        <f>IF(Roster!$AB$1=0,"",Roster!$AB$1)</f>
        <v>CP</v>
      </c>
      <c r="AD38" s="194"/>
      <c r="AE38" s="2"/>
      <c r="AF38" s="240"/>
      <c r="AG38" s="186"/>
      <c r="AH38" s="195" t="str">
        <f>IF(Roster!$AC$1=0,"",Roster!$AC$1)</f>
        <v>TD</v>
      </c>
      <c r="AI38" s="193"/>
      <c r="AJ38" s="195" t="str">
        <f>IF(Roster!$J$25="Español","HER",(IF(Roster!$J$25="Deutsch","VER",(IF(Roster!$J$25="Français","BLES","CAS")))))</f>
        <v>CAS</v>
      </c>
      <c r="AK38" s="193"/>
      <c r="AL38" s="195" t="str">
        <f>IF(Roster!$AF$1=0,"",Roster!$AF$1)</f>
        <v>BH</v>
      </c>
      <c r="AM38" s="193"/>
      <c r="AN38" s="195" t="str">
        <f>IF(Roster!$AG$1=0,"",Roster!$AG$1)</f>
        <v>SI</v>
      </c>
      <c r="AO38" s="193"/>
      <c r="AP38" s="195" t="str">
        <f>IF(Roster!$AH$1=0,"",Roster!$AH$1)</f>
        <v>KILL</v>
      </c>
      <c r="AQ38" s="193"/>
      <c r="AR38" s="195" t="str">
        <f>IF(Roster!$AB$1=0,"",Roster!$AB$1)</f>
        <v>CP</v>
      </c>
      <c r="AS38" s="194"/>
      <c r="AT38" s="2"/>
      <c r="AU38" s="240"/>
      <c r="AV38" s="186"/>
      <c r="AW38" s="195" t="str">
        <f>IF(Roster!$AC$1=0,"",Roster!$AC$1)</f>
        <v>TD</v>
      </c>
      <c r="AX38" s="193"/>
      <c r="AY38" s="195" t="str">
        <f>IF(Roster!$J$25="Español","HER",(IF(Roster!$J$25="Deutsch","VER",(IF(Roster!$J$25="Français","BLES","CAS")))))</f>
        <v>CAS</v>
      </c>
      <c r="AZ38" s="193"/>
      <c r="BA38" s="195" t="str">
        <f>IF(Roster!$AF$1=0,"",Roster!$AF$1)</f>
        <v>BH</v>
      </c>
      <c r="BB38" s="193"/>
      <c r="BC38" s="195" t="str">
        <f>IF(Roster!$AG$1=0,"",Roster!$AG$1)</f>
        <v>SI</v>
      </c>
      <c r="BD38" s="193"/>
      <c r="BE38" s="195" t="str">
        <f>IF(Roster!$AH$1=0,"",Roster!$AH$1)</f>
        <v>KILL</v>
      </c>
      <c r="BF38" s="193"/>
      <c r="BG38" s="195" t="str">
        <f>IF(Roster!$AB$1=0,"",Roster!$AB$1)</f>
        <v>CP</v>
      </c>
      <c r="BH38" s="194"/>
    </row>
    <row r="39" spans="1:60" ht="15" customHeight="1">
      <c r="A39" s="2"/>
      <c r="B39" s="240"/>
      <c r="C39" s="188"/>
      <c r="D39" s="196" t="str">
        <f>IF(Roster!$AC$5=0,"",Roster!$AC$5)</f>
        <v/>
      </c>
      <c r="E39" s="188"/>
      <c r="F39" s="196">
        <f>IF((SUM(H39,J39,L39))=0,"",(SUM(H39,J39,L39)))</f>
        <v>1</v>
      </c>
      <c r="G39" s="188"/>
      <c r="H39" s="196">
        <f>IF(Roster!$AF$5=0,"",Roster!$AF$5)</f>
        <v>1</v>
      </c>
      <c r="I39" s="188"/>
      <c r="J39" s="196" t="str">
        <f>IF(Roster!$AG$5=0,"",Roster!$AG$5)</f>
        <v/>
      </c>
      <c r="K39" s="188"/>
      <c r="L39" s="196" t="str">
        <f>IF(Roster!$AH$5=0,"",Roster!$AH$5)</f>
        <v/>
      </c>
      <c r="M39" s="188"/>
      <c r="N39" s="196" t="str">
        <f>IF(Roster!$AB$5=0,"",Roster!$AB$5)</f>
        <v/>
      </c>
      <c r="O39" s="194"/>
      <c r="P39" s="2"/>
      <c r="Q39" s="240"/>
      <c r="R39" s="188"/>
      <c r="S39" s="196" t="str">
        <f>IF(Roster!$AC$6=0,"",Roster!$AC$6)</f>
        <v/>
      </c>
      <c r="T39" s="188"/>
      <c r="U39" s="196" t="str">
        <f>IF((SUM(W39,Y39,AA39))=0,"",(SUM(W39,Y39,AA39)))</f>
        <v/>
      </c>
      <c r="V39" s="188"/>
      <c r="W39" s="196" t="str">
        <f>IF(Roster!$AF$6=0,"",Roster!$AF$6)</f>
        <v/>
      </c>
      <c r="X39" s="188"/>
      <c r="Y39" s="196" t="str">
        <f>IF(Roster!$AG$6=0,"",Roster!$AG$6)</f>
        <v/>
      </c>
      <c r="Z39" s="188"/>
      <c r="AA39" s="196" t="str">
        <f>IF(Roster!$AH$6=0,"",Roster!$AH$6)</f>
        <v/>
      </c>
      <c r="AB39" s="188"/>
      <c r="AC39" s="196" t="str">
        <f>IF(Roster!$AB$6=0,"",Roster!$AB$6)</f>
        <v/>
      </c>
      <c r="AD39" s="194"/>
      <c r="AE39" s="2"/>
      <c r="AF39" s="240"/>
      <c r="AG39" s="188"/>
      <c r="AH39" s="196" t="str">
        <f>IF(Roster!$AC$7=0,"",Roster!$AC$7)</f>
        <v/>
      </c>
      <c r="AI39" s="188"/>
      <c r="AJ39" s="196" t="str">
        <f>IF((SUM(AL39,AN39,AP39))=0,"",(SUM(AL39,AN39,AP39)))</f>
        <v/>
      </c>
      <c r="AK39" s="188"/>
      <c r="AL39" s="196" t="str">
        <f>IF(Roster!$AF$7=0,"",Roster!$AF$7)</f>
        <v/>
      </c>
      <c r="AM39" s="188"/>
      <c r="AN39" s="196" t="str">
        <f>IF(Roster!$AG$7=0,"",Roster!$AG$7)</f>
        <v/>
      </c>
      <c r="AO39" s="188"/>
      <c r="AP39" s="196" t="str">
        <f>IF(Roster!$AH$7=0,"",Roster!$AH$7)</f>
        <v/>
      </c>
      <c r="AQ39" s="188"/>
      <c r="AR39" s="196" t="str">
        <f>IF(Roster!$AB$7=0,"",Roster!$AB$7)</f>
        <v/>
      </c>
      <c r="AS39" s="194"/>
      <c r="AT39" s="2"/>
      <c r="AU39" s="240"/>
      <c r="AV39" s="188"/>
      <c r="AW39" s="196" t="str">
        <f>IF(Roster!$AC$8=0,"",Roster!$AC$8)</f>
        <v/>
      </c>
      <c r="AX39" s="188"/>
      <c r="AY39" s="196" t="str">
        <f>IF((SUM(BA39,BC39,BE39))=0,"",(SUM(BA39,BC39,BE39)))</f>
        <v/>
      </c>
      <c r="AZ39" s="188"/>
      <c r="BA39" s="196" t="str">
        <f>IF(Roster!$AF$8=0,"",Roster!$AF$8)</f>
        <v/>
      </c>
      <c r="BB39" s="188"/>
      <c r="BC39" s="196" t="str">
        <f>IF(Roster!$AG$8=0,"",Roster!$AG$8)</f>
        <v/>
      </c>
      <c r="BD39" s="188"/>
      <c r="BE39" s="196" t="str">
        <f>IF(Roster!$AH$8=0,"",Roster!$AH$8)</f>
        <v/>
      </c>
      <c r="BF39" s="188"/>
      <c r="BG39" s="196" t="str">
        <f>IF(Roster!$AB$8=0,"",Roster!$AB$8)</f>
        <v/>
      </c>
      <c r="BH39" s="194"/>
    </row>
    <row r="40" spans="1:60" ht="4.5" customHeight="1">
      <c r="A40" s="2"/>
      <c r="B40" s="241"/>
      <c r="C40" s="188"/>
      <c r="D40" s="197"/>
      <c r="E40" s="188"/>
      <c r="F40" s="197"/>
      <c r="G40" s="188"/>
      <c r="H40" s="197"/>
      <c r="I40" s="188"/>
      <c r="J40" s="197"/>
      <c r="K40" s="188"/>
      <c r="L40" s="197"/>
      <c r="M40" s="188"/>
      <c r="N40" s="197"/>
      <c r="O40" s="194"/>
      <c r="P40" s="2"/>
      <c r="Q40" s="241"/>
      <c r="R40" s="188"/>
      <c r="S40" s="197"/>
      <c r="T40" s="188"/>
      <c r="U40" s="197"/>
      <c r="V40" s="188"/>
      <c r="W40" s="197"/>
      <c r="X40" s="188"/>
      <c r="Y40" s="197"/>
      <c r="Z40" s="188"/>
      <c r="AA40" s="197"/>
      <c r="AB40" s="188"/>
      <c r="AC40" s="197"/>
      <c r="AD40" s="194"/>
      <c r="AE40" s="2"/>
      <c r="AF40" s="241"/>
      <c r="AG40" s="188"/>
      <c r="AH40" s="197"/>
      <c r="AI40" s="188"/>
      <c r="AJ40" s="197"/>
      <c r="AK40" s="188"/>
      <c r="AL40" s="197"/>
      <c r="AM40" s="188"/>
      <c r="AN40" s="197"/>
      <c r="AO40" s="188"/>
      <c r="AP40" s="197"/>
      <c r="AQ40" s="188"/>
      <c r="AR40" s="197"/>
      <c r="AS40" s="194"/>
      <c r="AT40" s="2"/>
      <c r="AU40" s="241"/>
      <c r="AV40" s="188"/>
      <c r="AW40" s="197"/>
      <c r="AX40" s="188"/>
      <c r="AY40" s="197"/>
      <c r="AZ40" s="188"/>
      <c r="BA40" s="197"/>
      <c r="BB40" s="188"/>
      <c r="BC40" s="197"/>
      <c r="BD40" s="188"/>
      <c r="BE40" s="197"/>
      <c r="BF40" s="188"/>
      <c r="BG40" s="197"/>
      <c r="BH40" s="194"/>
    </row>
    <row r="41" spans="1:60" ht="11.25" customHeight="1">
      <c r="A41" s="2"/>
      <c r="B41" s="187" t="str">
        <f>IF(Roster!$N$1=0,"",Roster!$N$1)</f>
        <v>AV</v>
      </c>
      <c r="C41" s="187"/>
      <c r="D41" s="195" t="str">
        <f>IF(Roster!$AD$1=0,"",Roster!$AD$1)</f>
        <v>DEF</v>
      </c>
      <c r="E41" s="187"/>
      <c r="F41" s="195" t="str">
        <f>IF(Roster!$AE$1=0,"",Roster!$AE$1)</f>
        <v>INT</v>
      </c>
      <c r="G41" s="187"/>
      <c r="H41" s="195" t="str">
        <f>IF(Roster!$AA$1=0,"",Roster!$AA$1)</f>
        <v>SPE</v>
      </c>
      <c r="I41" s="187"/>
      <c r="J41" s="195" t="str">
        <f>IF(Roster!$AI$1=0,"",Roster!$AI$1)</f>
        <v>MVP</v>
      </c>
      <c r="K41" s="187"/>
      <c r="L41" s="195" t="s">
        <v>392</v>
      </c>
      <c r="M41" s="187"/>
      <c r="N41" s="198" t="str">
        <f>IF(Roster!$J$25="Español","LPP/RT",(IF(Roster!$J$25="Deutsch","VNS/AD",(IF(Roster!$J$25="Français","RPM/RT","MNG/TR")))))</f>
        <v>MNG/TR</v>
      </c>
      <c r="O41" s="183"/>
      <c r="P41" s="2"/>
      <c r="Q41" s="187" t="str">
        <f>IF(Roster!$N$1=0,"",Roster!$N$1)</f>
        <v>AV</v>
      </c>
      <c r="R41" s="187"/>
      <c r="S41" s="195" t="str">
        <f>IF(Roster!$AD$1=0,"",Roster!$AD$1)</f>
        <v>DEF</v>
      </c>
      <c r="T41" s="187"/>
      <c r="U41" s="195" t="str">
        <f>IF(Roster!$AE$1=0,"",Roster!$AE$1)</f>
        <v>INT</v>
      </c>
      <c r="V41" s="187"/>
      <c r="W41" s="195" t="str">
        <f>IF(Roster!$AA$1=0,"",Roster!$AA$1)</f>
        <v>SPE</v>
      </c>
      <c r="X41" s="187"/>
      <c r="Y41" s="195" t="str">
        <f>IF(Roster!$AI$1=0,"",Roster!$AI$1)</f>
        <v>MVP</v>
      </c>
      <c r="Z41" s="187"/>
      <c r="AA41" s="195" t="s">
        <v>392</v>
      </c>
      <c r="AB41" s="187"/>
      <c r="AC41" s="198" t="str">
        <f>IF(Roster!$J$25="Español","LPP/RT",(IF(Roster!$J$25="Deutsch","VNS/AD",(IF(Roster!$J$25="Français","RPM/RT","MNG/TR")))))</f>
        <v>MNG/TR</v>
      </c>
      <c r="AD41" s="183"/>
      <c r="AE41" s="2"/>
      <c r="AF41" s="187" t="str">
        <f>IF(Roster!$N$1=0,"",Roster!$N$1)</f>
        <v>AV</v>
      </c>
      <c r="AG41" s="187"/>
      <c r="AH41" s="195" t="str">
        <f>IF(Roster!$AD$1=0,"",Roster!$AD$1)</f>
        <v>DEF</v>
      </c>
      <c r="AI41" s="187"/>
      <c r="AJ41" s="195" t="str">
        <f>IF(Roster!$AE$1=0,"",Roster!$AE$1)</f>
        <v>INT</v>
      </c>
      <c r="AK41" s="187"/>
      <c r="AL41" s="195" t="str">
        <f>IF(Roster!$AA$1=0,"",Roster!$AA$1)</f>
        <v>SPE</v>
      </c>
      <c r="AM41" s="187"/>
      <c r="AN41" s="195" t="str">
        <f>IF(Roster!$AI$1=0,"",Roster!$AI$1)</f>
        <v>MVP</v>
      </c>
      <c r="AO41" s="187"/>
      <c r="AP41" s="195" t="s">
        <v>392</v>
      </c>
      <c r="AQ41" s="187"/>
      <c r="AR41" s="198" t="str">
        <f>IF(Roster!$J$25="Español","LPP/RT",(IF(Roster!$J$25="Deutsch","VNS/AD",(IF(Roster!$J$25="Français","RPM/RT","MNG/TR")))))</f>
        <v>MNG/TR</v>
      </c>
      <c r="AS41" s="183"/>
      <c r="AT41" s="2"/>
      <c r="AU41" s="187" t="str">
        <f>IF(Roster!$N$1=0,"",Roster!$N$1)</f>
        <v>AV</v>
      </c>
      <c r="AV41" s="187"/>
      <c r="AW41" s="195" t="str">
        <f>IF(Roster!$AD$1=0,"",Roster!$AD$1)</f>
        <v>DEF</v>
      </c>
      <c r="AX41" s="187"/>
      <c r="AY41" s="195" t="str">
        <f>IF(Roster!$AE$1=0,"",Roster!$AE$1)</f>
        <v>INT</v>
      </c>
      <c r="AZ41" s="187"/>
      <c r="BA41" s="195" t="str">
        <f>IF(Roster!$AA$1=0,"",Roster!$AA$1)</f>
        <v>SPE</v>
      </c>
      <c r="BB41" s="187"/>
      <c r="BC41" s="195" t="str">
        <f>IF(Roster!$AI$1=0,"",Roster!$AI$1)</f>
        <v>MVP</v>
      </c>
      <c r="BD41" s="187"/>
      <c r="BE41" s="195" t="s">
        <v>392</v>
      </c>
      <c r="BF41" s="187"/>
      <c r="BG41" s="198" t="str">
        <f>IF(Roster!$J$25="Español","LPP/RT",(IF(Roster!$J$25="Deutsch","VNS/AD",(IF(Roster!$J$25="Français","RPM/RT","MNG/TR")))))</f>
        <v>MNG/TR</v>
      </c>
      <c r="BH41" s="183"/>
    </row>
    <row r="42" spans="1:60" ht="15" customHeight="1">
      <c r="A42" s="2"/>
      <c r="B42" s="367" t="str">
        <f>IF(Roster!$N$5=0&amp;"+","",Roster!$N$5)</f>
        <v>6+</v>
      </c>
      <c r="C42" s="188"/>
      <c r="D42" s="196" t="str">
        <f>IF(Roster!$AD$5=0,"",Roster!$AD$5)</f>
        <v/>
      </c>
      <c r="E42" s="188"/>
      <c r="F42" s="196" t="str">
        <f>IF(Roster!$AE$5=0,"",Roster!$AE$5)</f>
        <v/>
      </c>
      <c r="G42" s="188"/>
      <c r="H42" s="196" t="str">
        <f>IF(Roster!$AA$5=0,"",Roster!$AA$5)</f>
        <v/>
      </c>
      <c r="I42" s="188"/>
      <c r="J42" s="196" t="str">
        <f>IF(Roster!$AI$5=0,"",Roster!$AI$5)</f>
        <v/>
      </c>
      <c r="K42" s="188"/>
      <c r="L42" s="196">
        <f>IF(Roster!$AJ$5=0,"",Roster!$AJ$5)</f>
        <v>2</v>
      </c>
      <c r="M42" s="188"/>
      <c r="N42" s="196" t="str">
        <f>IF(Roster!$Z$5=0,"",Roster!$Z$5)</f>
        <v/>
      </c>
      <c r="O42" s="199"/>
      <c r="P42" s="2"/>
      <c r="Q42" s="367" t="str">
        <f>IF(Roster!$N$6=0&amp;"+","",Roster!$N$6)</f>
        <v>6+</v>
      </c>
      <c r="R42" s="188"/>
      <c r="S42" s="196" t="str">
        <f>IF(Roster!$AD$6=0,"",Roster!$AD$6)</f>
        <v/>
      </c>
      <c r="T42" s="188"/>
      <c r="U42" s="196" t="str">
        <f>IF(Roster!$AE$6=0,"",Roster!$AE$6)</f>
        <v/>
      </c>
      <c r="V42" s="188"/>
      <c r="W42" s="196" t="str">
        <f>IF(Roster!$AA$6=0,"",Roster!$AA$6)</f>
        <v/>
      </c>
      <c r="X42" s="188"/>
      <c r="Y42" s="196" t="str">
        <f>IF(Roster!$AI$6=0,"",Roster!$AI$6)</f>
        <v/>
      </c>
      <c r="Z42" s="188"/>
      <c r="AA42" s="196" t="str">
        <f>IF(Roster!$AJ$6=0,"",Roster!$AJ$6)</f>
        <v/>
      </c>
      <c r="AB42" s="188"/>
      <c r="AC42" s="196" t="str">
        <f>IF(Roster!$Z$6=0,"",Roster!$Z$6)</f>
        <v/>
      </c>
      <c r="AD42" s="199"/>
      <c r="AE42" s="2"/>
      <c r="AF42" s="367" t="str">
        <f>IF(Roster!$N$7=0&amp;"+","",Roster!$N$7)</f>
        <v>6+</v>
      </c>
      <c r="AG42" s="188"/>
      <c r="AH42" s="196" t="str">
        <f>IF(Roster!$AD$7=0,"",Roster!$AD$7)</f>
        <v/>
      </c>
      <c r="AI42" s="188"/>
      <c r="AJ42" s="196" t="str">
        <f>IF(Roster!$AE$7=0,"",Roster!$AE$7)</f>
        <v/>
      </c>
      <c r="AK42" s="188"/>
      <c r="AL42" s="196" t="str">
        <f>IF(Roster!$AA$7=0,"",Roster!$AA$7)</f>
        <v/>
      </c>
      <c r="AM42" s="188"/>
      <c r="AN42" s="196" t="str">
        <f>IF(Roster!$AI$7=0,"",Roster!$AI$7)</f>
        <v/>
      </c>
      <c r="AO42" s="188"/>
      <c r="AP42" s="196" t="str">
        <f>IF(Roster!$AJ$7=0,"",Roster!$AJ$7)</f>
        <v/>
      </c>
      <c r="AQ42" s="188"/>
      <c r="AR42" s="196" t="str">
        <f>IF(Roster!$Z$7=0,"",Roster!$Z$7)</f>
        <v/>
      </c>
      <c r="AS42" s="199"/>
      <c r="AT42" s="2"/>
      <c r="AU42" s="367" t="str">
        <f>IF(Roster!$N$8=0&amp;"+","",Roster!$N$8)</f>
        <v>9+</v>
      </c>
      <c r="AV42" s="188"/>
      <c r="AW42" s="196" t="str">
        <f>IF(Roster!$AD$8=0,"",Roster!$AD$8)</f>
        <v/>
      </c>
      <c r="AX42" s="188"/>
      <c r="AY42" s="196" t="str">
        <f>IF(Roster!$AE$8=0,"",Roster!$AE$8)</f>
        <v/>
      </c>
      <c r="AZ42" s="188"/>
      <c r="BA42" s="196" t="str">
        <f>IF(Roster!$AA$8=0,"",Roster!$AA$8)</f>
        <v/>
      </c>
      <c r="BB42" s="188"/>
      <c r="BC42" s="196" t="str">
        <f>IF(Roster!$AI$8=0,"",Roster!$AI$8)</f>
        <v/>
      </c>
      <c r="BD42" s="188"/>
      <c r="BE42" s="196" t="str">
        <f>IF(Roster!$AJ$8=0,"",Roster!$AJ$8)</f>
        <v/>
      </c>
      <c r="BF42" s="188"/>
      <c r="BG42" s="196" t="str">
        <f>IF(Roster!$Z$8=0,"",Roster!$Z$8)</f>
        <v/>
      </c>
      <c r="BH42" s="199"/>
    </row>
    <row r="43" spans="1:60" ht="4.5" customHeight="1">
      <c r="A43" s="2"/>
      <c r="B43" s="240"/>
      <c r="C43" s="188"/>
      <c r="D43" s="188"/>
      <c r="E43" s="188"/>
      <c r="F43" s="188"/>
      <c r="G43" s="188"/>
      <c r="H43" s="188"/>
      <c r="I43" s="188"/>
      <c r="J43" s="188"/>
      <c r="K43" s="188"/>
      <c r="L43" s="188"/>
      <c r="M43" s="188"/>
      <c r="N43" s="194"/>
      <c r="O43" s="199"/>
      <c r="P43" s="2"/>
      <c r="Q43" s="240"/>
      <c r="R43" s="188"/>
      <c r="S43" s="188"/>
      <c r="T43" s="188"/>
      <c r="U43" s="188"/>
      <c r="V43" s="188"/>
      <c r="W43" s="188"/>
      <c r="X43" s="188"/>
      <c r="Y43" s="188"/>
      <c r="Z43" s="188"/>
      <c r="AA43" s="188"/>
      <c r="AB43" s="188"/>
      <c r="AC43" s="194"/>
      <c r="AD43" s="199"/>
      <c r="AE43" s="2"/>
      <c r="AF43" s="240"/>
      <c r="AG43" s="188"/>
      <c r="AH43" s="188"/>
      <c r="AI43" s="188"/>
      <c r="AJ43" s="188"/>
      <c r="AK43" s="188"/>
      <c r="AL43" s="188"/>
      <c r="AM43" s="188"/>
      <c r="AN43" s="188"/>
      <c r="AO43" s="188"/>
      <c r="AP43" s="188"/>
      <c r="AQ43" s="188"/>
      <c r="AR43" s="194"/>
      <c r="AS43" s="199"/>
      <c r="AT43" s="2"/>
      <c r="AU43" s="240"/>
      <c r="AV43" s="188"/>
      <c r="AW43" s="188"/>
      <c r="AX43" s="188"/>
      <c r="AY43" s="188"/>
      <c r="AZ43" s="188"/>
      <c r="BA43" s="188"/>
      <c r="BB43" s="188"/>
      <c r="BC43" s="188"/>
      <c r="BD43" s="188"/>
      <c r="BE43" s="188"/>
      <c r="BF43" s="188"/>
      <c r="BG43" s="194"/>
      <c r="BH43" s="199"/>
    </row>
    <row r="44" spans="1:60" ht="11.25" customHeight="1">
      <c r="A44" s="2"/>
      <c r="B44" s="240"/>
      <c r="C44" s="188"/>
      <c r="D44" s="353" t="str">
        <f>IF(Roster!$J$25="Italiano","ABILITÀ &amp; TRATTI",(IF(Roster!$J$25="Español","HABILIDADES Y RASGOS","SKILLS &amp; TRAITS")))</f>
        <v>ABILITÀ &amp; TRATTI</v>
      </c>
      <c r="E44" s="243"/>
      <c r="F44" s="243"/>
      <c r="G44" s="243"/>
      <c r="H44" s="243"/>
      <c r="I44" s="243"/>
      <c r="J44" s="243"/>
      <c r="K44" s="243"/>
      <c r="L44" s="243"/>
      <c r="M44" s="243"/>
      <c r="N44" s="244"/>
      <c r="O44" s="199"/>
      <c r="P44" s="2"/>
      <c r="Q44" s="240"/>
      <c r="R44" s="188"/>
      <c r="S44" s="353" t="str">
        <f>IF(Roster!$J$25="Italiano","ABILITÀ &amp; TRATTI",(IF(Roster!$J$25="Español","HABILIDADES Y RASGOS","SKILLS &amp; TRAITS")))</f>
        <v>ABILITÀ &amp; TRATTI</v>
      </c>
      <c r="T44" s="243"/>
      <c r="U44" s="243"/>
      <c r="V44" s="243"/>
      <c r="W44" s="243"/>
      <c r="X44" s="243"/>
      <c r="Y44" s="243"/>
      <c r="Z44" s="243"/>
      <c r="AA44" s="243"/>
      <c r="AB44" s="243"/>
      <c r="AC44" s="244"/>
      <c r="AD44" s="199"/>
      <c r="AE44" s="2"/>
      <c r="AF44" s="240"/>
      <c r="AG44" s="188"/>
      <c r="AH44" s="353" t="str">
        <f>IF(Roster!$J$25="Italiano","ABILITÀ &amp; TRATTI",(IF(Roster!$J$25="Español","HABILIDADES Y RASGOS","SKILLS &amp; TRAITS")))</f>
        <v>ABILITÀ &amp; TRATTI</v>
      </c>
      <c r="AI44" s="243"/>
      <c r="AJ44" s="243"/>
      <c r="AK44" s="243"/>
      <c r="AL44" s="243"/>
      <c r="AM44" s="243"/>
      <c r="AN44" s="243"/>
      <c r="AO44" s="243"/>
      <c r="AP44" s="243"/>
      <c r="AQ44" s="243"/>
      <c r="AR44" s="244"/>
      <c r="AS44" s="199"/>
      <c r="AT44" s="2"/>
      <c r="AU44" s="240"/>
      <c r="AV44" s="188"/>
      <c r="AW44" s="353" t="str">
        <f>IF(Roster!$J$25="Italiano","ABILITÀ &amp; TRATTI",(IF(Roster!$J$25="Español","HABILIDADES Y RASGOS","SKILLS &amp; TRAITS")))</f>
        <v>ABILITÀ &amp; TRATTI</v>
      </c>
      <c r="AX44" s="243"/>
      <c r="AY44" s="243"/>
      <c r="AZ44" s="243"/>
      <c r="BA44" s="243"/>
      <c r="BB44" s="243"/>
      <c r="BC44" s="243"/>
      <c r="BD44" s="243"/>
      <c r="BE44" s="243"/>
      <c r="BF44" s="243"/>
      <c r="BG44" s="244"/>
      <c r="BH44" s="199"/>
    </row>
    <row r="45" spans="1:60" ht="6.75" customHeight="1">
      <c r="A45" s="2"/>
      <c r="B45" s="241"/>
      <c r="C45" s="188"/>
      <c r="D45" s="363" t="str">
        <f>IF(Roster!$O$5=0&amp;BF5,"",Roster!$O$5)</f>
        <v>Dodge, Pogo Stick, Right Stuff, Side Step, Stunty</v>
      </c>
      <c r="E45" s="356"/>
      <c r="F45" s="356"/>
      <c r="G45" s="356"/>
      <c r="H45" s="356"/>
      <c r="I45" s="356"/>
      <c r="J45" s="356"/>
      <c r="K45" s="356"/>
      <c r="L45" s="356"/>
      <c r="M45" s="356"/>
      <c r="N45" s="357"/>
      <c r="O45" s="199"/>
      <c r="P45" s="2"/>
      <c r="Q45" s="241"/>
      <c r="R45" s="188"/>
      <c r="S45" s="363" t="str">
        <f>IF(Roster!$O$6=0&amp;BF6,"",Roster!$O$6)</f>
        <v>Dodge, Right Stuff, Side Step, Sprint, Stunty</v>
      </c>
      <c r="T45" s="356"/>
      <c r="U45" s="356"/>
      <c r="V45" s="356"/>
      <c r="W45" s="356"/>
      <c r="X45" s="356"/>
      <c r="Y45" s="356"/>
      <c r="Z45" s="356"/>
      <c r="AA45" s="356"/>
      <c r="AB45" s="356"/>
      <c r="AC45" s="357"/>
      <c r="AD45" s="199"/>
      <c r="AE45" s="2"/>
      <c r="AF45" s="241"/>
      <c r="AG45" s="188"/>
      <c r="AH45" s="363" t="str">
        <f>IF(Roster!$O$7=0&amp;BF7,"",Roster!$O$7)</f>
        <v>Dodge, Right Stuff, Side Step, Sprint, Stunty</v>
      </c>
      <c r="AI45" s="356"/>
      <c r="AJ45" s="356"/>
      <c r="AK45" s="356"/>
      <c r="AL45" s="356"/>
      <c r="AM45" s="356"/>
      <c r="AN45" s="356"/>
      <c r="AO45" s="356"/>
      <c r="AP45" s="356"/>
      <c r="AQ45" s="356"/>
      <c r="AR45" s="357"/>
      <c r="AS45" s="199"/>
      <c r="AT45" s="2"/>
      <c r="AU45" s="241"/>
      <c r="AV45" s="188"/>
      <c r="AW45" s="363" t="str">
        <f>IF(Roster!$O$8=0&amp;BF8,"",Roster!$O$8)</f>
        <v>Dirty Player (+1), Juggernaut, Mighty Blow (+1), Really Stupid, Secret Weapon, Stand Firm</v>
      </c>
      <c r="AX45" s="356"/>
      <c r="AY45" s="356"/>
      <c r="AZ45" s="356"/>
      <c r="BA45" s="356"/>
      <c r="BB45" s="356"/>
      <c r="BC45" s="356"/>
      <c r="BD45" s="356"/>
      <c r="BE45" s="356"/>
      <c r="BF45" s="356"/>
      <c r="BG45" s="357"/>
      <c r="BH45" s="199"/>
    </row>
    <row r="46" spans="1:60" ht="11.25" customHeight="1">
      <c r="A46" s="2"/>
      <c r="B46" s="187" t="str">
        <f>IF(Roster!$AN$1=0,"",Roster!$AN$1)</f>
        <v>COSTO</v>
      </c>
      <c r="C46" s="187"/>
      <c r="D46" s="358"/>
      <c r="E46" s="277"/>
      <c r="F46" s="277"/>
      <c r="G46" s="277"/>
      <c r="H46" s="277"/>
      <c r="I46" s="277"/>
      <c r="J46" s="277"/>
      <c r="K46" s="277"/>
      <c r="L46" s="277"/>
      <c r="M46" s="277"/>
      <c r="N46" s="336"/>
      <c r="O46" s="200"/>
      <c r="P46" s="2"/>
      <c r="Q46" s="187" t="str">
        <f>IF(Roster!$AN$1=0,"",Roster!$AN$1)</f>
        <v>COSTO</v>
      </c>
      <c r="R46" s="187"/>
      <c r="S46" s="358"/>
      <c r="T46" s="277"/>
      <c r="U46" s="277"/>
      <c r="V46" s="277"/>
      <c r="W46" s="277"/>
      <c r="X46" s="277"/>
      <c r="Y46" s="277"/>
      <c r="Z46" s="277"/>
      <c r="AA46" s="277"/>
      <c r="AB46" s="277"/>
      <c r="AC46" s="336"/>
      <c r="AD46" s="200"/>
      <c r="AE46" s="2"/>
      <c r="AF46" s="187" t="str">
        <f>IF(Roster!$AN$1=0,"",Roster!$AN$1)</f>
        <v>COSTO</v>
      </c>
      <c r="AG46" s="187"/>
      <c r="AH46" s="358"/>
      <c r="AI46" s="277"/>
      <c r="AJ46" s="277"/>
      <c r="AK46" s="277"/>
      <c r="AL46" s="277"/>
      <c r="AM46" s="277"/>
      <c r="AN46" s="277"/>
      <c r="AO46" s="277"/>
      <c r="AP46" s="277"/>
      <c r="AQ46" s="277"/>
      <c r="AR46" s="336"/>
      <c r="AS46" s="200"/>
      <c r="AT46" s="2"/>
      <c r="AU46" s="187" t="str">
        <f>IF(Roster!$AN$1=0,"",Roster!$AN$1)</f>
        <v>COSTO</v>
      </c>
      <c r="AV46" s="187"/>
      <c r="AW46" s="358"/>
      <c r="AX46" s="277"/>
      <c r="AY46" s="277"/>
      <c r="AZ46" s="277"/>
      <c r="BA46" s="277"/>
      <c r="BB46" s="277"/>
      <c r="BC46" s="277"/>
      <c r="BD46" s="277"/>
      <c r="BE46" s="277"/>
      <c r="BF46" s="277"/>
      <c r="BG46" s="336"/>
      <c r="BH46" s="200"/>
    </row>
    <row r="47" spans="1:60" ht="34.5" customHeight="1">
      <c r="A47" s="2"/>
      <c r="B47" s="202">
        <f>IF(Roster!$AN$5=0,"",Roster!$AN$5)</f>
        <v>20000</v>
      </c>
      <c r="C47" s="203"/>
      <c r="D47" s="359"/>
      <c r="E47" s="360"/>
      <c r="F47" s="360"/>
      <c r="G47" s="360"/>
      <c r="H47" s="360"/>
      <c r="I47" s="360"/>
      <c r="J47" s="360"/>
      <c r="K47" s="360"/>
      <c r="L47" s="360"/>
      <c r="M47" s="360"/>
      <c r="N47" s="361"/>
      <c r="O47" s="200"/>
      <c r="P47" s="2"/>
      <c r="Q47" s="202">
        <f>IF(Roster!$AN$6=0,"",Roster!$AN$6)</f>
        <v>20000</v>
      </c>
      <c r="R47" s="203"/>
      <c r="S47" s="359"/>
      <c r="T47" s="360"/>
      <c r="U47" s="360"/>
      <c r="V47" s="360"/>
      <c r="W47" s="360"/>
      <c r="X47" s="360"/>
      <c r="Y47" s="360"/>
      <c r="Z47" s="360"/>
      <c r="AA47" s="360"/>
      <c r="AB47" s="360"/>
      <c r="AC47" s="361"/>
      <c r="AD47" s="200"/>
      <c r="AE47" s="2"/>
      <c r="AF47" s="202">
        <f>IF(Roster!$AN$7=0,"",Roster!$AN$7)</f>
        <v>20000</v>
      </c>
      <c r="AG47" s="203"/>
      <c r="AH47" s="359"/>
      <c r="AI47" s="360"/>
      <c r="AJ47" s="360"/>
      <c r="AK47" s="360"/>
      <c r="AL47" s="360"/>
      <c r="AM47" s="360"/>
      <c r="AN47" s="360"/>
      <c r="AO47" s="360"/>
      <c r="AP47" s="360"/>
      <c r="AQ47" s="360"/>
      <c r="AR47" s="361"/>
      <c r="AS47" s="200"/>
      <c r="AT47" s="2"/>
      <c r="AU47" s="202">
        <f>IF(Roster!$AN$8=0,"",Roster!$AN$8)</f>
        <v>105000</v>
      </c>
      <c r="AV47" s="203"/>
      <c r="AW47" s="359"/>
      <c r="AX47" s="360"/>
      <c r="AY47" s="360"/>
      <c r="AZ47" s="360"/>
      <c r="BA47" s="360"/>
      <c r="BB47" s="360"/>
      <c r="BC47" s="360"/>
      <c r="BD47" s="360"/>
      <c r="BE47" s="360"/>
      <c r="BF47" s="360"/>
      <c r="BG47" s="361"/>
      <c r="BH47" s="200"/>
    </row>
    <row r="48" spans="1:60" ht="4.5" customHeight="1">
      <c r="A48" s="2"/>
      <c r="B48" s="183"/>
      <c r="C48" s="183"/>
      <c r="D48" s="183"/>
      <c r="E48" s="183"/>
      <c r="F48" s="183"/>
      <c r="G48" s="183"/>
      <c r="H48" s="183"/>
      <c r="I48" s="183"/>
      <c r="J48" s="183"/>
      <c r="K48" s="183"/>
      <c r="L48" s="183"/>
      <c r="M48" s="183"/>
      <c r="N48" s="200"/>
      <c r="O48" s="200"/>
      <c r="P48" s="2"/>
      <c r="Q48" s="183"/>
      <c r="R48" s="183"/>
      <c r="S48" s="183"/>
      <c r="T48" s="183"/>
      <c r="U48" s="183"/>
      <c r="V48" s="183"/>
      <c r="W48" s="183"/>
      <c r="X48" s="183"/>
      <c r="Y48" s="183"/>
      <c r="Z48" s="183"/>
      <c r="AA48" s="183"/>
      <c r="AB48" s="183"/>
      <c r="AC48" s="200"/>
      <c r="AD48" s="200"/>
      <c r="AE48" s="2"/>
      <c r="AF48" s="183"/>
      <c r="AG48" s="183"/>
      <c r="AH48" s="183"/>
      <c r="AI48" s="183"/>
      <c r="AJ48" s="183"/>
      <c r="AK48" s="183"/>
      <c r="AL48" s="183"/>
      <c r="AM48" s="183"/>
      <c r="AN48" s="183"/>
      <c r="AO48" s="183"/>
      <c r="AP48" s="183"/>
      <c r="AQ48" s="183"/>
      <c r="AR48" s="200"/>
      <c r="AS48" s="200"/>
      <c r="AT48" s="2"/>
      <c r="AU48" s="183"/>
      <c r="AV48" s="183"/>
      <c r="AW48" s="183"/>
      <c r="AX48" s="183"/>
      <c r="AY48" s="183"/>
      <c r="AZ48" s="183"/>
      <c r="BA48" s="183"/>
      <c r="BB48" s="183"/>
      <c r="BC48" s="183"/>
      <c r="BD48" s="183"/>
      <c r="BE48" s="183"/>
      <c r="BF48" s="183"/>
      <c r="BG48" s="200"/>
      <c r="BH48" s="200"/>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69" t="str">
        <f>IF(Roster!$A$9=0,"","#"&amp;Roster!$A$9)</f>
        <v>#8</v>
      </c>
      <c r="C50" s="183"/>
      <c r="D50" s="183"/>
      <c r="E50" s="183"/>
      <c r="F50" s="183"/>
      <c r="G50" s="183"/>
      <c r="H50" s="183"/>
      <c r="I50" s="183"/>
      <c r="J50" s="183"/>
      <c r="K50" s="183"/>
      <c r="L50" s="183"/>
      <c r="M50" s="183"/>
      <c r="N50" s="183"/>
      <c r="O50" s="183"/>
      <c r="P50" s="2"/>
      <c r="Q50" s="369" t="str">
        <f>IF(Roster!$A$10=0,"","#"&amp;Roster!$A$10)</f>
        <v>#9</v>
      </c>
      <c r="R50" s="183"/>
      <c r="S50" s="183"/>
      <c r="T50" s="183"/>
      <c r="U50" s="183"/>
      <c r="V50" s="183"/>
      <c r="W50" s="183"/>
      <c r="X50" s="183"/>
      <c r="Y50" s="183"/>
      <c r="Z50" s="183"/>
      <c r="AA50" s="183"/>
      <c r="AB50" s="183"/>
      <c r="AC50" s="183"/>
      <c r="AD50" s="183"/>
      <c r="AE50" s="2"/>
      <c r="AF50" s="369" t="str">
        <f>IF(Roster!$A$11=0,"","#"&amp;Roster!$A$11)</f>
        <v>#10</v>
      </c>
      <c r="AG50" s="183"/>
      <c r="AH50" s="183"/>
      <c r="AI50" s="183"/>
      <c r="AJ50" s="183"/>
      <c r="AK50" s="183"/>
      <c r="AL50" s="183"/>
      <c r="AM50" s="183"/>
      <c r="AN50" s="183"/>
      <c r="AO50" s="183"/>
      <c r="AP50" s="183"/>
      <c r="AQ50" s="183"/>
      <c r="AR50" s="183"/>
      <c r="AS50" s="183"/>
      <c r="AT50" s="2"/>
      <c r="AU50" s="369" t="str">
        <f>IF(Roster!$A$12=0,"","#"&amp;Roster!$A$12)</f>
        <v>#11</v>
      </c>
      <c r="AV50" s="183"/>
      <c r="AW50" s="183"/>
      <c r="AX50" s="183"/>
      <c r="AY50" s="183"/>
      <c r="AZ50" s="183"/>
      <c r="BA50" s="183"/>
      <c r="BB50" s="183"/>
      <c r="BC50" s="183"/>
      <c r="BD50" s="183"/>
      <c r="BE50" s="183"/>
      <c r="BF50" s="183"/>
      <c r="BG50" s="183"/>
      <c r="BH50" s="183"/>
    </row>
    <row r="51" spans="1:60" ht="15" customHeight="1">
      <c r="A51" s="2"/>
      <c r="B51" s="240"/>
      <c r="C51" s="354" t="str">
        <f>IF(Roster!$B$9=0,"",Roster!$B$9)</f>
        <v>Ultramegabloodcutter</v>
      </c>
      <c r="D51" s="243"/>
      <c r="E51" s="243"/>
      <c r="F51" s="243"/>
      <c r="G51" s="243"/>
      <c r="H51" s="243"/>
      <c r="I51" s="243"/>
      <c r="J51" s="243"/>
      <c r="K51" s="243"/>
      <c r="L51" s="243"/>
      <c r="M51" s="243"/>
      <c r="N51" s="244"/>
      <c r="O51" s="183"/>
      <c r="P51" s="2"/>
      <c r="Q51" s="240"/>
      <c r="R51" s="354" t="str">
        <f>IF(Roster!$B$10=0,"",Roster!$B$10)</f>
        <v>Boh</v>
      </c>
      <c r="S51" s="243"/>
      <c r="T51" s="243"/>
      <c r="U51" s="243"/>
      <c r="V51" s="243"/>
      <c r="W51" s="243"/>
      <c r="X51" s="243"/>
      <c r="Y51" s="243"/>
      <c r="Z51" s="243"/>
      <c r="AA51" s="243"/>
      <c r="AB51" s="243"/>
      <c r="AC51" s="244"/>
      <c r="AD51" s="183"/>
      <c r="AE51" s="2"/>
      <c r="AF51" s="240"/>
      <c r="AG51" s="354" t="str">
        <f>IF(Roster!$B$11=0,"",Roster!$B$11)</f>
        <v>Embè</v>
      </c>
      <c r="AH51" s="243"/>
      <c r="AI51" s="243"/>
      <c r="AJ51" s="243"/>
      <c r="AK51" s="243"/>
      <c r="AL51" s="243"/>
      <c r="AM51" s="243"/>
      <c r="AN51" s="243"/>
      <c r="AO51" s="243"/>
      <c r="AP51" s="243"/>
      <c r="AQ51" s="243"/>
      <c r="AR51" s="244"/>
      <c r="AS51" s="183"/>
      <c r="AT51" s="2"/>
      <c r="AU51" s="240"/>
      <c r="AV51" s="354" t="str">
        <f>IF(Roster!$B$12=0,"",Roster!$B$12)</f>
        <v>Gulp</v>
      </c>
      <c r="AW51" s="243"/>
      <c r="AX51" s="243"/>
      <c r="AY51" s="243"/>
      <c r="AZ51" s="243"/>
      <c r="BA51" s="243"/>
      <c r="BB51" s="243"/>
      <c r="BC51" s="243"/>
      <c r="BD51" s="243"/>
      <c r="BE51" s="243"/>
      <c r="BF51" s="243"/>
      <c r="BG51" s="244"/>
      <c r="BH51" s="183"/>
    </row>
    <row r="52" spans="1:60" ht="11.25" customHeight="1">
      <c r="A52" s="2"/>
      <c r="B52" s="241"/>
      <c r="C52" s="370" t="str">
        <f>IF(Roster!$C$9=0,"",Roster!$C$9)</f>
        <v>Pump Wagon</v>
      </c>
      <c r="D52" s="243"/>
      <c r="E52" s="243"/>
      <c r="F52" s="243"/>
      <c r="G52" s="243"/>
      <c r="H52" s="243"/>
      <c r="I52" s="243"/>
      <c r="J52" s="243"/>
      <c r="K52" s="243"/>
      <c r="L52" s="243"/>
      <c r="M52" s="243"/>
      <c r="N52" s="244"/>
      <c r="O52" s="184"/>
      <c r="P52" s="2"/>
      <c r="Q52" s="241"/>
      <c r="R52" s="370" t="str">
        <f>IF(Roster!$C$10=0,"",Roster!$C$10)</f>
        <v>Trained Troll</v>
      </c>
      <c r="S52" s="243"/>
      <c r="T52" s="243"/>
      <c r="U52" s="243"/>
      <c r="V52" s="243"/>
      <c r="W52" s="243"/>
      <c r="X52" s="243"/>
      <c r="Y52" s="243"/>
      <c r="Z52" s="243"/>
      <c r="AA52" s="243"/>
      <c r="AB52" s="243"/>
      <c r="AC52" s="244"/>
      <c r="AD52" s="184"/>
      <c r="AE52" s="2"/>
      <c r="AF52" s="241"/>
      <c r="AG52" s="370" t="str">
        <f>IF(Roster!$C$11=0,"",Roster!$C$11)</f>
        <v>Trained Troll</v>
      </c>
      <c r="AH52" s="243"/>
      <c r="AI52" s="243"/>
      <c r="AJ52" s="243"/>
      <c r="AK52" s="243"/>
      <c r="AL52" s="243"/>
      <c r="AM52" s="243"/>
      <c r="AN52" s="243"/>
      <c r="AO52" s="243"/>
      <c r="AP52" s="243"/>
      <c r="AQ52" s="243"/>
      <c r="AR52" s="244"/>
      <c r="AS52" s="184"/>
      <c r="AT52" s="2"/>
      <c r="AU52" s="241"/>
      <c r="AV52" s="370" t="str">
        <f>IF(Roster!$C$12=0,"",Roster!$C$12)</f>
        <v>Snotling</v>
      </c>
      <c r="AW52" s="243"/>
      <c r="AX52" s="243"/>
      <c r="AY52" s="243"/>
      <c r="AZ52" s="243"/>
      <c r="BA52" s="243"/>
      <c r="BB52" s="243"/>
      <c r="BC52" s="243"/>
      <c r="BD52" s="243"/>
      <c r="BE52" s="243"/>
      <c r="BF52" s="243"/>
      <c r="BG52" s="244"/>
      <c r="BH52" s="184"/>
    </row>
    <row r="53" spans="1:60" ht="11.25" customHeight="1">
      <c r="A53" s="2"/>
      <c r="B53" s="187" t="str">
        <f>IF(Roster!$J$1=0,"",Roster!$J$1)</f>
        <v>MA</v>
      </c>
      <c r="C53" s="186"/>
      <c r="D53" s="368"/>
      <c r="E53" s="277"/>
      <c r="F53" s="277"/>
      <c r="G53" s="277"/>
      <c r="H53" s="277"/>
      <c r="I53" s="277"/>
      <c r="J53" s="277"/>
      <c r="K53" s="277"/>
      <c r="L53" s="277"/>
      <c r="M53" s="277"/>
      <c r="N53" s="277"/>
      <c r="O53" s="183"/>
      <c r="P53" s="2"/>
      <c r="Q53" s="187" t="str">
        <f>IF(Roster!$J$1=0,"",Roster!$J$1)</f>
        <v>MA</v>
      </c>
      <c r="R53" s="186"/>
      <c r="S53" s="368"/>
      <c r="T53" s="277"/>
      <c r="U53" s="277"/>
      <c r="V53" s="277"/>
      <c r="W53" s="277"/>
      <c r="X53" s="277"/>
      <c r="Y53" s="277"/>
      <c r="Z53" s="277"/>
      <c r="AA53" s="277"/>
      <c r="AB53" s="277"/>
      <c r="AC53" s="277"/>
      <c r="AD53" s="183"/>
      <c r="AE53" s="2"/>
      <c r="AF53" s="187" t="str">
        <f>IF(Roster!$J$1=0,"",Roster!$J$1)</f>
        <v>MA</v>
      </c>
      <c r="AG53" s="186"/>
      <c r="AH53" s="368"/>
      <c r="AI53" s="277"/>
      <c r="AJ53" s="277"/>
      <c r="AK53" s="277"/>
      <c r="AL53" s="277"/>
      <c r="AM53" s="277"/>
      <c r="AN53" s="277"/>
      <c r="AO53" s="277"/>
      <c r="AP53" s="277"/>
      <c r="AQ53" s="277"/>
      <c r="AR53" s="277"/>
      <c r="AS53" s="183"/>
      <c r="AT53" s="2"/>
      <c r="AU53" s="187" t="str">
        <f>IF(Roster!$J$1=0,"",Roster!$J$1)</f>
        <v>MA</v>
      </c>
      <c r="AV53" s="186"/>
      <c r="AW53" s="368"/>
      <c r="AX53" s="277"/>
      <c r="AY53" s="277"/>
      <c r="AZ53" s="277"/>
      <c r="BA53" s="277"/>
      <c r="BB53" s="277"/>
      <c r="BC53" s="277"/>
      <c r="BD53" s="277"/>
      <c r="BE53" s="277"/>
      <c r="BF53" s="277"/>
      <c r="BG53" s="277"/>
      <c r="BH53" s="183"/>
    </row>
    <row r="54" spans="1:60" ht="37.5" customHeight="1">
      <c r="A54" s="2"/>
      <c r="B54" s="189">
        <f>IF(Roster!$J$9=0,"",Roster!$J$9)</f>
        <v>4</v>
      </c>
      <c r="C54" s="186"/>
      <c r="D54" s="277"/>
      <c r="E54" s="277"/>
      <c r="F54" s="277"/>
      <c r="G54" s="277"/>
      <c r="H54" s="277"/>
      <c r="I54" s="277"/>
      <c r="J54" s="277"/>
      <c r="K54" s="277"/>
      <c r="L54" s="277"/>
      <c r="M54" s="277"/>
      <c r="N54" s="277"/>
      <c r="O54" s="183"/>
      <c r="P54" s="2"/>
      <c r="Q54" s="189">
        <f>IF(Roster!$J$10=0,"",Roster!$J$10)</f>
        <v>4</v>
      </c>
      <c r="R54" s="186"/>
      <c r="S54" s="277"/>
      <c r="T54" s="277"/>
      <c r="U54" s="277"/>
      <c r="V54" s="277"/>
      <c r="W54" s="277"/>
      <c r="X54" s="277"/>
      <c r="Y54" s="277"/>
      <c r="Z54" s="277"/>
      <c r="AA54" s="277"/>
      <c r="AB54" s="277"/>
      <c r="AC54" s="277"/>
      <c r="AD54" s="183"/>
      <c r="AE54" s="2"/>
      <c r="AF54" s="189">
        <f>IF(Roster!$J$11=0,"",Roster!$J$11)</f>
        <v>4</v>
      </c>
      <c r="AG54" s="186"/>
      <c r="AH54" s="277"/>
      <c r="AI54" s="277"/>
      <c r="AJ54" s="277"/>
      <c r="AK54" s="277"/>
      <c r="AL54" s="277"/>
      <c r="AM54" s="277"/>
      <c r="AN54" s="277"/>
      <c r="AO54" s="277"/>
      <c r="AP54" s="277"/>
      <c r="AQ54" s="277"/>
      <c r="AR54" s="277"/>
      <c r="AS54" s="183"/>
      <c r="AT54" s="2"/>
      <c r="AU54" s="189">
        <f>IF(Roster!$J$12=0,"",Roster!$J$12)</f>
        <v>5</v>
      </c>
      <c r="AV54" s="186"/>
      <c r="AW54" s="277"/>
      <c r="AX54" s="277"/>
      <c r="AY54" s="277"/>
      <c r="AZ54" s="277"/>
      <c r="BA54" s="277"/>
      <c r="BB54" s="277"/>
      <c r="BC54" s="277"/>
      <c r="BD54" s="277"/>
      <c r="BE54" s="277"/>
      <c r="BF54" s="277"/>
      <c r="BG54" s="277"/>
      <c r="BH54" s="183"/>
    </row>
    <row r="55" spans="1:60" ht="11.25" customHeight="1">
      <c r="A55" s="2"/>
      <c r="B55" s="187" t="str">
        <f>IF(Roster!$K$1=0,"",Roster!$K$1)</f>
        <v>ST</v>
      </c>
      <c r="C55" s="186"/>
      <c r="D55" s="277"/>
      <c r="E55" s="277"/>
      <c r="F55" s="277"/>
      <c r="G55" s="277"/>
      <c r="H55" s="277"/>
      <c r="I55" s="277"/>
      <c r="J55" s="277"/>
      <c r="K55" s="277"/>
      <c r="L55" s="277"/>
      <c r="M55" s="277"/>
      <c r="N55" s="277"/>
      <c r="O55" s="183"/>
      <c r="P55" s="2"/>
      <c r="Q55" s="187" t="str">
        <f>IF(Roster!$K$1=0,"",Roster!$K$1)</f>
        <v>ST</v>
      </c>
      <c r="R55" s="186"/>
      <c r="S55" s="277"/>
      <c r="T55" s="277"/>
      <c r="U55" s="277"/>
      <c r="V55" s="277"/>
      <c r="W55" s="277"/>
      <c r="X55" s="277"/>
      <c r="Y55" s="277"/>
      <c r="Z55" s="277"/>
      <c r="AA55" s="277"/>
      <c r="AB55" s="277"/>
      <c r="AC55" s="277"/>
      <c r="AD55" s="183"/>
      <c r="AE55" s="2"/>
      <c r="AF55" s="187" t="str">
        <f>IF(Roster!$K$1=0,"",Roster!$K$1)</f>
        <v>ST</v>
      </c>
      <c r="AG55" s="186"/>
      <c r="AH55" s="277"/>
      <c r="AI55" s="277"/>
      <c r="AJ55" s="277"/>
      <c r="AK55" s="277"/>
      <c r="AL55" s="277"/>
      <c r="AM55" s="277"/>
      <c r="AN55" s="277"/>
      <c r="AO55" s="277"/>
      <c r="AP55" s="277"/>
      <c r="AQ55" s="277"/>
      <c r="AR55" s="277"/>
      <c r="AS55" s="183"/>
      <c r="AT55" s="2"/>
      <c r="AU55" s="187" t="str">
        <f>IF(Roster!$K$1=0,"",Roster!$K$1)</f>
        <v>ST</v>
      </c>
      <c r="AV55" s="186"/>
      <c r="AW55" s="277"/>
      <c r="AX55" s="277"/>
      <c r="AY55" s="277"/>
      <c r="AZ55" s="277"/>
      <c r="BA55" s="277"/>
      <c r="BB55" s="277"/>
      <c r="BC55" s="277"/>
      <c r="BD55" s="277"/>
      <c r="BE55" s="277"/>
      <c r="BF55" s="277"/>
      <c r="BG55" s="277"/>
      <c r="BH55" s="183"/>
    </row>
    <row r="56" spans="1:60" ht="37.5" customHeight="1">
      <c r="A56" s="2"/>
      <c r="B56" s="189">
        <f>IF(Roster!$K$9=0,"",Roster!$K$9)</f>
        <v>5</v>
      </c>
      <c r="C56" s="186"/>
      <c r="D56" s="277"/>
      <c r="E56" s="277"/>
      <c r="F56" s="277"/>
      <c r="G56" s="277"/>
      <c r="H56" s="277"/>
      <c r="I56" s="277"/>
      <c r="J56" s="277"/>
      <c r="K56" s="277"/>
      <c r="L56" s="277"/>
      <c r="M56" s="277"/>
      <c r="N56" s="277"/>
      <c r="O56" s="183"/>
      <c r="P56" s="2"/>
      <c r="Q56" s="189">
        <f>IF(Roster!$K$10=0,"",Roster!$K$10)</f>
        <v>5</v>
      </c>
      <c r="R56" s="186"/>
      <c r="S56" s="277"/>
      <c r="T56" s="277"/>
      <c r="U56" s="277"/>
      <c r="V56" s="277"/>
      <c r="W56" s="277"/>
      <c r="X56" s="277"/>
      <c r="Y56" s="277"/>
      <c r="Z56" s="277"/>
      <c r="AA56" s="277"/>
      <c r="AB56" s="277"/>
      <c r="AC56" s="277"/>
      <c r="AD56" s="183"/>
      <c r="AE56" s="2"/>
      <c r="AF56" s="189">
        <f>IF(Roster!$K$11=0,"",Roster!$K$11)</f>
        <v>5</v>
      </c>
      <c r="AG56" s="186"/>
      <c r="AH56" s="277"/>
      <c r="AI56" s="277"/>
      <c r="AJ56" s="277"/>
      <c r="AK56" s="277"/>
      <c r="AL56" s="277"/>
      <c r="AM56" s="277"/>
      <c r="AN56" s="277"/>
      <c r="AO56" s="277"/>
      <c r="AP56" s="277"/>
      <c r="AQ56" s="277"/>
      <c r="AR56" s="277"/>
      <c r="AS56" s="183"/>
      <c r="AT56" s="2"/>
      <c r="AU56" s="189">
        <f>IF(Roster!$K$12=0,"",Roster!$K$12)</f>
        <v>1</v>
      </c>
      <c r="AV56" s="186"/>
      <c r="AW56" s="277"/>
      <c r="AX56" s="277"/>
      <c r="AY56" s="277"/>
      <c r="AZ56" s="277"/>
      <c r="BA56" s="277"/>
      <c r="BB56" s="277"/>
      <c r="BC56" s="277"/>
      <c r="BD56" s="277"/>
      <c r="BE56" s="277"/>
      <c r="BF56" s="277"/>
      <c r="BG56" s="277"/>
      <c r="BH56" s="183"/>
    </row>
    <row r="57" spans="1:60" ht="11.25" customHeight="1">
      <c r="A57" s="2"/>
      <c r="B57" s="187" t="str">
        <f>IF(Roster!$L$1=0,"",Roster!$L$1)</f>
        <v>AG</v>
      </c>
      <c r="C57" s="186"/>
      <c r="D57" s="277"/>
      <c r="E57" s="277"/>
      <c r="F57" s="277"/>
      <c r="G57" s="277"/>
      <c r="H57" s="277"/>
      <c r="I57" s="277"/>
      <c r="J57" s="277"/>
      <c r="K57" s="277"/>
      <c r="L57" s="277"/>
      <c r="M57" s="277"/>
      <c r="N57" s="277"/>
      <c r="O57" s="183"/>
      <c r="P57" s="2"/>
      <c r="Q57" s="187" t="str">
        <f>IF(Roster!$L$1=0,"",Roster!$L$1)</f>
        <v>AG</v>
      </c>
      <c r="R57" s="186"/>
      <c r="S57" s="277"/>
      <c r="T57" s="277"/>
      <c r="U57" s="277"/>
      <c r="V57" s="277"/>
      <c r="W57" s="277"/>
      <c r="X57" s="277"/>
      <c r="Y57" s="277"/>
      <c r="Z57" s="277"/>
      <c r="AA57" s="277"/>
      <c r="AB57" s="277"/>
      <c r="AC57" s="277"/>
      <c r="AD57" s="183"/>
      <c r="AE57" s="2"/>
      <c r="AF57" s="187" t="str">
        <f>IF(Roster!$L$1=0,"",Roster!$L$1)</f>
        <v>AG</v>
      </c>
      <c r="AG57" s="186"/>
      <c r="AH57" s="277"/>
      <c r="AI57" s="277"/>
      <c r="AJ57" s="277"/>
      <c r="AK57" s="277"/>
      <c r="AL57" s="277"/>
      <c r="AM57" s="277"/>
      <c r="AN57" s="277"/>
      <c r="AO57" s="277"/>
      <c r="AP57" s="277"/>
      <c r="AQ57" s="277"/>
      <c r="AR57" s="277"/>
      <c r="AS57" s="183"/>
      <c r="AT57" s="2"/>
      <c r="AU57" s="187" t="str">
        <f>IF(Roster!$L$1=0,"",Roster!$L$1)</f>
        <v>AG</v>
      </c>
      <c r="AV57" s="186"/>
      <c r="AW57" s="277"/>
      <c r="AX57" s="277"/>
      <c r="AY57" s="277"/>
      <c r="AZ57" s="277"/>
      <c r="BA57" s="277"/>
      <c r="BB57" s="277"/>
      <c r="BC57" s="277"/>
      <c r="BD57" s="277"/>
      <c r="BE57" s="277"/>
      <c r="BF57" s="277"/>
      <c r="BG57" s="277"/>
      <c r="BH57" s="183"/>
    </row>
    <row r="58" spans="1:60" ht="37.5" customHeight="1">
      <c r="A58" s="2"/>
      <c r="B58" s="189" t="str">
        <f>IF(Roster!$L$9=0&amp;"+","",Roster!$L$9)</f>
        <v>5+</v>
      </c>
      <c r="C58" s="186"/>
      <c r="D58" s="277"/>
      <c r="E58" s="277"/>
      <c r="F58" s="277"/>
      <c r="G58" s="277"/>
      <c r="H58" s="277"/>
      <c r="I58" s="277"/>
      <c r="J58" s="277"/>
      <c r="K58" s="277"/>
      <c r="L58" s="277"/>
      <c r="M58" s="277"/>
      <c r="N58" s="277"/>
      <c r="O58" s="183"/>
      <c r="P58" s="2"/>
      <c r="Q58" s="189" t="str">
        <f>IF(Roster!$L$10=0&amp;"+","",Roster!$L$10)</f>
        <v>5+</v>
      </c>
      <c r="R58" s="186"/>
      <c r="S58" s="277"/>
      <c r="T58" s="277"/>
      <c r="U58" s="277"/>
      <c r="V58" s="277"/>
      <c r="W58" s="277"/>
      <c r="X58" s="277"/>
      <c r="Y58" s="277"/>
      <c r="Z58" s="277"/>
      <c r="AA58" s="277"/>
      <c r="AB58" s="277"/>
      <c r="AC58" s="277"/>
      <c r="AD58" s="183"/>
      <c r="AE58" s="2"/>
      <c r="AF58" s="189" t="str">
        <f>IF(Roster!$L$11=0&amp;"+","",Roster!$L$11)</f>
        <v>5+</v>
      </c>
      <c r="AG58" s="186"/>
      <c r="AH58" s="277"/>
      <c r="AI58" s="277"/>
      <c r="AJ58" s="277"/>
      <c r="AK58" s="277"/>
      <c r="AL58" s="277"/>
      <c r="AM58" s="277"/>
      <c r="AN58" s="277"/>
      <c r="AO58" s="277"/>
      <c r="AP58" s="277"/>
      <c r="AQ58" s="277"/>
      <c r="AR58" s="277"/>
      <c r="AS58" s="183"/>
      <c r="AT58" s="2"/>
      <c r="AU58" s="189" t="str">
        <f>IF(Roster!$L$12=0&amp;"+","",Roster!$L$12)</f>
        <v>3+</v>
      </c>
      <c r="AV58" s="186"/>
      <c r="AW58" s="277"/>
      <c r="AX58" s="277"/>
      <c r="AY58" s="277"/>
      <c r="AZ58" s="277"/>
      <c r="BA58" s="277"/>
      <c r="BB58" s="277"/>
      <c r="BC58" s="277"/>
      <c r="BD58" s="277"/>
      <c r="BE58" s="277"/>
      <c r="BF58" s="277"/>
      <c r="BG58" s="277"/>
      <c r="BH58" s="183"/>
    </row>
    <row r="59" spans="1:60" ht="11.25" customHeight="1">
      <c r="A59" s="2"/>
      <c r="B59" s="187" t="str">
        <f>IF(Roster!$M$1=0,"",Roster!$M$1)</f>
        <v>PA</v>
      </c>
      <c r="C59" s="186"/>
      <c r="D59" s="277"/>
      <c r="E59" s="277"/>
      <c r="F59" s="277"/>
      <c r="G59" s="277"/>
      <c r="H59" s="277"/>
      <c r="I59" s="277"/>
      <c r="J59" s="277"/>
      <c r="K59" s="277"/>
      <c r="L59" s="277"/>
      <c r="M59" s="277"/>
      <c r="N59" s="277"/>
      <c r="O59" s="192"/>
      <c r="P59" s="2"/>
      <c r="Q59" s="187" t="str">
        <f>IF(Roster!$M$1=0,"",Roster!$M$1)</f>
        <v>PA</v>
      </c>
      <c r="R59" s="186"/>
      <c r="S59" s="277"/>
      <c r="T59" s="277"/>
      <c r="U59" s="277"/>
      <c r="V59" s="277"/>
      <c r="W59" s="277"/>
      <c r="X59" s="277"/>
      <c r="Y59" s="277"/>
      <c r="Z59" s="277"/>
      <c r="AA59" s="277"/>
      <c r="AB59" s="277"/>
      <c r="AC59" s="277"/>
      <c r="AD59" s="192"/>
      <c r="AE59" s="2"/>
      <c r="AF59" s="187" t="str">
        <f>IF(Roster!$M$1=0,"",Roster!$M$1)</f>
        <v>PA</v>
      </c>
      <c r="AG59" s="186"/>
      <c r="AH59" s="277"/>
      <c r="AI59" s="277"/>
      <c r="AJ59" s="277"/>
      <c r="AK59" s="277"/>
      <c r="AL59" s="277"/>
      <c r="AM59" s="277"/>
      <c r="AN59" s="277"/>
      <c r="AO59" s="277"/>
      <c r="AP59" s="277"/>
      <c r="AQ59" s="277"/>
      <c r="AR59" s="277"/>
      <c r="AS59" s="192"/>
      <c r="AT59" s="2"/>
      <c r="AU59" s="187" t="str">
        <f>IF(Roster!$M$1=0,"",Roster!$M$1)</f>
        <v>PA</v>
      </c>
      <c r="AV59" s="186"/>
      <c r="AW59" s="277"/>
      <c r="AX59" s="277"/>
      <c r="AY59" s="277"/>
      <c r="AZ59" s="277"/>
      <c r="BA59" s="277"/>
      <c r="BB59" s="277"/>
      <c r="BC59" s="277"/>
      <c r="BD59" s="277"/>
      <c r="BE59" s="277"/>
      <c r="BF59" s="277"/>
      <c r="BG59" s="277"/>
      <c r="BH59" s="192"/>
    </row>
    <row r="60" spans="1:60" ht="6" customHeight="1">
      <c r="A60" s="2"/>
      <c r="B60" s="367" t="str">
        <f>IF(Roster!$M$9=0&amp;"+","",Roster!$M$9)</f>
        <v/>
      </c>
      <c r="C60" s="186"/>
      <c r="D60" s="277"/>
      <c r="E60" s="277"/>
      <c r="F60" s="277"/>
      <c r="G60" s="277"/>
      <c r="H60" s="277"/>
      <c r="I60" s="277"/>
      <c r="J60" s="277"/>
      <c r="K60" s="277"/>
      <c r="L60" s="277"/>
      <c r="M60" s="277"/>
      <c r="N60" s="277"/>
      <c r="O60" s="194"/>
      <c r="P60" s="2"/>
      <c r="Q60" s="367" t="str">
        <f>IF(Roster!$M$10=0&amp;"+","",Roster!$M$10)</f>
        <v>5+</v>
      </c>
      <c r="R60" s="186"/>
      <c r="S60" s="277"/>
      <c r="T60" s="277"/>
      <c r="U60" s="277"/>
      <c r="V60" s="277"/>
      <c r="W60" s="277"/>
      <c r="X60" s="277"/>
      <c r="Y60" s="277"/>
      <c r="Z60" s="277"/>
      <c r="AA60" s="277"/>
      <c r="AB60" s="277"/>
      <c r="AC60" s="277"/>
      <c r="AD60" s="194"/>
      <c r="AE60" s="2"/>
      <c r="AF60" s="367" t="str">
        <f>IF(Roster!$M$11=0&amp;"+","",Roster!$M$11)</f>
        <v>5+</v>
      </c>
      <c r="AG60" s="186"/>
      <c r="AH60" s="277"/>
      <c r="AI60" s="277"/>
      <c r="AJ60" s="277"/>
      <c r="AK60" s="277"/>
      <c r="AL60" s="277"/>
      <c r="AM60" s="277"/>
      <c r="AN60" s="277"/>
      <c r="AO60" s="277"/>
      <c r="AP60" s="277"/>
      <c r="AQ60" s="277"/>
      <c r="AR60" s="277"/>
      <c r="AS60" s="194"/>
      <c r="AT60" s="2"/>
      <c r="AU60" s="367" t="str">
        <f>IF(Roster!$M$12=0&amp;"+","",Roster!$M$12)</f>
        <v>5+</v>
      </c>
      <c r="AV60" s="186"/>
      <c r="AW60" s="277"/>
      <c r="AX60" s="277"/>
      <c r="AY60" s="277"/>
      <c r="AZ60" s="277"/>
      <c r="BA60" s="277"/>
      <c r="BB60" s="277"/>
      <c r="BC60" s="277"/>
      <c r="BD60" s="277"/>
      <c r="BE60" s="277"/>
      <c r="BF60" s="277"/>
      <c r="BG60" s="277"/>
      <c r="BH60" s="194"/>
    </row>
    <row r="61" spans="1:60" ht="4.5" customHeight="1">
      <c r="A61" s="2"/>
      <c r="B61" s="240"/>
      <c r="C61" s="186"/>
      <c r="D61" s="183"/>
      <c r="E61" s="193"/>
      <c r="F61" s="183"/>
      <c r="G61" s="193"/>
      <c r="H61" s="183"/>
      <c r="I61" s="193"/>
      <c r="J61" s="183"/>
      <c r="K61" s="193"/>
      <c r="L61" s="183"/>
      <c r="M61" s="193"/>
      <c r="N61" s="183"/>
      <c r="O61" s="194"/>
      <c r="P61" s="2"/>
      <c r="Q61" s="240"/>
      <c r="R61" s="186"/>
      <c r="S61" s="183"/>
      <c r="T61" s="193"/>
      <c r="U61" s="183"/>
      <c r="V61" s="193"/>
      <c r="W61" s="183"/>
      <c r="X61" s="193"/>
      <c r="Y61" s="183"/>
      <c r="Z61" s="193"/>
      <c r="AA61" s="183"/>
      <c r="AB61" s="193"/>
      <c r="AC61" s="183"/>
      <c r="AD61" s="194"/>
      <c r="AE61" s="2"/>
      <c r="AF61" s="240"/>
      <c r="AG61" s="186"/>
      <c r="AH61" s="183"/>
      <c r="AI61" s="193"/>
      <c r="AJ61" s="183"/>
      <c r="AK61" s="193"/>
      <c r="AL61" s="183"/>
      <c r="AM61" s="193"/>
      <c r="AN61" s="183"/>
      <c r="AO61" s="193"/>
      <c r="AP61" s="183"/>
      <c r="AQ61" s="193"/>
      <c r="AR61" s="183"/>
      <c r="AS61" s="194"/>
      <c r="AT61" s="2"/>
      <c r="AU61" s="240"/>
      <c r="AV61" s="186"/>
      <c r="AW61" s="183"/>
      <c r="AX61" s="193"/>
      <c r="AY61" s="183"/>
      <c r="AZ61" s="193"/>
      <c r="BA61" s="183"/>
      <c r="BB61" s="193"/>
      <c r="BC61" s="183"/>
      <c r="BD61" s="193"/>
      <c r="BE61" s="183"/>
      <c r="BF61" s="193"/>
      <c r="BG61" s="183"/>
      <c r="BH61" s="194"/>
    </row>
    <row r="62" spans="1:60" ht="11.25" customHeight="1">
      <c r="A62" s="2"/>
      <c r="B62" s="240"/>
      <c r="C62" s="186"/>
      <c r="D62" s="195" t="str">
        <f>IF(Roster!$AC$1=0,"",Roster!$AC$1)</f>
        <v>TD</v>
      </c>
      <c r="E62" s="193"/>
      <c r="F62" s="195" t="str">
        <f>IF(Roster!$J$25="Español","HER",(IF(Roster!$J$25="Deutsch","VER",(IF(Roster!$J$25="Français","BLES","CAS")))))</f>
        <v>CAS</v>
      </c>
      <c r="G62" s="193"/>
      <c r="H62" s="195" t="str">
        <f>IF(Roster!$AF$1=0,"",Roster!$AF$1)</f>
        <v>BH</v>
      </c>
      <c r="I62" s="193"/>
      <c r="J62" s="195" t="str">
        <f>IF(Roster!$AG$1=0,"",Roster!$AG$1)</f>
        <v>SI</v>
      </c>
      <c r="K62" s="193"/>
      <c r="L62" s="195" t="str">
        <f>IF(Roster!$AH$1=0,"",Roster!$AH$1)</f>
        <v>KILL</v>
      </c>
      <c r="M62" s="193"/>
      <c r="N62" s="195" t="str">
        <f>IF(Roster!$AB$1=0,"",Roster!$AB$1)</f>
        <v>CP</v>
      </c>
      <c r="O62" s="194"/>
      <c r="P62" s="2"/>
      <c r="Q62" s="240"/>
      <c r="R62" s="186"/>
      <c r="S62" s="195" t="str">
        <f>IF(Roster!$AC$1=0,"",Roster!$AC$1)</f>
        <v>TD</v>
      </c>
      <c r="T62" s="193"/>
      <c r="U62" s="195" t="str">
        <f>IF(Roster!$J$25="Español","HER",(IF(Roster!$J$25="Deutsch","VER",(IF(Roster!$J$25="Français","BLES","CAS")))))</f>
        <v>CAS</v>
      </c>
      <c r="V62" s="193"/>
      <c r="W62" s="195" t="str">
        <f>IF(Roster!$AF$1=0,"",Roster!$AF$1)</f>
        <v>BH</v>
      </c>
      <c r="X62" s="193"/>
      <c r="Y62" s="195" t="str">
        <f>IF(Roster!$AG$1=0,"",Roster!$AG$1)</f>
        <v>SI</v>
      </c>
      <c r="Z62" s="193"/>
      <c r="AA62" s="195" t="str">
        <f>IF(Roster!$AH$1=0,"",Roster!$AH$1)</f>
        <v>KILL</v>
      </c>
      <c r="AB62" s="193"/>
      <c r="AC62" s="195" t="str">
        <f>IF(Roster!$AB$1=0,"",Roster!$AB$1)</f>
        <v>CP</v>
      </c>
      <c r="AD62" s="194"/>
      <c r="AE62" s="2"/>
      <c r="AF62" s="240"/>
      <c r="AG62" s="186"/>
      <c r="AH62" s="195" t="str">
        <f>IF(Roster!$AC$1=0,"",Roster!$AC$1)</f>
        <v>TD</v>
      </c>
      <c r="AI62" s="193"/>
      <c r="AJ62" s="195" t="str">
        <f>IF(Roster!$J$25="Español","HER",(IF(Roster!$J$25="Deutsch","VER",(IF(Roster!$J$25="Français","BLES","CAS")))))</f>
        <v>CAS</v>
      </c>
      <c r="AK62" s="193"/>
      <c r="AL62" s="195" t="str">
        <f>IF(Roster!$AF$1=0,"",Roster!$AF$1)</f>
        <v>BH</v>
      </c>
      <c r="AM62" s="193"/>
      <c r="AN62" s="195" t="str">
        <f>IF(Roster!$AG$1=0,"",Roster!$AG$1)</f>
        <v>SI</v>
      </c>
      <c r="AO62" s="193"/>
      <c r="AP62" s="195" t="str">
        <f>IF(Roster!$AH$1=0,"",Roster!$AH$1)</f>
        <v>KILL</v>
      </c>
      <c r="AQ62" s="193"/>
      <c r="AR62" s="195" t="str">
        <f>IF(Roster!$AB$1=0,"",Roster!$AB$1)</f>
        <v>CP</v>
      </c>
      <c r="AS62" s="194"/>
      <c r="AT62" s="2"/>
      <c r="AU62" s="240"/>
      <c r="AV62" s="186"/>
      <c r="AW62" s="195" t="str">
        <f>IF(Roster!$AC$1=0,"",Roster!$AC$1)</f>
        <v>TD</v>
      </c>
      <c r="AX62" s="193"/>
      <c r="AY62" s="195" t="str">
        <f>IF(Roster!$J$25="Español","HER",(IF(Roster!$J$25="Deutsch","VER",(IF(Roster!$J$25="Français","BLES","CAS")))))</f>
        <v>CAS</v>
      </c>
      <c r="AZ62" s="193"/>
      <c r="BA62" s="195" t="str">
        <f>IF(Roster!$AF$1=0,"",Roster!$AF$1)</f>
        <v>BH</v>
      </c>
      <c r="BB62" s="193"/>
      <c r="BC62" s="195" t="str">
        <f>IF(Roster!$AG$1=0,"",Roster!$AG$1)</f>
        <v>SI</v>
      </c>
      <c r="BD62" s="193"/>
      <c r="BE62" s="195" t="str">
        <f>IF(Roster!$AH$1=0,"",Roster!$AH$1)</f>
        <v>KILL</v>
      </c>
      <c r="BF62" s="193"/>
      <c r="BG62" s="195" t="str">
        <f>IF(Roster!$AB$1=0,"",Roster!$AB$1)</f>
        <v>CP</v>
      </c>
      <c r="BH62" s="194"/>
    </row>
    <row r="63" spans="1:60" ht="15" customHeight="1">
      <c r="A63" s="2"/>
      <c r="B63" s="240"/>
      <c r="C63" s="188"/>
      <c r="D63" s="196" t="str">
        <f>IF(Roster!$AC$9=0,"",Roster!$AC$9)</f>
        <v/>
      </c>
      <c r="E63" s="188"/>
      <c r="F63" s="196">
        <f>IF((SUM(H63,J63,L63))=0,"",(SUM(H63,J63,L63)))</f>
        <v>3</v>
      </c>
      <c r="G63" s="188"/>
      <c r="H63" s="196">
        <f>IF(Roster!$AF$9=0,"",Roster!$AF$9)</f>
        <v>1</v>
      </c>
      <c r="I63" s="188"/>
      <c r="J63" s="196">
        <f>IF(Roster!$AG$9=0,"",Roster!$AG$9)</f>
        <v>1</v>
      </c>
      <c r="K63" s="188"/>
      <c r="L63" s="196">
        <f>IF(Roster!$AH$9=0,"",Roster!$AH$9)</f>
        <v>1</v>
      </c>
      <c r="M63" s="188"/>
      <c r="N63" s="196" t="str">
        <f>IF(Roster!$AB$9=0,"",Roster!$AB$9)</f>
        <v/>
      </c>
      <c r="O63" s="194"/>
      <c r="P63" s="2"/>
      <c r="Q63" s="240"/>
      <c r="R63" s="188"/>
      <c r="S63" s="196" t="str">
        <f>IF(Roster!$AC$10=0,"",Roster!$AC$10)</f>
        <v/>
      </c>
      <c r="T63" s="188"/>
      <c r="U63" s="196">
        <f>IF((SUM(W63,Y63,AA63))=0,"",(SUM(W63,Y63,AA63)))</f>
        <v>3</v>
      </c>
      <c r="V63" s="188"/>
      <c r="W63" s="196">
        <f>IF(Roster!$AF$10=0,"",Roster!$AF$10)</f>
        <v>1</v>
      </c>
      <c r="X63" s="188"/>
      <c r="Y63" s="196">
        <f>IF(Roster!$AG$10=0,"",Roster!$AG$10)</f>
        <v>1</v>
      </c>
      <c r="Z63" s="188"/>
      <c r="AA63" s="196">
        <f>IF(Roster!$AH$10=0,"",Roster!$AH$10)</f>
        <v>1</v>
      </c>
      <c r="AB63" s="188"/>
      <c r="AC63" s="196" t="str">
        <f>IF(Roster!$AB$10=0,"",Roster!$AB$10)</f>
        <v/>
      </c>
      <c r="AD63" s="194"/>
      <c r="AE63" s="2"/>
      <c r="AF63" s="240"/>
      <c r="AG63" s="188"/>
      <c r="AH63" s="196" t="str">
        <f>IF(Roster!$AC$11=0,"",Roster!$AC$11)</f>
        <v/>
      </c>
      <c r="AI63" s="188"/>
      <c r="AJ63" s="196">
        <f>IF((SUM(AL63,AN63,AP63))=0,"",(SUM(AL63,AN63,AP63)))</f>
        <v>1</v>
      </c>
      <c r="AK63" s="188"/>
      <c r="AL63" s="196" t="str">
        <f>IF(Roster!$AF$11=0,"",Roster!$AF$11)</f>
        <v/>
      </c>
      <c r="AM63" s="188"/>
      <c r="AN63" s="196" t="str">
        <f>IF(Roster!$AG$11=0,"",Roster!$AG$11)</f>
        <v/>
      </c>
      <c r="AO63" s="188"/>
      <c r="AP63" s="196">
        <f>IF(Roster!$AH$11=0,"",Roster!$AH$11)</f>
        <v>1</v>
      </c>
      <c r="AQ63" s="188"/>
      <c r="AR63" s="196" t="str">
        <f>IF(Roster!$AB$11=0,"",Roster!$AB$11)</f>
        <v/>
      </c>
      <c r="AS63" s="194"/>
      <c r="AT63" s="2"/>
      <c r="AU63" s="240"/>
      <c r="AV63" s="188"/>
      <c r="AW63" s="196">
        <f>IF(Roster!$AC$12=0,"",Roster!$AC$12)</f>
        <v>1</v>
      </c>
      <c r="AX63" s="188"/>
      <c r="AY63" s="196" t="str">
        <f>IF((SUM(BA63,BC63,BE63))=0,"",(SUM(BA63,BC63,BE63)))</f>
        <v/>
      </c>
      <c r="AZ63" s="188"/>
      <c r="BA63" s="196" t="str">
        <f>IF(Roster!$AF$12=0,"",Roster!$AF$12)</f>
        <v/>
      </c>
      <c r="BB63" s="188"/>
      <c r="BC63" s="196" t="str">
        <f>IF(Roster!$AG$12=0,"",Roster!$AG$12)</f>
        <v/>
      </c>
      <c r="BD63" s="188"/>
      <c r="BE63" s="196" t="str">
        <f>IF(Roster!$AH$12=0,"",Roster!$AH$12)</f>
        <v/>
      </c>
      <c r="BF63" s="188"/>
      <c r="BG63" s="196" t="str">
        <f>IF(Roster!$AB$12=0,"",Roster!$AB$12)</f>
        <v/>
      </c>
      <c r="BH63" s="194"/>
    </row>
    <row r="64" spans="1:60" ht="4.5" customHeight="1">
      <c r="A64" s="2"/>
      <c r="B64" s="241"/>
      <c r="C64" s="188"/>
      <c r="D64" s="197"/>
      <c r="E64" s="188"/>
      <c r="F64" s="197"/>
      <c r="G64" s="188"/>
      <c r="H64" s="197"/>
      <c r="I64" s="188"/>
      <c r="J64" s="197"/>
      <c r="K64" s="188"/>
      <c r="L64" s="197"/>
      <c r="M64" s="188"/>
      <c r="N64" s="197"/>
      <c r="O64" s="194"/>
      <c r="P64" s="2"/>
      <c r="Q64" s="241"/>
      <c r="R64" s="188"/>
      <c r="S64" s="197"/>
      <c r="T64" s="188"/>
      <c r="U64" s="197"/>
      <c r="V64" s="188"/>
      <c r="W64" s="197"/>
      <c r="X64" s="188"/>
      <c r="Y64" s="197"/>
      <c r="Z64" s="188"/>
      <c r="AA64" s="197"/>
      <c r="AB64" s="188"/>
      <c r="AC64" s="197"/>
      <c r="AD64" s="194"/>
      <c r="AE64" s="2"/>
      <c r="AF64" s="241"/>
      <c r="AG64" s="188"/>
      <c r="AH64" s="197"/>
      <c r="AI64" s="188"/>
      <c r="AJ64" s="197"/>
      <c r="AK64" s="188"/>
      <c r="AL64" s="197"/>
      <c r="AM64" s="188"/>
      <c r="AN64" s="197"/>
      <c r="AO64" s="188"/>
      <c r="AP64" s="197"/>
      <c r="AQ64" s="188"/>
      <c r="AR64" s="197"/>
      <c r="AS64" s="194"/>
      <c r="AT64" s="2"/>
      <c r="AU64" s="241"/>
      <c r="AV64" s="188"/>
      <c r="AW64" s="197"/>
      <c r="AX64" s="188"/>
      <c r="AY64" s="197"/>
      <c r="AZ64" s="188"/>
      <c r="BA64" s="197"/>
      <c r="BB64" s="188"/>
      <c r="BC64" s="197"/>
      <c r="BD64" s="188"/>
      <c r="BE64" s="197"/>
      <c r="BF64" s="188"/>
      <c r="BG64" s="197"/>
      <c r="BH64" s="194"/>
    </row>
    <row r="65" spans="1:60" ht="11.25" customHeight="1">
      <c r="A65" s="2"/>
      <c r="B65" s="187" t="str">
        <f>IF(Roster!$N$1=0,"",Roster!$N$1)</f>
        <v>AV</v>
      </c>
      <c r="C65" s="187"/>
      <c r="D65" s="195" t="str">
        <f>IF(Roster!$AD$1=0,"",Roster!$AD$1)</f>
        <v>DEF</v>
      </c>
      <c r="E65" s="187"/>
      <c r="F65" s="195" t="str">
        <f>IF(Roster!$AE$1=0,"",Roster!$AE$1)</f>
        <v>INT</v>
      </c>
      <c r="G65" s="187"/>
      <c r="H65" s="195" t="str">
        <f>IF(Roster!$AA$1=0,"",Roster!$AA$1)</f>
        <v>SPE</v>
      </c>
      <c r="I65" s="187"/>
      <c r="J65" s="195" t="str">
        <f>IF(Roster!$AI$1=0,"",Roster!$AI$1)</f>
        <v>MVP</v>
      </c>
      <c r="K65" s="187"/>
      <c r="L65" s="195" t="s">
        <v>392</v>
      </c>
      <c r="M65" s="187"/>
      <c r="N65" s="198" t="str">
        <f>IF(Roster!$J$25="Español","LPP/RT",(IF(Roster!$J$25="Deutsch","VNS/AD",(IF(Roster!$J$25="Français","RPM/RT","MNG/TR")))))</f>
        <v>MNG/TR</v>
      </c>
      <c r="O65" s="183"/>
      <c r="P65" s="2"/>
      <c r="Q65" s="187" t="str">
        <f>IF(Roster!$N$1=0,"",Roster!$N$1)</f>
        <v>AV</v>
      </c>
      <c r="R65" s="187"/>
      <c r="S65" s="195" t="str">
        <f>IF(Roster!$AD$1=0,"",Roster!$AD$1)</f>
        <v>DEF</v>
      </c>
      <c r="T65" s="187"/>
      <c r="U65" s="195" t="str">
        <f>IF(Roster!$AE$1=0,"",Roster!$AE$1)</f>
        <v>INT</v>
      </c>
      <c r="V65" s="187"/>
      <c r="W65" s="195" t="str">
        <f>IF(Roster!$AA$1=0,"",Roster!$AA$1)</f>
        <v>SPE</v>
      </c>
      <c r="X65" s="187"/>
      <c r="Y65" s="195" t="str">
        <f>IF(Roster!$AI$1=0,"",Roster!$AI$1)</f>
        <v>MVP</v>
      </c>
      <c r="Z65" s="187"/>
      <c r="AA65" s="195" t="s">
        <v>392</v>
      </c>
      <c r="AB65" s="187"/>
      <c r="AC65" s="198" t="str">
        <f>IF(Roster!$J$25="Español","LPP/RT",(IF(Roster!$J$25="Deutsch","VNS/AD",(IF(Roster!$J$25="Français","RPM/RT","MNG/TR")))))</f>
        <v>MNG/TR</v>
      </c>
      <c r="AD65" s="183"/>
      <c r="AE65" s="2"/>
      <c r="AF65" s="187" t="str">
        <f>IF(Roster!$N$1=0,"",Roster!$N$1)</f>
        <v>AV</v>
      </c>
      <c r="AG65" s="187"/>
      <c r="AH65" s="195" t="str">
        <f>IF(Roster!$AD$1=0,"",Roster!$AD$1)</f>
        <v>DEF</v>
      </c>
      <c r="AI65" s="187"/>
      <c r="AJ65" s="195" t="str">
        <f>IF(Roster!$AE$1=0,"",Roster!$AE$1)</f>
        <v>INT</v>
      </c>
      <c r="AK65" s="187"/>
      <c r="AL65" s="195" t="str">
        <f>IF(Roster!$AA$1=0,"",Roster!$AA$1)</f>
        <v>SPE</v>
      </c>
      <c r="AM65" s="187"/>
      <c r="AN65" s="195" t="str">
        <f>IF(Roster!$AI$1=0,"",Roster!$AI$1)</f>
        <v>MVP</v>
      </c>
      <c r="AO65" s="187"/>
      <c r="AP65" s="195" t="s">
        <v>392</v>
      </c>
      <c r="AQ65" s="187"/>
      <c r="AR65" s="198" t="str">
        <f>IF(Roster!$J$25="Español","LPP/RT",(IF(Roster!$J$25="Deutsch","VNS/AD",(IF(Roster!$J$25="Français","RPM/RT","MNG/TR")))))</f>
        <v>MNG/TR</v>
      </c>
      <c r="AS65" s="183"/>
      <c r="AT65" s="2"/>
      <c r="AU65" s="187" t="str">
        <f>IF(Roster!$N$1=0,"",Roster!$N$1)</f>
        <v>AV</v>
      </c>
      <c r="AV65" s="187"/>
      <c r="AW65" s="195" t="str">
        <f>IF(Roster!$AD$1=0,"",Roster!$AD$1)</f>
        <v>DEF</v>
      </c>
      <c r="AX65" s="187"/>
      <c r="AY65" s="195" t="str">
        <f>IF(Roster!$AE$1=0,"",Roster!$AE$1)</f>
        <v>INT</v>
      </c>
      <c r="AZ65" s="187"/>
      <c r="BA65" s="195" t="str">
        <f>IF(Roster!$AA$1=0,"",Roster!$AA$1)</f>
        <v>SPE</v>
      </c>
      <c r="BB65" s="187"/>
      <c r="BC65" s="195" t="str">
        <f>IF(Roster!$AI$1=0,"",Roster!$AI$1)</f>
        <v>MVP</v>
      </c>
      <c r="BD65" s="187"/>
      <c r="BE65" s="195" t="s">
        <v>392</v>
      </c>
      <c r="BF65" s="187"/>
      <c r="BG65" s="198" t="str">
        <f>IF(Roster!$J$25="Español","LPP/RT",(IF(Roster!$J$25="Deutsch","VNS/AD",(IF(Roster!$J$25="Français","RPM/RT","MNG/TR")))))</f>
        <v>MNG/TR</v>
      </c>
      <c r="BH65" s="183"/>
    </row>
    <row r="66" spans="1:60" ht="15" customHeight="1">
      <c r="A66" s="2"/>
      <c r="B66" s="367" t="str">
        <f>IF(Roster!$N$9=0&amp;"+","",Roster!$N$9)</f>
        <v>9+</v>
      </c>
      <c r="C66" s="188"/>
      <c r="D66" s="196" t="str">
        <f>IF(Roster!$AD$9=0,"",Roster!$AD$9)</f>
        <v/>
      </c>
      <c r="E66" s="188"/>
      <c r="F66" s="196" t="str">
        <f>IF(Roster!$AE$9=0,"",Roster!$AE$9)</f>
        <v/>
      </c>
      <c r="G66" s="188"/>
      <c r="H66" s="196" t="str">
        <f>IF(Roster!$AA$9=0,"",Roster!$AA$9)</f>
        <v/>
      </c>
      <c r="I66" s="188"/>
      <c r="J66" s="196">
        <f>IF(Roster!$AI$9=0,"",Roster!$AI$9)</f>
        <v>1</v>
      </c>
      <c r="K66" s="188"/>
      <c r="L66" s="196">
        <f>IF(Roster!$AJ$9=0,"",Roster!$AJ$9)</f>
        <v>10</v>
      </c>
      <c r="M66" s="188"/>
      <c r="N66" s="196" t="str">
        <f>IF(Roster!$Z$9=0,"",Roster!$Z$9)</f>
        <v/>
      </c>
      <c r="O66" s="199"/>
      <c r="P66" s="2"/>
      <c r="Q66" s="367" t="str">
        <f>IF(Roster!$N$10=0&amp;"+","",Roster!$N$10)</f>
        <v>10+</v>
      </c>
      <c r="R66" s="188"/>
      <c r="S66" s="196" t="str">
        <f>IF(Roster!$AD$10=0,"",Roster!$AD$10)</f>
        <v/>
      </c>
      <c r="T66" s="188"/>
      <c r="U66" s="196" t="str">
        <f>IF(Roster!$AE$10=0,"",Roster!$AE$10)</f>
        <v/>
      </c>
      <c r="V66" s="188"/>
      <c r="W66" s="196" t="str">
        <f>IF(Roster!$AA$10=0,"",Roster!$AA$10)</f>
        <v/>
      </c>
      <c r="X66" s="188"/>
      <c r="Y66" s="196" t="str">
        <f>IF(Roster!$AI$10=0,"",Roster!$AI$10)</f>
        <v/>
      </c>
      <c r="Z66" s="188"/>
      <c r="AA66" s="196">
        <f>IF(Roster!$AJ$10=0,"",Roster!$AJ$10)</f>
        <v>6</v>
      </c>
      <c r="AB66" s="188"/>
      <c r="AC66" s="196" t="str">
        <f>IF(Roster!$Z$10=0,"",Roster!$Z$10)</f>
        <v/>
      </c>
      <c r="AD66" s="199"/>
      <c r="AE66" s="2"/>
      <c r="AF66" s="367" t="str">
        <f>IF(Roster!$N$11=0&amp;"+","",Roster!$N$11)</f>
        <v>10+</v>
      </c>
      <c r="AG66" s="188"/>
      <c r="AH66" s="196" t="str">
        <f>IF(Roster!$AD$11=0,"",Roster!$AD$11)</f>
        <v/>
      </c>
      <c r="AI66" s="188"/>
      <c r="AJ66" s="196" t="str">
        <f>IF(Roster!$AE$11=0,"",Roster!$AE$11)</f>
        <v/>
      </c>
      <c r="AK66" s="188"/>
      <c r="AL66" s="196" t="str">
        <f>IF(Roster!$AA$11=0,"",Roster!$AA$11)</f>
        <v/>
      </c>
      <c r="AM66" s="188"/>
      <c r="AN66" s="196">
        <f>IF(Roster!$AI$11=0,"",Roster!$AI$11)</f>
        <v>1</v>
      </c>
      <c r="AO66" s="188"/>
      <c r="AP66" s="196">
        <f>IF(Roster!$AJ$11=0,"",Roster!$AJ$11)</f>
        <v>6</v>
      </c>
      <c r="AQ66" s="188"/>
      <c r="AR66" s="196" t="str">
        <f>IF(Roster!$Z$11=0,"",Roster!$Z$11)</f>
        <v/>
      </c>
      <c r="AS66" s="199"/>
      <c r="AT66" s="2"/>
      <c r="AU66" s="367" t="str">
        <f>IF(Roster!$N$12=0&amp;"+","",Roster!$N$12)</f>
        <v>6+</v>
      </c>
      <c r="AV66" s="188"/>
      <c r="AW66" s="196" t="str">
        <f>IF(Roster!$AD$12=0,"",Roster!$AD$12)</f>
        <v/>
      </c>
      <c r="AX66" s="188"/>
      <c r="AY66" s="196" t="str">
        <f>IF(Roster!$AE$12=0,"",Roster!$AE$12)</f>
        <v/>
      </c>
      <c r="AZ66" s="188"/>
      <c r="BA66" s="196" t="str">
        <f>IF(Roster!$AA$12=0,"",Roster!$AA$12)</f>
        <v/>
      </c>
      <c r="BB66" s="188"/>
      <c r="BC66" s="196" t="str">
        <f>IF(Roster!$AI$12=0,"",Roster!$AI$12)</f>
        <v/>
      </c>
      <c r="BD66" s="188"/>
      <c r="BE66" s="196">
        <f>IF(Roster!$AJ$12=0,"",Roster!$AJ$12)</f>
        <v>3</v>
      </c>
      <c r="BF66" s="188"/>
      <c r="BG66" s="196" t="str">
        <f>IF(Roster!$Z$12=0,"",Roster!$Z$12)</f>
        <v/>
      </c>
      <c r="BH66" s="199"/>
    </row>
    <row r="67" spans="1:60" ht="4.5" customHeight="1">
      <c r="A67" s="2"/>
      <c r="B67" s="240"/>
      <c r="C67" s="188"/>
      <c r="D67" s="188"/>
      <c r="E67" s="188"/>
      <c r="F67" s="188"/>
      <c r="G67" s="188"/>
      <c r="H67" s="188"/>
      <c r="I67" s="188"/>
      <c r="J67" s="188"/>
      <c r="K67" s="188"/>
      <c r="L67" s="188"/>
      <c r="M67" s="188"/>
      <c r="N67" s="194"/>
      <c r="O67" s="199"/>
      <c r="P67" s="2"/>
      <c r="Q67" s="240"/>
      <c r="R67" s="188"/>
      <c r="S67" s="188"/>
      <c r="T67" s="188"/>
      <c r="U67" s="188"/>
      <c r="V67" s="188"/>
      <c r="W67" s="188"/>
      <c r="X67" s="188"/>
      <c r="Y67" s="188"/>
      <c r="Z67" s="188"/>
      <c r="AA67" s="188"/>
      <c r="AB67" s="188"/>
      <c r="AC67" s="194"/>
      <c r="AD67" s="199"/>
      <c r="AE67" s="2"/>
      <c r="AF67" s="240"/>
      <c r="AG67" s="188"/>
      <c r="AH67" s="188"/>
      <c r="AI67" s="188"/>
      <c r="AJ67" s="188"/>
      <c r="AK67" s="188"/>
      <c r="AL67" s="188"/>
      <c r="AM67" s="188"/>
      <c r="AN67" s="188"/>
      <c r="AO67" s="188"/>
      <c r="AP67" s="188"/>
      <c r="AQ67" s="188"/>
      <c r="AR67" s="194"/>
      <c r="AS67" s="199"/>
      <c r="AT67" s="2"/>
      <c r="AU67" s="240"/>
      <c r="AV67" s="188"/>
      <c r="AW67" s="188"/>
      <c r="AX67" s="188"/>
      <c r="AY67" s="188"/>
      <c r="AZ67" s="188"/>
      <c r="BA67" s="188"/>
      <c r="BB67" s="188"/>
      <c r="BC67" s="188"/>
      <c r="BD67" s="188"/>
      <c r="BE67" s="188"/>
      <c r="BF67" s="188"/>
      <c r="BG67" s="194"/>
      <c r="BH67" s="199"/>
    </row>
    <row r="68" spans="1:60" ht="11.25" customHeight="1">
      <c r="A68" s="2"/>
      <c r="B68" s="240"/>
      <c r="C68" s="188"/>
      <c r="D68" s="353" t="str">
        <f>IF(Roster!$J$25="Italiano","ABILITÀ &amp; TRATTI",(IF(Roster!$J$25="Español","HABILIDADES Y RASGOS","SKILLS &amp; TRAITS")))</f>
        <v>ABILITÀ &amp; TRATTI</v>
      </c>
      <c r="E68" s="243"/>
      <c r="F68" s="243"/>
      <c r="G68" s="243"/>
      <c r="H68" s="243"/>
      <c r="I68" s="243"/>
      <c r="J68" s="243"/>
      <c r="K68" s="243"/>
      <c r="L68" s="243"/>
      <c r="M68" s="243"/>
      <c r="N68" s="244"/>
      <c r="O68" s="199"/>
      <c r="P68" s="2"/>
      <c r="Q68" s="240"/>
      <c r="R68" s="188"/>
      <c r="S68" s="353" t="str">
        <f>IF(Roster!$J$25="Italiano","ABILITÀ &amp; TRATTI",(IF(Roster!$J$25="Español","HABILIDADES Y RASGOS","SKILLS &amp; TRAITS")))</f>
        <v>ABILITÀ &amp; TRATTI</v>
      </c>
      <c r="T68" s="243"/>
      <c r="U68" s="243"/>
      <c r="V68" s="243"/>
      <c r="W68" s="243"/>
      <c r="X68" s="243"/>
      <c r="Y68" s="243"/>
      <c r="Z68" s="243"/>
      <c r="AA68" s="243"/>
      <c r="AB68" s="243"/>
      <c r="AC68" s="244"/>
      <c r="AD68" s="199"/>
      <c r="AE68" s="2"/>
      <c r="AF68" s="240"/>
      <c r="AG68" s="188"/>
      <c r="AH68" s="353" t="str">
        <f>IF(Roster!$J$25="Italiano","ABILITÀ &amp; TRATTI",(IF(Roster!$J$25="Español","HABILIDADES Y RASGOS","SKILLS &amp; TRAITS")))</f>
        <v>ABILITÀ &amp; TRATTI</v>
      </c>
      <c r="AI68" s="243"/>
      <c r="AJ68" s="243"/>
      <c r="AK68" s="243"/>
      <c r="AL68" s="243"/>
      <c r="AM68" s="243"/>
      <c r="AN68" s="243"/>
      <c r="AO68" s="243"/>
      <c r="AP68" s="243"/>
      <c r="AQ68" s="243"/>
      <c r="AR68" s="244"/>
      <c r="AS68" s="199"/>
      <c r="AT68" s="2"/>
      <c r="AU68" s="240"/>
      <c r="AV68" s="188"/>
      <c r="AW68" s="353" t="str">
        <f>IF(Roster!$J$25="Italiano","ABILITÀ &amp; TRATTI",(IF(Roster!$J$25="Español","HABILIDADES Y RASGOS","SKILLS &amp; TRAITS")))</f>
        <v>ABILITÀ &amp; TRATTI</v>
      </c>
      <c r="AX68" s="243"/>
      <c r="AY68" s="243"/>
      <c r="AZ68" s="243"/>
      <c r="BA68" s="243"/>
      <c r="BB68" s="243"/>
      <c r="BC68" s="243"/>
      <c r="BD68" s="243"/>
      <c r="BE68" s="243"/>
      <c r="BF68" s="243"/>
      <c r="BG68" s="244"/>
      <c r="BH68" s="199"/>
    </row>
    <row r="69" spans="1:60" ht="6.75" customHeight="1">
      <c r="A69" s="2"/>
      <c r="B69" s="241"/>
      <c r="C69" s="188"/>
      <c r="D69" s="363" t="str">
        <f>IF(Roster!$O$9=0&amp;BF9,"",Roster!$O$9)</f>
        <v>Dirty Player (+1), Juggernaut, Mighty Blow (+1), Really Stupid, Secret Weapon, Stand Firm, Guard</v>
      </c>
      <c r="E69" s="356"/>
      <c r="F69" s="356"/>
      <c r="G69" s="356"/>
      <c r="H69" s="356"/>
      <c r="I69" s="356"/>
      <c r="J69" s="356"/>
      <c r="K69" s="356"/>
      <c r="L69" s="356"/>
      <c r="M69" s="356"/>
      <c r="N69" s="357"/>
      <c r="O69" s="199"/>
      <c r="P69" s="2"/>
      <c r="Q69" s="241"/>
      <c r="R69" s="188"/>
      <c r="S69" s="363" t="str">
        <f>IF(Roster!$O$10=0&amp;BF10,"",Roster!$O$10)</f>
        <v>Always Hungry, Loner (3+), Mighty Blow (+1), Projectile Vomit, Really Stupid, Regeneration, Throw Team-mate, Stand Firm</v>
      </c>
      <c r="T69" s="356"/>
      <c r="U69" s="356"/>
      <c r="V69" s="356"/>
      <c r="W69" s="356"/>
      <c r="X69" s="356"/>
      <c r="Y69" s="356"/>
      <c r="Z69" s="356"/>
      <c r="AA69" s="356"/>
      <c r="AB69" s="356"/>
      <c r="AC69" s="357"/>
      <c r="AD69" s="199"/>
      <c r="AE69" s="2"/>
      <c r="AF69" s="241"/>
      <c r="AG69" s="188"/>
      <c r="AH69" s="363" t="str">
        <f>IF(Roster!$O$11=0&amp;BF11,"",Roster!$O$11)</f>
        <v>Always Hungry, Loner (3+), Mighty Blow (+1), Projectile Vomit, Really Stupid, Regeneration, Throw Team-mate, Stand Firm - 1 NI</v>
      </c>
      <c r="AI69" s="356"/>
      <c r="AJ69" s="356"/>
      <c r="AK69" s="356"/>
      <c r="AL69" s="356"/>
      <c r="AM69" s="356"/>
      <c r="AN69" s="356"/>
      <c r="AO69" s="356"/>
      <c r="AP69" s="356"/>
      <c r="AQ69" s="356"/>
      <c r="AR69" s="357"/>
      <c r="AS69" s="199"/>
      <c r="AT69" s="2"/>
      <c r="AU69" s="241"/>
      <c r="AV69" s="188"/>
      <c r="AW69" s="363" t="str">
        <f>IF(Roster!$O$12=0&amp;BF12,"",Roster!$O$12)</f>
        <v>Dodge, Right Stuff, Side Step, Stunty, Swarming, Titchy - 1 NI</v>
      </c>
      <c r="AX69" s="356"/>
      <c r="AY69" s="356"/>
      <c r="AZ69" s="356"/>
      <c r="BA69" s="356"/>
      <c r="BB69" s="356"/>
      <c r="BC69" s="356"/>
      <c r="BD69" s="356"/>
      <c r="BE69" s="356"/>
      <c r="BF69" s="356"/>
      <c r="BG69" s="357"/>
      <c r="BH69" s="199"/>
    </row>
    <row r="70" spans="1:60" ht="11.25" customHeight="1">
      <c r="A70" s="2"/>
      <c r="B70" s="187" t="str">
        <f>IF(Roster!$AN$1=0,"",Roster!$AN$1)</f>
        <v>COSTO</v>
      </c>
      <c r="C70" s="187"/>
      <c r="D70" s="358"/>
      <c r="E70" s="277"/>
      <c r="F70" s="277"/>
      <c r="G70" s="277"/>
      <c r="H70" s="277"/>
      <c r="I70" s="277"/>
      <c r="J70" s="277"/>
      <c r="K70" s="277"/>
      <c r="L70" s="277"/>
      <c r="M70" s="277"/>
      <c r="N70" s="336"/>
      <c r="O70" s="200"/>
      <c r="P70" s="2"/>
      <c r="Q70" s="187" t="str">
        <f>IF(Roster!$AN$1=0,"",Roster!$AN$1)</f>
        <v>COSTO</v>
      </c>
      <c r="R70" s="187"/>
      <c r="S70" s="358"/>
      <c r="T70" s="277"/>
      <c r="U70" s="277"/>
      <c r="V70" s="277"/>
      <c r="W70" s="277"/>
      <c r="X70" s="277"/>
      <c r="Y70" s="277"/>
      <c r="Z70" s="277"/>
      <c r="AA70" s="277"/>
      <c r="AB70" s="277"/>
      <c r="AC70" s="336"/>
      <c r="AD70" s="200"/>
      <c r="AE70" s="2"/>
      <c r="AF70" s="187" t="str">
        <f>IF(Roster!$AN$1=0,"",Roster!$AN$1)</f>
        <v>COSTO</v>
      </c>
      <c r="AG70" s="187"/>
      <c r="AH70" s="358"/>
      <c r="AI70" s="277"/>
      <c r="AJ70" s="277"/>
      <c r="AK70" s="277"/>
      <c r="AL70" s="277"/>
      <c r="AM70" s="277"/>
      <c r="AN70" s="277"/>
      <c r="AO70" s="277"/>
      <c r="AP70" s="277"/>
      <c r="AQ70" s="277"/>
      <c r="AR70" s="336"/>
      <c r="AS70" s="200"/>
      <c r="AT70" s="2"/>
      <c r="AU70" s="187" t="str">
        <f>IF(Roster!$AN$1=0,"",Roster!$AN$1)</f>
        <v>COSTO</v>
      </c>
      <c r="AV70" s="187"/>
      <c r="AW70" s="358"/>
      <c r="AX70" s="277"/>
      <c r="AY70" s="277"/>
      <c r="AZ70" s="277"/>
      <c r="BA70" s="277"/>
      <c r="BB70" s="277"/>
      <c r="BC70" s="277"/>
      <c r="BD70" s="277"/>
      <c r="BE70" s="277"/>
      <c r="BF70" s="277"/>
      <c r="BG70" s="336"/>
      <c r="BH70" s="200"/>
    </row>
    <row r="71" spans="1:60" ht="34.5" customHeight="1">
      <c r="A71" s="2"/>
      <c r="B71" s="202">
        <f>IF(Roster!$AN$9=0,"",Roster!$AN$9)</f>
        <v>125000</v>
      </c>
      <c r="C71" s="203"/>
      <c r="D71" s="359"/>
      <c r="E71" s="360"/>
      <c r="F71" s="360"/>
      <c r="G71" s="360"/>
      <c r="H71" s="360"/>
      <c r="I71" s="360"/>
      <c r="J71" s="360"/>
      <c r="K71" s="360"/>
      <c r="L71" s="360"/>
      <c r="M71" s="360"/>
      <c r="N71" s="361"/>
      <c r="O71" s="200"/>
      <c r="P71" s="2"/>
      <c r="Q71" s="202">
        <f>IF(Roster!$AN$10=0,"",Roster!$AN$10)</f>
        <v>135000</v>
      </c>
      <c r="R71" s="203"/>
      <c r="S71" s="359"/>
      <c r="T71" s="360"/>
      <c r="U71" s="360"/>
      <c r="V71" s="360"/>
      <c r="W71" s="360"/>
      <c r="X71" s="360"/>
      <c r="Y71" s="360"/>
      <c r="Z71" s="360"/>
      <c r="AA71" s="360"/>
      <c r="AB71" s="360"/>
      <c r="AC71" s="361"/>
      <c r="AD71" s="200"/>
      <c r="AE71" s="2"/>
      <c r="AF71" s="202">
        <f>IF(Roster!$AN$11=0,"",Roster!$AN$11)</f>
        <v>135000</v>
      </c>
      <c r="AG71" s="203"/>
      <c r="AH71" s="359"/>
      <c r="AI71" s="360"/>
      <c r="AJ71" s="360"/>
      <c r="AK71" s="360"/>
      <c r="AL71" s="360"/>
      <c r="AM71" s="360"/>
      <c r="AN71" s="360"/>
      <c r="AO71" s="360"/>
      <c r="AP71" s="360"/>
      <c r="AQ71" s="360"/>
      <c r="AR71" s="361"/>
      <c r="AS71" s="200"/>
      <c r="AT71" s="2"/>
      <c r="AU71" s="202">
        <f>IF(Roster!$AN$12=0,"",Roster!$AN$12)</f>
        <v>15000</v>
      </c>
      <c r="AV71" s="203"/>
      <c r="AW71" s="359"/>
      <c r="AX71" s="360"/>
      <c r="AY71" s="360"/>
      <c r="AZ71" s="360"/>
      <c r="BA71" s="360"/>
      <c r="BB71" s="360"/>
      <c r="BC71" s="360"/>
      <c r="BD71" s="360"/>
      <c r="BE71" s="360"/>
      <c r="BF71" s="360"/>
      <c r="BG71" s="361"/>
      <c r="BH71" s="200"/>
    </row>
    <row r="72" spans="1:60" ht="4.5" customHeight="1">
      <c r="A72" s="2"/>
      <c r="B72" s="183"/>
      <c r="C72" s="183"/>
      <c r="D72" s="183"/>
      <c r="E72" s="183"/>
      <c r="F72" s="183"/>
      <c r="G72" s="183"/>
      <c r="H72" s="183"/>
      <c r="I72" s="183"/>
      <c r="J72" s="183"/>
      <c r="K72" s="183"/>
      <c r="L72" s="183"/>
      <c r="M72" s="183"/>
      <c r="N72" s="200"/>
      <c r="O72" s="200"/>
      <c r="P72" s="2"/>
      <c r="Q72" s="183"/>
      <c r="R72" s="183"/>
      <c r="S72" s="183"/>
      <c r="T72" s="183"/>
      <c r="U72" s="183"/>
      <c r="V72" s="183"/>
      <c r="W72" s="183"/>
      <c r="X72" s="183"/>
      <c r="Y72" s="183"/>
      <c r="Z72" s="183"/>
      <c r="AA72" s="183"/>
      <c r="AB72" s="183"/>
      <c r="AC72" s="200"/>
      <c r="AD72" s="200"/>
      <c r="AE72" s="2"/>
      <c r="AF72" s="183"/>
      <c r="AG72" s="183"/>
      <c r="AH72" s="183"/>
      <c r="AI72" s="183"/>
      <c r="AJ72" s="183"/>
      <c r="AK72" s="183"/>
      <c r="AL72" s="183"/>
      <c r="AM72" s="183"/>
      <c r="AN72" s="183"/>
      <c r="AO72" s="183"/>
      <c r="AP72" s="183"/>
      <c r="AQ72" s="183"/>
      <c r="AR72" s="200"/>
      <c r="AS72" s="200"/>
      <c r="AT72" s="2"/>
      <c r="AU72" s="183"/>
      <c r="AV72" s="183"/>
      <c r="AW72" s="183"/>
      <c r="AX72" s="183"/>
      <c r="AY72" s="183"/>
      <c r="AZ72" s="183"/>
      <c r="BA72" s="183"/>
      <c r="BB72" s="183"/>
      <c r="BC72" s="183"/>
      <c r="BD72" s="183"/>
      <c r="BE72" s="183"/>
      <c r="BF72" s="183"/>
      <c r="BG72" s="200"/>
      <c r="BH72" s="200"/>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69" t="str">
        <f>IF(Roster!$A$13=0,"","#"&amp;Roster!$A$13)</f>
        <v>#12</v>
      </c>
      <c r="C74" s="183"/>
      <c r="D74" s="183"/>
      <c r="E74" s="183"/>
      <c r="F74" s="183"/>
      <c r="G74" s="183"/>
      <c r="H74" s="183"/>
      <c r="I74" s="183"/>
      <c r="J74" s="183"/>
      <c r="K74" s="183"/>
      <c r="L74" s="183"/>
      <c r="M74" s="183"/>
      <c r="N74" s="183"/>
      <c r="O74" s="183"/>
      <c r="P74" s="2"/>
      <c r="Q74" s="369" t="str">
        <f>IF(Roster!$A$14=0,"","#"&amp;Roster!$A$14)</f>
        <v>#13</v>
      </c>
      <c r="R74" s="183"/>
      <c r="S74" s="183"/>
      <c r="T74" s="183"/>
      <c r="U74" s="183"/>
      <c r="V74" s="183"/>
      <c r="W74" s="183"/>
      <c r="X74" s="183"/>
      <c r="Y74" s="183"/>
      <c r="Z74" s="183"/>
      <c r="AA74" s="183"/>
      <c r="AB74" s="183"/>
      <c r="AC74" s="183"/>
      <c r="AD74" s="183"/>
      <c r="AE74" s="2"/>
      <c r="AF74" s="369" t="str">
        <f>IF(Roster!$A$15=0,"","#"&amp;Roster!$A$15)</f>
        <v>#14</v>
      </c>
      <c r="AG74" s="183"/>
      <c r="AH74" s="183"/>
      <c r="AI74" s="183"/>
      <c r="AJ74" s="183"/>
      <c r="AK74" s="183"/>
      <c r="AL74" s="183"/>
      <c r="AM74" s="183"/>
      <c r="AN74" s="183"/>
      <c r="AO74" s="183"/>
      <c r="AP74" s="183"/>
      <c r="AQ74" s="183"/>
      <c r="AR74" s="183"/>
      <c r="AS74" s="183"/>
      <c r="AT74" s="2"/>
      <c r="AU74" s="369" t="str">
        <f>IF(Roster!$A$16=0,"","#"&amp;Roster!$A$16)</f>
        <v>#15</v>
      </c>
      <c r="AV74" s="183"/>
      <c r="AW74" s="183"/>
      <c r="AX74" s="183"/>
      <c r="AY74" s="183"/>
      <c r="AZ74" s="183"/>
      <c r="BA74" s="183"/>
      <c r="BB74" s="183"/>
      <c r="BC74" s="183"/>
      <c r="BD74" s="183"/>
      <c r="BE74" s="183"/>
      <c r="BF74" s="183"/>
      <c r="BG74" s="183"/>
      <c r="BH74" s="183"/>
    </row>
    <row r="75" spans="1:60" ht="15" customHeight="1">
      <c r="A75" s="2"/>
      <c r="B75" s="240"/>
      <c r="C75" s="354" t="str">
        <f>IF(Roster!$B$13=0,"",Roster!$B$13)</f>
        <v>Uff</v>
      </c>
      <c r="D75" s="243"/>
      <c r="E75" s="243"/>
      <c r="F75" s="243"/>
      <c r="G75" s="243"/>
      <c r="H75" s="243"/>
      <c r="I75" s="243"/>
      <c r="J75" s="243"/>
      <c r="K75" s="243"/>
      <c r="L75" s="243"/>
      <c r="M75" s="243"/>
      <c r="N75" s="244"/>
      <c r="O75" s="183"/>
      <c r="P75" s="2"/>
      <c r="Q75" s="240"/>
      <c r="R75" s="354" t="str">
        <f>IF(Roster!$B$14=0,"",Roster!$B$14)</f>
        <v>Bleah</v>
      </c>
      <c r="S75" s="243"/>
      <c r="T75" s="243"/>
      <c r="U75" s="243"/>
      <c r="V75" s="243"/>
      <c r="W75" s="243"/>
      <c r="X75" s="243"/>
      <c r="Y75" s="243"/>
      <c r="Z75" s="243"/>
      <c r="AA75" s="243"/>
      <c r="AB75" s="243"/>
      <c r="AC75" s="244"/>
      <c r="AD75" s="183"/>
      <c r="AE75" s="2"/>
      <c r="AF75" s="240"/>
      <c r="AG75" s="354" t="str">
        <f>IF(Roster!$B$15=0,"",Roster!$B$15)</f>
        <v>Gosh</v>
      </c>
      <c r="AH75" s="243"/>
      <c r="AI75" s="243"/>
      <c r="AJ75" s="243"/>
      <c r="AK75" s="243"/>
      <c r="AL75" s="243"/>
      <c r="AM75" s="243"/>
      <c r="AN75" s="243"/>
      <c r="AO75" s="243"/>
      <c r="AP75" s="243"/>
      <c r="AQ75" s="243"/>
      <c r="AR75" s="244"/>
      <c r="AS75" s="183"/>
      <c r="AT75" s="2"/>
      <c r="AU75" s="240"/>
      <c r="AV75" s="354" t="str">
        <f>IF(Roster!$B$16=0,"",Roster!$B$16)</f>
        <v>Pif</v>
      </c>
      <c r="AW75" s="243"/>
      <c r="AX75" s="243"/>
      <c r="AY75" s="243"/>
      <c r="AZ75" s="243"/>
      <c r="BA75" s="243"/>
      <c r="BB75" s="243"/>
      <c r="BC75" s="243"/>
      <c r="BD75" s="243"/>
      <c r="BE75" s="243"/>
      <c r="BF75" s="243"/>
      <c r="BG75" s="244"/>
      <c r="BH75" s="183"/>
    </row>
    <row r="76" spans="1:60" ht="11.25" customHeight="1">
      <c r="A76" s="2"/>
      <c r="B76" s="241"/>
      <c r="C76" s="370" t="str">
        <f>IF(Roster!$C$13=0,"",Roster!$C$13)</f>
        <v>Snotling</v>
      </c>
      <c r="D76" s="243"/>
      <c r="E76" s="243"/>
      <c r="F76" s="243"/>
      <c r="G76" s="243"/>
      <c r="H76" s="243"/>
      <c r="I76" s="243"/>
      <c r="J76" s="243"/>
      <c r="K76" s="243"/>
      <c r="L76" s="243"/>
      <c r="M76" s="243"/>
      <c r="N76" s="244"/>
      <c r="O76" s="184"/>
      <c r="P76" s="2"/>
      <c r="Q76" s="241"/>
      <c r="R76" s="370" t="str">
        <f>IF(Roster!$C$14=0,"",Roster!$C$14)</f>
        <v>Snotling</v>
      </c>
      <c r="S76" s="243"/>
      <c r="T76" s="243"/>
      <c r="U76" s="243"/>
      <c r="V76" s="243"/>
      <c r="W76" s="243"/>
      <c r="X76" s="243"/>
      <c r="Y76" s="243"/>
      <c r="Z76" s="243"/>
      <c r="AA76" s="243"/>
      <c r="AB76" s="243"/>
      <c r="AC76" s="244"/>
      <c r="AD76" s="184"/>
      <c r="AE76" s="2"/>
      <c r="AF76" s="241"/>
      <c r="AG76" s="370" t="str">
        <f>IF(Roster!$C$15=0,"",Roster!$C$15)</f>
        <v>Snotling</v>
      </c>
      <c r="AH76" s="243"/>
      <c r="AI76" s="243"/>
      <c r="AJ76" s="243"/>
      <c r="AK76" s="243"/>
      <c r="AL76" s="243"/>
      <c r="AM76" s="243"/>
      <c r="AN76" s="243"/>
      <c r="AO76" s="243"/>
      <c r="AP76" s="243"/>
      <c r="AQ76" s="243"/>
      <c r="AR76" s="244"/>
      <c r="AS76" s="184"/>
      <c r="AT76" s="2"/>
      <c r="AU76" s="241"/>
      <c r="AV76" s="370" t="str">
        <f>IF(Roster!$C$16=0,"",Roster!$C$16)</f>
        <v>Snotling</v>
      </c>
      <c r="AW76" s="243"/>
      <c r="AX76" s="243"/>
      <c r="AY76" s="243"/>
      <c r="AZ76" s="243"/>
      <c r="BA76" s="243"/>
      <c r="BB76" s="243"/>
      <c r="BC76" s="243"/>
      <c r="BD76" s="243"/>
      <c r="BE76" s="243"/>
      <c r="BF76" s="243"/>
      <c r="BG76" s="244"/>
      <c r="BH76" s="184"/>
    </row>
    <row r="77" spans="1:60" ht="11.25" customHeight="1">
      <c r="A77" s="2"/>
      <c r="B77" s="187" t="str">
        <f>IF(Roster!$J$1=0,"",Roster!$J$1)</f>
        <v>MA</v>
      </c>
      <c r="C77" s="186"/>
      <c r="D77" s="368"/>
      <c r="E77" s="277"/>
      <c r="F77" s="277"/>
      <c r="G77" s="277"/>
      <c r="H77" s="277"/>
      <c r="I77" s="277"/>
      <c r="J77" s="277"/>
      <c r="K77" s="277"/>
      <c r="L77" s="277"/>
      <c r="M77" s="277"/>
      <c r="N77" s="277"/>
      <c r="O77" s="183"/>
      <c r="P77" s="2"/>
      <c r="Q77" s="187" t="str">
        <f>IF(Roster!$J$1=0,"",Roster!$J$1)</f>
        <v>MA</v>
      </c>
      <c r="R77" s="186"/>
      <c r="S77" s="368"/>
      <c r="T77" s="277"/>
      <c r="U77" s="277"/>
      <c r="V77" s="277"/>
      <c r="W77" s="277"/>
      <c r="X77" s="277"/>
      <c r="Y77" s="277"/>
      <c r="Z77" s="277"/>
      <c r="AA77" s="277"/>
      <c r="AB77" s="277"/>
      <c r="AC77" s="277"/>
      <c r="AD77" s="183"/>
      <c r="AE77" s="2"/>
      <c r="AF77" s="187" t="str">
        <f>IF(Roster!$J$1=0,"",Roster!$J$1)</f>
        <v>MA</v>
      </c>
      <c r="AG77" s="186"/>
      <c r="AH77" s="368"/>
      <c r="AI77" s="277"/>
      <c r="AJ77" s="277"/>
      <c r="AK77" s="277"/>
      <c r="AL77" s="277"/>
      <c r="AM77" s="277"/>
      <c r="AN77" s="277"/>
      <c r="AO77" s="277"/>
      <c r="AP77" s="277"/>
      <c r="AQ77" s="277"/>
      <c r="AR77" s="277"/>
      <c r="AS77" s="183"/>
      <c r="AT77" s="2"/>
      <c r="AU77" s="187" t="str">
        <f>IF(Roster!$J$1=0,"",Roster!$J$1)</f>
        <v>MA</v>
      </c>
      <c r="AV77" s="186"/>
      <c r="AW77" s="368"/>
      <c r="AX77" s="277"/>
      <c r="AY77" s="277"/>
      <c r="AZ77" s="277"/>
      <c r="BA77" s="277"/>
      <c r="BB77" s="277"/>
      <c r="BC77" s="277"/>
      <c r="BD77" s="277"/>
      <c r="BE77" s="277"/>
      <c r="BF77" s="277"/>
      <c r="BG77" s="277"/>
      <c r="BH77" s="183"/>
    </row>
    <row r="78" spans="1:60" ht="37.5" customHeight="1">
      <c r="A78" s="2"/>
      <c r="B78" s="189">
        <f>IF(Roster!$J$13=0,"",Roster!$J$13)</f>
        <v>5</v>
      </c>
      <c r="C78" s="186"/>
      <c r="D78" s="277"/>
      <c r="E78" s="277"/>
      <c r="F78" s="277"/>
      <c r="G78" s="277"/>
      <c r="H78" s="277"/>
      <c r="I78" s="277"/>
      <c r="J78" s="277"/>
      <c r="K78" s="277"/>
      <c r="L78" s="277"/>
      <c r="M78" s="277"/>
      <c r="N78" s="277"/>
      <c r="O78" s="183"/>
      <c r="P78" s="2"/>
      <c r="Q78" s="189">
        <f>IF(Roster!$J$14=0,"",Roster!$J$14)</f>
        <v>5</v>
      </c>
      <c r="R78" s="186"/>
      <c r="S78" s="277"/>
      <c r="T78" s="277"/>
      <c r="U78" s="277"/>
      <c r="V78" s="277"/>
      <c r="W78" s="277"/>
      <c r="X78" s="277"/>
      <c r="Y78" s="277"/>
      <c r="Z78" s="277"/>
      <c r="AA78" s="277"/>
      <c r="AB78" s="277"/>
      <c r="AC78" s="277"/>
      <c r="AD78" s="183"/>
      <c r="AE78" s="2"/>
      <c r="AF78" s="189">
        <f>IF(Roster!$J$15=0,"",Roster!$J$15)</f>
        <v>5</v>
      </c>
      <c r="AG78" s="186"/>
      <c r="AH78" s="277"/>
      <c r="AI78" s="277"/>
      <c r="AJ78" s="277"/>
      <c r="AK78" s="277"/>
      <c r="AL78" s="277"/>
      <c r="AM78" s="277"/>
      <c r="AN78" s="277"/>
      <c r="AO78" s="277"/>
      <c r="AP78" s="277"/>
      <c r="AQ78" s="277"/>
      <c r="AR78" s="277"/>
      <c r="AS78" s="183"/>
      <c r="AT78" s="2"/>
      <c r="AU78" s="189">
        <f>IF(Roster!$J$16=0,"",Roster!$J$16)</f>
        <v>5</v>
      </c>
      <c r="AV78" s="186"/>
      <c r="AW78" s="277"/>
      <c r="AX78" s="277"/>
      <c r="AY78" s="277"/>
      <c r="AZ78" s="277"/>
      <c r="BA78" s="277"/>
      <c r="BB78" s="277"/>
      <c r="BC78" s="277"/>
      <c r="BD78" s="277"/>
      <c r="BE78" s="277"/>
      <c r="BF78" s="277"/>
      <c r="BG78" s="277"/>
      <c r="BH78" s="183"/>
    </row>
    <row r="79" spans="1:60" ht="11.25" customHeight="1">
      <c r="A79" s="2"/>
      <c r="B79" s="187" t="str">
        <f>IF(Roster!$K$1=0,"",Roster!$K$1)</f>
        <v>ST</v>
      </c>
      <c r="C79" s="186"/>
      <c r="D79" s="277"/>
      <c r="E79" s="277"/>
      <c r="F79" s="277"/>
      <c r="G79" s="277"/>
      <c r="H79" s="277"/>
      <c r="I79" s="277"/>
      <c r="J79" s="277"/>
      <c r="K79" s="277"/>
      <c r="L79" s="277"/>
      <c r="M79" s="277"/>
      <c r="N79" s="277"/>
      <c r="O79" s="183"/>
      <c r="P79" s="2"/>
      <c r="Q79" s="187" t="str">
        <f>IF(Roster!$K$1=0,"",Roster!$K$1)</f>
        <v>ST</v>
      </c>
      <c r="R79" s="186"/>
      <c r="S79" s="277"/>
      <c r="T79" s="277"/>
      <c r="U79" s="277"/>
      <c r="V79" s="277"/>
      <c r="W79" s="277"/>
      <c r="X79" s="277"/>
      <c r="Y79" s="277"/>
      <c r="Z79" s="277"/>
      <c r="AA79" s="277"/>
      <c r="AB79" s="277"/>
      <c r="AC79" s="277"/>
      <c r="AD79" s="183"/>
      <c r="AE79" s="2"/>
      <c r="AF79" s="187" t="str">
        <f>IF(Roster!$K$1=0,"",Roster!$K$1)</f>
        <v>ST</v>
      </c>
      <c r="AG79" s="186"/>
      <c r="AH79" s="277"/>
      <c r="AI79" s="277"/>
      <c r="AJ79" s="277"/>
      <c r="AK79" s="277"/>
      <c r="AL79" s="277"/>
      <c r="AM79" s="277"/>
      <c r="AN79" s="277"/>
      <c r="AO79" s="277"/>
      <c r="AP79" s="277"/>
      <c r="AQ79" s="277"/>
      <c r="AR79" s="277"/>
      <c r="AS79" s="183"/>
      <c r="AT79" s="2"/>
      <c r="AU79" s="187" t="str">
        <f>IF(Roster!$K$1=0,"",Roster!$K$1)</f>
        <v>ST</v>
      </c>
      <c r="AV79" s="186"/>
      <c r="AW79" s="277"/>
      <c r="AX79" s="277"/>
      <c r="AY79" s="277"/>
      <c r="AZ79" s="277"/>
      <c r="BA79" s="277"/>
      <c r="BB79" s="277"/>
      <c r="BC79" s="277"/>
      <c r="BD79" s="277"/>
      <c r="BE79" s="277"/>
      <c r="BF79" s="277"/>
      <c r="BG79" s="277"/>
      <c r="BH79" s="183"/>
    </row>
    <row r="80" spans="1:60" ht="37.5" customHeight="1">
      <c r="A80" s="2"/>
      <c r="B80" s="189">
        <f>IF(Roster!$K$13=0,"",Roster!$K$13)</f>
        <v>1</v>
      </c>
      <c r="C80" s="186"/>
      <c r="D80" s="277"/>
      <c r="E80" s="277"/>
      <c r="F80" s="277"/>
      <c r="G80" s="277"/>
      <c r="H80" s="277"/>
      <c r="I80" s="277"/>
      <c r="J80" s="277"/>
      <c r="K80" s="277"/>
      <c r="L80" s="277"/>
      <c r="M80" s="277"/>
      <c r="N80" s="277"/>
      <c r="O80" s="183"/>
      <c r="P80" s="2"/>
      <c r="Q80" s="189">
        <f>IF(Roster!$K$14=0,"",Roster!$K$14)</f>
        <v>1</v>
      </c>
      <c r="R80" s="186"/>
      <c r="S80" s="277"/>
      <c r="T80" s="277"/>
      <c r="U80" s="277"/>
      <c r="V80" s="277"/>
      <c r="W80" s="277"/>
      <c r="X80" s="277"/>
      <c r="Y80" s="277"/>
      <c r="Z80" s="277"/>
      <c r="AA80" s="277"/>
      <c r="AB80" s="277"/>
      <c r="AC80" s="277"/>
      <c r="AD80" s="183"/>
      <c r="AE80" s="2"/>
      <c r="AF80" s="189">
        <f>IF(Roster!$K$15=0,"",Roster!$K$15)</f>
        <v>1</v>
      </c>
      <c r="AG80" s="186"/>
      <c r="AH80" s="277"/>
      <c r="AI80" s="277"/>
      <c r="AJ80" s="277"/>
      <c r="AK80" s="277"/>
      <c r="AL80" s="277"/>
      <c r="AM80" s="277"/>
      <c r="AN80" s="277"/>
      <c r="AO80" s="277"/>
      <c r="AP80" s="277"/>
      <c r="AQ80" s="277"/>
      <c r="AR80" s="277"/>
      <c r="AS80" s="183"/>
      <c r="AT80" s="2"/>
      <c r="AU80" s="189">
        <f>IF(Roster!$K$16=0,"",Roster!$K$16)</f>
        <v>1</v>
      </c>
      <c r="AV80" s="186"/>
      <c r="AW80" s="277"/>
      <c r="AX80" s="277"/>
      <c r="AY80" s="277"/>
      <c r="AZ80" s="277"/>
      <c r="BA80" s="277"/>
      <c r="BB80" s="277"/>
      <c r="BC80" s="277"/>
      <c r="BD80" s="277"/>
      <c r="BE80" s="277"/>
      <c r="BF80" s="277"/>
      <c r="BG80" s="277"/>
      <c r="BH80" s="183"/>
    </row>
    <row r="81" spans="1:60" ht="11.25" customHeight="1">
      <c r="A81" s="2"/>
      <c r="B81" s="187" t="str">
        <f>IF(Roster!$L$1=0,"",Roster!$L$1)</f>
        <v>AG</v>
      </c>
      <c r="C81" s="186"/>
      <c r="D81" s="277"/>
      <c r="E81" s="277"/>
      <c r="F81" s="277"/>
      <c r="G81" s="277"/>
      <c r="H81" s="277"/>
      <c r="I81" s="277"/>
      <c r="J81" s="277"/>
      <c r="K81" s="277"/>
      <c r="L81" s="277"/>
      <c r="M81" s="277"/>
      <c r="N81" s="277"/>
      <c r="O81" s="183"/>
      <c r="P81" s="2"/>
      <c r="Q81" s="187" t="str">
        <f>IF(Roster!$L$1=0,"",Roster!$L$1)</f>
        <v>AG</v>
      </c>
      <c r="R81" s="186"/>
      <c r="S81" s="277"/>
      <c r="T81" s="277"/>
      <c r="U81" s="277"/>
      <c r="V81" s="277"/>
      <c r="W81" s="277"/>
      <c r="X81" s="277"/>
      <c r="Y81" s="277"/>
      <c r="Z81" s="277"/>
      <c r="AA81" s="277"/>
      <c r="AB81" s="277"/>
      <c r="AC81" s="277"/>
      <c r="AD81" s="183"/>
      <c r="AE81" s="2"/>
      <c r="AF81" s="187" t="str">
        <f>IF(Roster!$L$1=0,"",Roster!$L$1)</f>
        <v>AG</v>
      </c>
      <c r="AG81" s="186"/>
      <c r="AH81" s="277"/>
      <c r="AI81" s="277"/>
      <c r="AJ81" s="277"/>
      <c r="AK81" s="277"/>
      <c r="AL81" s="277"/>
      <c r="AM81" s="277"/>
      <c r="AN81" s="277"/>
      <c r="AO81" s="277"/>
      <c r="AP81" s="277"/>
      <c r="AQ81" s="277"/>
      <c r="AR81" s="277"/>
      <c r="AS81" s="183"/>
      <c r="AT81" s="2"/>
      <c r="AU81" s="187" t="str">
        <f>IF(Roster!$L$1=0,"",Roster!$L$1)</f>
        <v>AG</v>
      </c>
      <c r="AV81" s="186"/>
      <c r="AW81" s="277"/>
      <c r="AX81" s="277"/>
      <c r="AY81" s="277"/>
      <c r="AZ81" s="277"/>
      <c r="BA81" s="277"/>
      <c r="BB81" s="277"/>
      <c r="BC81" s="277"/>
      <c r="BD81" s="277"/>
      <c r="BE81" s="277"/>
      <c r="BF81" s="277"/>
      <c r="BG81" s="277"/>
      <c r="BH81" s="183"/>
    </row>
    <row r="82" spans="1:60" ht="37.5" customHeight="1">
      <c r="A82" s="2"/>
      <c r="B82" s="189" t="str">
        <f>IF(Roster!$L$13=0&amp;"+","",Roster!$L$13)</f>
        <v>3+</v>
      </c>
      <c r="C82" s="186"/>
      <c r="D82" s="277"/>
      <c r="E82" s="277"/>
      <c r="F82" s="277"/>
      <c r="G82" s="277"/>
      <c r="H82" s="277"/>
      <c r="I82" s="277"/>
      <c r="J82" s="277"/>
      <c r="K82" s="277"/>
      <c r="L82" s="277"/>
      <c r="M82" s="277"/>
      <c r="N82" s="277"/>
      <c r="O82" s="183"/>
      <c r="P82" s="2"/>
      <c r="Q82" s="189" t="str">
        <f>IF(Roster!$L$14=0&amp;"+","",Roster!$L$14)</f>
        <v>3+</v>
      </c>
      <c r="R82" s="186"/>
      <c r="S82" s="277"/>
      <c r="T82" s="277"/>
      <c r="U82" s="277"/>
      <c r="V82" s="277"/>
      <c r="W82" s="277"/>
      <c r="X82" s="277"/>
      <c r="Y82" s="277"/>
      <c r="Z82" s="277"/>
      <c r="AA82" s="277"/>
      <c r="AB82" s="277"/>
      <c r="AC82" s="277"/>
      <c r="AD82" s="183"/>
      <c r="AE82" s="2"/>
      <c r="AF82" s="189" t="str">
        <f>IF(Roster!$L$15=0&amp;"+","",Roster!$L$15)</f>
        <v>3+</v>
      </c>
      <c r="AG82" s="186"/>
      <c r="AH82" s="277"/>
      <c r="AI82" s="277"/>
      <c r="AJ82" s="277"/>
      <c r="AK82" s="277"/>
      <c r="AL82" s="277"/>
      <c r="AM82" s="277"/>
      <c r="AN82" s="277"/>
      <c r="AO82" s="277"/>
      <c r="AP82" s="277"/>
      <c r="AQ82" s="277"/>
      <c r="AR82" s="277"/>
      <c r="AS82" s="183"/>
      <c r="AT82" s="2"/>
      <c r="AU82" s="189" t="str">
        <f>IF(Roster!$L$16=0&amp;"+","",Roster!$L$16)</f>
        <v>3+</v>
      </c>
      <c r="AV82" s="186"/>
      <c r="AW82" s="277"/>
      <c r="AX82" s="277"/>
      <c r="AY82" s="277"/>
      <c r="AZ82" s="277"/>
      <c r="BA82" s="277"/>
      <c r="BB82" s="277"/>
      <c r="BC82" s="277"/>
      <c r="BD82" s="277"/>
      <c r="BE82" s="277"/>
      <c r="BF82" s="277"/>
      <c r="BG82" s="277"/>
      <c r="BH82" s="183"/>
    </row>
    <row r="83" spans="1:60" ht="11.25" customHeight="1">
      <c r="A83" s="2"/>
      <c r="B83" s="187" t="str">
        <f>IF(Roster!$M$1=0,"",Roster!$M$1)</f>
        <v>PA</v>
      </c>
      <c r="C83" s="186"/>
      <c r="D83" s="277"/>
      <c r="E83" s="277"/>
      <c r="F83" s="277"/>
      <c r="G83" s="277"/>
      <c r="H83" s="277"/>
      <c r="I83" s="277"/>
      <c r="J83" s="277"/>
      <c r="K83" s="277"/>
      <c r="L83" s="277"/>
      <c r="M83" s="277"/>
      <c r="N83" s="277"/>
      <c r="O83" s="192"/>
      <c r="P83" s="2"/>
      <c r="Q83" s="187" t="str">
        <f>IF(Roster!$M$1=0,"",Roster!$M$1)</f>
        <v>PA</v>
      </c>
      <c r="R83" s="186"/>
      <c r="S83" s="277"/>
      <c r="T83" s="277"/>
      <c r="U83" s="277"/>
      <c r="V83" s="277"/>
      <c r="W83" s="277"/>
      <c r="X83" s="277"/>
      <c r="Y83" s="277"/>
      <c r="Z83" s="277"/>
      <c r="AA83" s="277"/>
      <c r="AB83" s="277"/>
      <c r="AC83" s="277"/>
      <c r="AD83" s="192"/>
      <c r="AE83" s="2"/>
      <c r="AF83" s="187" t="str">
        <f>IF(Roster!$M$1=0,"",Roster!$M$1)</f>
        <v>PA</v>
      </c>
      <c r="AG83" s="186"/>
      <c r="AH83" s="277"/>
      <c r="AI83" s="277"/>
      <c r="AJ83" s="277"/>
      <c r="AK83" s="277"/>
      <c r="AL83" s="277"/>
      <c r="AM83" s="277"/>
      <c r="AN83" s="277"/>
      <c r="AO83" s="277"/>
      <c r="AP83" s="277"/>
      <c r="AQ83" s="277"/>
      <c r="AR83" s="277"/>
      <c r="AS83" s="192"/>
      <c r="AT83" s="2"/>
      <c r="AU83" s="187" t="str">
        <f>IF(Roster!$M$1=0,"",Roster!$M$1)</f>
        <v>PA</v>
      </c>
      <c r="AV83" s="186"/>
      <c r="AW83" s="277"/>
      <c r="AX83" s="277"/>
      <c r="AY83" s="277"/>
      <c r="AZ83" s="277"/>
      <c r="BA83" s="277"/>
      <c r="BB83" s="277"/>
      <c r="BC83" s="277"/>
      <c r="BD83" s="277"/>
      <c r="BE83" s="277"/>
      <c r="BF83" s="277"/>
      <c r="BG83" s="277"/>
      <c r="BH83" s="192"/>
    </row>
    <row r="84" spans="1:60" ht="6" customHeight="1">
      <c r="A84" s="2"/>
      <c r="B84" s="367" t="str">
        <f>IF(Roster!$M$13=0&amp;"+","",Roster!$M$13)</f>
        <v>5+</v>
      </c>
      <c r="C84" s="186"/>
      <c r="D84" s="277"/>
      <c r="E84" s="277"/>
      <c r="F84" s="277"/>
      <c r="G84" s="277"/>
      <c r="H84" s="277"/>
      <c r="I84" s="277"/>
      <c r="J84" s="277"/>
      <c r="K84" s="277"/>
      <c r="L84" s="277"/>
      <c r="M84" s="277"/>
      <c r="N84" s="277"/>
      <c r="O84" s="194"/>
      <c r="P84" s="2"/>
      <c r="Q84" s="367" t="str">
        <f>IF(Roster!$M$14=0&amp;"+","",Roster!$M$14)</f>
        <v>5+</v>
      </c>
      <c r="R84" s="186"/>
      <c r="S84" s="277"/>
      <c r="T84" s="277"/>
      <c r="U84" s="277"/>
      <c r="V84" s="277"/>
      <c r="W84" s="277"/>
      <c r="X84" s="277"/>
      <c r="Y84" s="277"/>
      <c r="Z84" s="277"/>
      <c r="AA84" s="277"/>
      <c r="AB84" s="277"/>
      <c r="AC84" s="277"/>
      <c r="AD84" s="194"/>
      <c r="AE84" s="2"/>
      <c r="AF84" s="367" t="str">
        <f>IF(Roster!$M$15=0&amp;"+","",Roster!$M$15)</f>
        <v>5+</v>
      </c>
      <c r="AG84" s="186"/>
      <c r="AH84" s="277"/>
      <c r="AI84" s="277"/>
      <c r="AJ84" s="277"/>
      <c r="AK84" s="277"/>
      <c r="AL84" s="277"/>
      <c r="AM84" s="277"/>
      <c r="AN84" s="277"/>
      <c r="AO84" s="277"/>
      <c r="AP84" s="277"/>
      <c r="AQ84" s="277"/>
      <c r="AR84" s="277"/>
      <c r="AS84" s="194"/>
      <c r="AT84" s="2"/>
      <c r="AU84" s="367" t="str">
        <f>IF(Roster!$M$16=0&amp;"+","",Roster!$M$16)</f>
        <v>5+</v>
      </c>
      <c r="AV84" s="186"/>
      <c r="AW84" s="277"/>
      <c r="AX84" s="277"/>
      <c r="AY84" s="277"/>
      <c r="AZ84" s="277"/>
      <c r="BA84" s="277"/>
      <c r="BB84" s="277"/>
      <c r="BC84" s="277"/>
      <c r="BD84" s="277"/>
      <c r="BE84" s="277"/>
      <c r="BF84" s="277"/>
      <c r="BG84" s="277"/>
      <c r="BH84" s="194"/>
    </row>
    <row r="85" spans="1:60" ht="4.5" customHeight="1">
      <c r="A85" s="2"/>
      <c r="B85" s="240"/>
      <c r="C85" s="186"/>
      <c r="D85" s="183"/>
      <c r="E85" s="193"/>
      <c r="F85" s="183"/>
      <c r="G85" s="193"/>
      <c r="H85" s="183"/>
      <c r="I85" s="193"/>
      <c r="J85" s="183"/>
      <c r="K85" s="193"/>
      <c r="L85" s="183"/>
      <c r="M85" s="193"/>
      <c r="N85" s="183"/>
      <c r="O85" s="194"/>
      <c r="P85" s="2"/>
      <c r="Q85" s="240"/>
      <c r="R85" s="186"/>
      <c r="S85" s="183"/>
      <c r="T85" s="193"/>
      <c r="U85" s="183"/>
      <c r="V85" s="193"/>
      <c r="W85" s="183"/>
      <c r="X85" s="193"/>
      <c r="Y85" s="183"/>
      <c r="Z85" s="193"/>
      <c r="AA85" s="183"/>
      <c r="AB85" s="193"/>
      <c r="AC85" s="183"/>
      <c r="AD85" s="194"/>
      <c r="AE85" s="2"/>
      <c r="AF85" s="240"/>
      <c r="AG85" s="186"/>
      <c r="AH85" s="183"/>
      <c r="AI85" s="193"/>
      <c r="AJ85" s="183"/>
      <c r="AK85" s="193"/>
      <c r="AL85" s="183"/>
      <c r="AM85" s="193"/>
      <c r="AN85" s="183"/>
      <c r="AO85" s="193"/>
      <c r="AP85" s="183"/>
      <c r="AQ85" s="193"/>
      <c r="AR85" s="183"/>
      <c r="AS85" s="194"/>
      <c r="AT85" s="2"/>
      <c r="AU85" s="240"/>
      <c r="AV85" s="186"/>
      <c r="AW85" s="183"/>
      <c r="AX85" s="193"/>
      <c r="AY85" s="183"/>
      <c r="AZ85" s="193"/>
      <c r="BA85" s="183"/>
      <c r="BB85" s="193"/>
      <c r="BC85" s="183"/>
      <c r="BD85" s="193"/>
      <c r="BE85" s="183"/>
      <c r="BF85" s="193"/>
      <c r="BG85" s="183"/>
      <c r="BH85" s="194"/>
    </row>
    <row r="86" spans="1:60" ht="11.25" customHeight="1">
      <c r="A86" s="2"/>
      <c r="B86" s="240"/>
      <c r="C86" s="186"/>
      <c r="D86" s="195" t="str">
        <f>IF(Roster!$AC$1=0,"",Roster!$AC$1)</f>
        <v>TD</v>
      </c>
      <c r="E86" s="193"/>
      <c r="F86" s="195" t="str">
        <f>IF(Roster!$J$25="Español","HER",(IF(Roster!$J$25="Deutsch","VER",(IF(Roster!$J$25="Français","BLES","CAS")))))</f>
        <v>CAS</v>
      </c>
      <c r="G86" s="193"/>
      <c r="H86" s="195" t="str">
        <f>IF(Roster!$AF$1=0,"",Roster!$AF$1)</f>
        <v>BH</v>
      </c>
      <c r="I86" s="193"/>
      <c r="J86" s="195" t="str">
        <f>IF(Roster!$AG$1=0,"",Roster!$AG$1)</f>
        <v>SI</v>
      </c>
      <c r="K86" s="193"/>
      <c r="L86" s="195" t="str">
        <f>IF(Roster!$AH$1=0,"",Roster!$AH$1)</f>
        <v>KILL</v>
      </c>
      <c r="M86" s="193"/>
      <c r="N86" s="195" t="str">
        <f>IF(Roster!$AB$1=0,"",Roster!$AB$1)</f>
        <v>CP</v>
      </c>
      <c r="O86" s="194"/>
      <c r="P86" s="2"/>
      <c r="Q86" s="240"/>
      <c r="R86" s="186"/>
      <c r="S86" s="195" t="str">
        <f>IF(Roster!$AC$1=0,"",Roster!$AC$1)</f>
        <v>TD</v>
      </c>
      <c r="T86" s="193"/>
      <c r="U86" s="195" t="str">
        <f>IF(Roster!$J$25="Español","HER",(IF(Roster!$J$25="Deutsch","VER",(IF(Roster!$J$25="Français","BLES","CAS")))))</f>
        <v>CAS</v>
      </c>
      <c r="V86" s="193"/>
      <c r="W86" s="195" t="str">
        <f>IF(Roster!$AF$1=0,"",Roster!$AF$1)</f>
        <v>BH</v>
      </c>
      <c r="X86" s="193"/>
      <c r="Y86" s="195" t="str">
        <f>IF(Roster!$AG$1=0,"",Roster!$AG$1)</f>
        <v>SI</v>
      </c>
      <c r="Z86" s="193"/>
      <c r="AA86" s="195" t="str">
        <f>IF(Roster!$AH$1=0,"",Roster!$AH$1)</f>
        <v>KILL</v>
      </c>
      <c r="AB86" s="193"/>
      <c r="AC86" s="195" t="str">
        <f>IF(Roster!$AB$1=0,"",Roster!$AB$1)</f>
        <v>CP</v>
      </c>
      <c r="AD86" s="194"/>
      <c r="AE86" s="2"/>
      <c r="AF86" s="240"/>
      <c r="AG86" s="186"/>
      <c r="AH86" s="195" t="str">
        <f>IF(Roster!$AC$1=0,"",Roster!$AC$1)</f>
        <v>TD</v>
      </c>
      <c r="AI86" s="193"/>
      <c r="AJ86" s="195" t="str">
        <f>IF(Roster!$J$25="Español","HER",(IF(Roster!$J$25="Deutsch","VER",(IF(Roster!$J$25="Français","BLES","CAS")))))</f>
        <v>CAS</v>
      </c>
      <c r="AK86" s="193"/>
      <c r="AL86" s="195" t="str">
        <f>IF(Roster!$AF$1=0,"",Roster!$AF$1)</f>
        <v>BH</v>
      </c>
      <c r="AM86" s="193"/>
      <c r="AN86" s="195" t="str">
        <f>IF(Roster!$AG$1=0,"",Roster!$AG$1)</f>
        <v>SI</v>
      </c>
      <c r="AO86" s="193"/>
      <c r="AP86" s="195" t="str">
        <f>IF(Roster!$AH$1=0,"",Roster!$AH$1)</f>
        <v>KILL</v>
      </c>
      <c r="AQ86" s="193"/>
      <c r="AR86" s="195" t="str">
        <f>IF(Roster!$AB$1=0,"",Roster!$AB$1)</f>
        <v>CP</v>
      </c>
      <c r="AS86" s="194"/>
      <c r="AT86" s="2"/>
      <c r="AU86" s="240"/>
      <c r="AV86" s="186"/>
      <c r="AW86" s="195" t="str">
        <f>IF(Roster!$AC$1=0,"",Roster!$AC$1)</f>
        <v>TD</v>
      </c>
      <c r="AX86" s="193"/>
      <c r="AY86" s="195" t="str">
        <f>IF(Roster!$J$25="Español","HER",(IF(Roster!$J$25="Deutsch","VER",(IF(Roster!$J$25="Français","BLES","CAS")))))</f>
        <v>CAS</v>
      </c>
      <c r="AZ86" s="193"/>
      <c r="BA86" s="195" t="str">
        <f>IF(Roster!$AF$1=0,"",Roster!$AF$1)</f>
        <v>BH</v>
      </c>
      <c r="BB86" s="193"/>
      <c r="BC86" s="195" t="str">
        <f>IF(Roster!$AG$1=0,"",Roster!$AG$1)</f>
        <v>SI</v>
      </c>
      <c r="BD86" s="193"/>
      <c r="BE86" s="195" t="str">
        <f>IF(Roster!$AH$1=0,"",Roster!$AH$1)</f>
        <v>KILL</v>
      </c>
      <c r="BF86" s="193"/>
      <c r="BG86" s="195" t="str">
        <f>IF(Roster!$AB$1=0,"",Roster!$AB$1)</f>
        <v>CP</v>
      </c>
      <c r="BH86" s="194"/>
    </row>
    <row r="87" spans="1:60" ht="15" customHeight="1">
      <c r="A87" s="2"/>
      <c r="B87" s="240"/>
      <c r="C87" s="188"/>
      <c r="D87" s="196" t="str">
        <f>IF(Roster!$AC$13=0,"",Roster!$AC$13)</f>
        <v/>
      </c>
      <c r="E87" s="188"/>
      <c r="F87" s="196" t="str">
        <f>IF((SUM(H87,J87,L87))=0,"",(SUM(H87,J87,L87)))</f>
        <v/>
      </c>
      <c r="G87" s="188"/>
      <c r="H87" s="196" t="str">
        <f>IF(Roster!$AF$13=0,"",Roster!$AF$13)</f>
        <v/>
      </c>
      <c r="I87" s="188"/>
      <c r="J87" s="196" t="str">
        <f>IF(Roster!$AG$13=0,"",Roster!$AG$13)</f>
        <v/>
      </c>
      <c r="K87" s="188"/>
      <c r="L87" s="196" t="str">
        <f>IF(Roster!$AH$13=0,"",Roster!$AH$13)</f>
        <v/>
      </c>
      <c r="M87" s="188"/>
      <c r="N87" s="196" t="str">
        <f>IF(Roster!$AB$13=0,"",Roster!$AB$13)</f>
        <v/>
      </c>
      <c r="O87" s="194"/>
      <c r="P87" s="2"/>
      <c r="Q87" s="240"/>
      <c r="R87" s="188"/>
      <c r="S87" s="196" t="str">
        <f>IF(Roster!$AC$14=0,"",Roster!$AC$14)</f>
        <v/>
      </c>
      <c r="T87" s="188"/>
      <c r="U87" s="196">
        <f>IF((SUM(W87,Y87,AA87))=0,"",(SUM(W87,Y87,AA87)))</f>
        <v>1</v>
      </c>
      <c r="V87" s="188"/>
      <c r="W87" s="196">
        <f>IF(Roster!$AF$14=0,"",Roster!$AF$14)</f>
        <v>1</v>
      </c>
      <c r="X87" s="188"/>
      <c r="Y87" s="196" t="str">
        <f>IF(Roster!$AG$14=0,"",Roster!$AG$14)</f>
        <v/>
      </c>
      <c r="Z87" s="188"/>
      <c r="AA87" s="196" t="str">
        <f>IF(Roster!$AH$14=0,"",Roster!$AH$14)</f>
        <v/>
      </c>
      <c r="AB87" s="188"/>
      <c r="AC87" s="196" t="str">
        <f>IF(Roster!$AB$14=0,"",Roster!$AB$14)</f>
        <v/>
      </c>
      <c r="AD87" s="194"/>
      <c r="AE87" s="2"/>
      <c r="AF87" s="240"/>
      <c r="AG87" s="188"/>
      <c r="AH87" s="196">
        <f>IF(Roster!$AC$15=0,"",Roster!$AC$15)</f>
        <v>1</v>
      </c>
      <c r="AI87" s="188"/>
      <c r="AJ87" s="196" t="str">
        <f>IF((SUM(AL87,AN87,AP87))=0,"",(SUM(AL87,AN87,AP87)))</f>
        <v/>
      </c>
      <c r="AK87" s="188"/>
      <c r="AL87" s="196" t="str">
        <f>IF(Roster!$AF$15=0,"",Roster!$AF$15)</f>
        <v/>
      </c>
      <c r="AM87" s="188"/>
      <c r="AN87" s="196" t="str">
        <f>IF(Roster!$AG$15=0,"",Roster!$AG$15)</f>
        <v/>
      </c>
      <c r="AO87" s="188"/>
      <c r="AP87" s="196" t="str">
        <f>IF(Roster!$AH$15=0,"",Roster!$AH$15)</f>
        <v/>
      </c>
      <c r="AQ87" s="188"/>
      <c r="AR87" s="196" t="str">
        <f>IF(Roster!$AB$15=0,"",Roster!$AB$15)</f>
        <v/>
      </c>
      <c r="AS87" s="194"/>
      <c r="AT87" s="2"/>
      <c r="AU87" s="240"/>
      <c r="AV87" s="188"/>
      <c r="AW87" s="196" t="str">
        <f>IF(Roster!$AC$16=0,"",Roster!$AC$16)</f>
        <v/>
      </c>
      <c r="AX87" s="188"/>
      <c r="AY87" s="196" t="str">
        <f>IF((SUM(BA87,BC87,BE87))=0,"",(SUM(BA87,BC87,BE87)))</f>
        <v/>
      </c>
      <c r="AZ87" s="188"/>
      <c r="BA87" s="196" t="str">
        <f>IF(Roster!$AF$16=0,"",Roster!$AF$16)</f>
        <v/>
      </c>
      <c r="BB87" s="188"/>
      <c r="BC87" s="196" t="str">
        <f>IF(Roster!$AG$16=0,"",Roster!$AG$16)</f>
        <v/>
      </c>
      <c r="BD87" s="188"/>
      <c r="BE87" s="196" t="str">
        <f>IF(Roster!$AH$16=0,"",Roster!$AH$16)</f>
        <v/>
      </c>
      <c r="BF87" s="188"/>
      <c r="BG87" s="196" t="str">
        <f>IF(Roster!$AB$16=0,"",Roster!$AB$16)</f>
        <v/>
      </c>
      <c r="BH87" s="194"/>
    </row>
    <row r="88" spans="1:60" ht="4.5" customHeight="1">
      <c r="A88" s="2"/>
      <c r="B88" s="241"/>
      <c r="C88" s="188"/>
      <c r="D88" s="197"/>
      <c r="E88" s="188"/>
      <c r="F88" s="197"/>
      <c r="G88" s="188"/>
      <c r="H88" s="197"/>
      <c r="I88" s="188"/>
      <c r="J88" s="197"/>
      <c r="K88" s="188"/>
      <c r="L88" s="197"/>
      <c r="M88" s="188"/>
      <c r="N88" s="197"/>
      <c r="O88" s="194"/>
      <c r="P88" s="2"/>
      <c r="Q88" s="241"/>
      <c r="R88" s="188"/>
      <c r="S88" s="197"/>
      <c r="T88" s="188"/>
      <c r="U88" s="197"/>
      <c r="V88" s="188"/>
      <c r="W88" s="197"/>
      <c r="X88" s="188"/>
      <c r="Y88" s="197"/>
      <c r="Z88" s="188"/>
      <c r="AA88" s="197"/>
      <c r="AB88" s="188"/>
      <c r="AC88" s="197"/>
      <c r="AD88" s="194"/>
      <c r="AE88" s="2"/>
      <c r="AF88" s="241"/>
      <c r="AG88" s="188"/>
      <c r="AH88" s="197"/>
      <c r="AI88" s="188"/>
      <c r="AJ88" s="197"/>
      <c r="AK88" s="188"/>
      <c r="AL88" s="197"/>
      <c r="AM88" s="188"/>
      <c r="AN88" s="197"/>
      <c r="AO88" s="188"/>
      <c r="AP88" s="197"/>
      <c r="AQ88" s="188"/>
      <c r="AR88" s="197"/>
      <c r="AS88" s="194"/>
      <c r="AT88" s="2"/>
      <c r="AU88" s="241"/>
      <c r="AV88" s="188"/>
      <c r="AW88" s="197"/>
      <c r="AX88" s="188"/>
      <c r="AY88" s="197"/>
      <c r="AZ88" s="188"/>
      <c r="BA88" s="197"/>
      <c r="BB88" s="188"/>
      <c r="BC88" s="197"/>
      <c r="BD88" s="188"/>
      <c r="BE88" s="197"/>
      <c r="BF88" s="188"/>
      <c r="BG88" s="197"/>
      <c r="BH88" s="194"/>
    </row>
    <row r="89" spans="1:60" ht="11.25" customHeight="1">
      <c r="A89" s="2"/>
      <c r="B89" s="187" t="str">
        <f>IF(Roster!$N$1=0,"",Roster!$N$1)</f>
        <v>AV</v>
      </c>
      <c r="C89" s="187"/>
      <c r="D89" s="195" t="str">
        <f>IF(Roster!$AD$1=0,"",Roster!$AD$1)</f>
        <v>DEF</v>
      </c>
      <c r="E89" s="187"/>
      <c r="F89" s="195" t="str">
        <f>IF(Roster!$AE$1=0,"",Roster!$AE$1)</f>
        <v>INT</v>
      </c>
      <c r="G89" s="187"/>
      <c r="H89" s="195" t="str">
        <f>IF(Roster!$AA$1=0,"",Roster!$AA$1)</f>
        <v>SPE</v>
      </c>
      <c r="I89" s="187"/>
      <c r="J89" s="195" t="str">
        <f>IF(Roster!$AI$1=0,"",Roster!$AI$1)</f>
        <v>MVP</v>
      </c>
      <c r="K89" s="187"/>
      <c r="L89" s="195" t="s">
        <v>392</v>
      </c>
      <c r="M89" s="187"/>
      <c r="N89" s="198" t="str">
        <f>IF(Roster!$J$25="Español","LPP/RT",(IF(Roster!$J$25="Deutsch","VNS/AD",(IF(Roster!$J$25="Français","RPM/RT","MNG/TR")))))</f>
        <v>MNG/TR</v>
      </c>
      <c r="O89" s="183"/>
      <c r="P89" s="2"/>
      <c r="Q89" s="187" t="str">
        <f>IF(Roster!$N$1=0,"",Roster!$N$1)</f>
        <v>AV</v>
      </c>
      <c r="R89" s="187"/>
      <c r="S89" s="195" t="str">
        <f>IF(Roster!$AD$1=0,"",Roster!$AD$1)</f>
        <v>DEF</v>
      </c>
      <c r="T89" s="187"/>
      <c r="U89" s="195" t="str">
        <f>IF(Roster!$AE$1=0,"",Roster!$AE$1)</f>
        <v>INT</v>
      </c>
      <c r="V89" s="187"/>
      <c r="W89" s="195" t="str">
        <f>IF(Roster!$AA$1=0,"",Roster!$AA$1)</f>
        <v>SPE</v>
      </c>
      <c r="X89" s="187"/>
      <c r="Y89" s="195" t="str">
        <f>IF(Roster!$AI$1=0,"",Roster!$AI$1)</f>
        <v>MVP</v>
      </c>
      <c r="Z89" s="187"/>
      <c r="AA89" s="195" t="s">
        <v>392</v>
      </c>
      <c r="AB89" s="187"/>
      <c r="AC89" s="198" t="str">
        <f>IF(Roster!$J$25="Español","LPP/RT",(IF(Roster!$J$25="Deutsch","VNS/AD",(IF(Roster!$J$25="Français","RPM/RT","MNG/TR")))))</f>
        <v>MNG/TR</v>
      </c>
      <c r="AD89" s="183"/>
      <c r="AE89" s="2"/>
      <c r="AF89" s="187" t="str">
        <f>IF(Roster!$N$1=0,"",Roster!$N$1)</f>
        <v>AV</v>
      </c>
      <c r="AG89" s="187"/>
      <c r="AH89" s="195" t="str">
        <f>IF(Roster!$AD$1=0,"",Roster!$AD$1)</f>
        <v>DEF</v>
      </c>
      <c r="AI89" s="187"/>
      <c r="AJ89" s="195" t="str">
        <f>IF(Roster!$AE$1=0,"",Roster!$AE$1)</f>
        <v>INT</v>
      </c>
      <c r="AK89" s="187"/>
      <c r="AL89" s="195" t="str">
        <f>IF(Roster!$AA$1=0,"",Roster!$AA$1)</f>
        <v>SPE</v>
      </c>
      <c r="AM89" s="187"/>
      <c r="AN89" s="195" t="str">
        <f>IF(Roster!$AI$1=0,"",Roster!$AI$1)</f>
        <v>MVP</v>
      </c>
      <c r="AO89" s="187"/>
      <c r="AP89" s="195" t="s">
        <v>392</v>
      </c>
      <c r="AQ89" s="187"/>
      <c r="AR89" s="198" t="str">
        <f>IF(Roster!$J$25="Español","LPP/RT",(IF(Roster!$J$25="Deutsch","VNS/AD",(IF(Roster!$J$25="Français","RPM/RT","MNG/TR")))))</f>
        <v>MNG/TR</v>
      </c>
      <c r="AS89" s="183"/>
      <c r="AT89" s="2"/>
      <c r="AU89" s="187" t="str">
        <f>IF(Roster!$N$1=0,"",Roster!$N$1)</f>
        <v>AV</v>
      </c>
      <c r="AV89" s="187"/>
      <c r="AW89" s="195" t="str">
        <f>IF(Roster!$AD$1=0,"",Roster!$AD$1)</f>
        <v>DEF</v>
      </c>
      <c r="AX89" s="187"/>
      <c r="AY89" s="195" t="str">
        <f>IF(Roster!$AE$1=0,"",Roster!$AE$1)</f>
        <v>INT</v>
      </c>
      <c r="AZ89" s="187"/>
      <c r="BA89" s="195" t="str">
        <f>IF(Roster!$AA$1=0,"",Roster!$AA$1)</f>
        <v>SPE</v>
      </c>
      <c r="BB89" s="187"/>
      <c r="BC89" s="195" t="str">
        <f>IF(Roster!$AI$1=0,"",Roster!$AI$1)</f>
        <v>MVP</v>
      </c>
      <c r="BD89" s="187"/>
      <c r="BE89" s="195" t="s">
        <v>392</v>
      </c>
      <c r="BF89" s="187"/>
      <c r="BG89" s="198" t="str">
        <f>IF(Roster!$J$25="Español","LPP/RT",(IF(Roster!$J$25="Deutsch","VNS/AD",(IF(Roster!$J$25="Français","RPM/RT","MNG/TR")))))</f>
        <v>MNG/TR</v>
      </c>
      <c r="BH89" s="183"/>
    </row>
    <row r="90" spans="1:60" ht="15" customHeight="1">
      <c r="A90" s="2"/>
      <c r="B90" s="367" t="str">
        <f>IF(Roster!$N$13=0&amp;"+","",Roster!$N$13)</f>
        <v>6+</v>
      </c>
      <c r="C90" s="188"/>
      <c r="D90" s="196" t="str">
        <f>IF(Roster!$AD$13=0,"",Roster!$AD$13)</f>
        <v/>
      </c>
      <c r="E90" s="188"/>
      <c r="F90" s="196" t="str">
        <f>IF(Roster!$AE$13=0,"",Roster!$AE$13)</f>
        <v/>
      </c>
      <c r="G90" s="188"/>
      <c r="H90" s="196" t="str">
        <f>IF(Roster!$AA$13=0,"",Roster!$AA$13)</f>
        <v/>
      </c>
      <c r="I90" s="188"/>
      <c r="J90" s="196" t="str">
        <f>IF(Roster!$AI$13=0,"",Roster!$AI$13)</f>
        <v/>
      </c>
      <c r="K90" s="188"/>
      <c r="L90" s="196" t="str">
        <f>IF(Roster!$AJ$13=0,"",Roster!$AJ$13)</f>
        <v/>
      </c>
      <c r="M90" s="188"/>
      <c r="N90" s="196" t="str">
        <f>IF(Roster!$Z$13=0,"",Roster!$Z$13)</f>
        <v/>
      </c>
      <c r="O90" s="199"/>
      <c r="P90" s="2"/>
      <c r="Q90" s="367" t="str">
        <f>IF(Roster!$N$14=0&amp;"+","",Roster!$N$14)</f>
        <v>6+</v>
      </c>
      <c r="R90" s="188"/>
      <c r="S90" s="196" t="str">
        <f>IF(Roster!$AD$14=0,"",Roster!$AD$14)</f>
        <v/>
      </c>
      <c r="T90" s="188"/>
      <c r="U90" s="196" t="str">
        <f>IF(Roster!$AE$14=0,"",Roster!$AE$14)</f>
        <v/>
      </c>
      <c r="V90" s="188"/>
      <c r="W90" s="196" t="str">
        <f>IF(Roster!$AA$14=0,"",Roster!$AA$14)</f>
        <v/>
      </c>
      <c r="X90" s="188"/>
      <c r="Y90" s="196">
        <f>IF(Roster!$AI$14=0,"",Roster!$AI$14)</f>
        <v>1</v>
      </c>
      <c r="Z90" s="188"/>
      <c r="AA90" s="196">
        <f>IF(Roster!$AJ$14=0,"",Roster!$AJ$14)</f>
        <v>6</v>
      </c>
      <c r="AB90" s="188"/>
      <c r="AC90" s="196" t="str">
        <f>IF(Roster!$Z$14=0,"",Roster!$Z$14)</f>
        <v/>
      </c>
      <c r="AD90" s="199"/>
      <c r="AE90" s="2"/>
      <c r="AF90" s="367" t="str">
        <f>IF(Roster!$N$15=0&amp;"+","",Roster!$N$15)</f>
        <v>6+</v>
      </c>
      <c r="AG90" s="188"/>
      <c r="AH90" s="196" t="str">
        <f>IF(Roster!$AD$15=0,"",Roster!$AD$15)</f>
        <v/>
      </c>
      <c r="AI90" s="188"/>
      <c r="AJ90" s="196" t="str">
        <f>IF(Roster!$AE$15=0,"",Roster!$AE$15)</f>
        <v/>
      </c>
      <c r="AK90" s="188"/>
      <c r="AL90" s="196" t="str">
        <f>IF(Roster!$AA$15=0,"",Roster!$AA$15)</f>
        <v/>
      </c>
      <c r="AM90" s="188"/>
      <c r="AN90" s="196" t="str">
        <f>IF(Roster!$AI$15=0,"",Roster!$AI$15)</f>
        <v/>
      </c>
      <c r="AO90" s="188"/>
      <c r="AP90" s="196">
        <f>IF(Roster!$AJ$15=0,"",Roster!$AJ$15)</f>
        <v>3</v>
      </c>
      <c r="AQ90" s="188"/>
      <c r="AR90" s="196" t="str">
        <f>IF(Roster!$Z$15=0,"",Roster!$Z$15)</f>
        <v/>
      </c>
      <c r="AS90" s="199"/>
      <c r="AT90" s="2"/>
      <c r="AU90" s="367" t="str">
        <f>IF(Roster!$N$16=0&amp;"+","",Roster!$N$16)</f>
        <v>6+</v>
      </c>
      <c r="AV90" s="188"/>
      <c r="AW90" s="196" t="str">
        <f>IF(Roster!$AD$16=0,"",Roster!$AD$16)</f>
        <v/>
      </c>
      <c r="AX90" s="188"/>
      <c r="AY90" s="196" t="str">
        <f>IF(Roster!$AE$16=0,"",Roster!$AE$16)</f>
        <v/>
      </c>
      <c r="AZ90" s="188"/>
      <c r="BA90" s="196" t="str">
        <f>IF(Roster!$AA$16=0,"",Roster!$AA$16)</f>
        <v/>
      </c>
      <c r="BB90" s="188"/>
      <c r="BC90" s="196" t="str">
        <f>IF(Roster!$AI$16=0,"",Roster!$AI$16)</f>
        <v/>
      </c>
      <c r="BD90" s="188"/>
      <c r="BE90" s="196" t="str">
        <f>IF(Roster!$AJ$16=0,"",Roster!$AJ$16)</f>
        <v/>
      </c>
      <c r="BF90" s="188"/>
      <c r="BG90" s="196" t="str">
        <f>IF(Roster!$Z$16=0,"",Roster!$Z$16)</f>
        <v/>
      </c>
      <c r="BH90" s="199"/>
    </row>
    <row r="91" spans="1:60" ht="4.5" customHeight="1">
      <c r="A91" s="2"/>
      <c r="B91" s="240"/>
      <c r="C91" s="188"/>
      <c r="D91" s="188"/>
      <c r="E91" s="188"/>
      <c r="F91" s="188"/>
      <c r="G91" s="188"/>
      <c r="H91" s="188"/>
      <c r="I91" s="188"/>
      <c r="J91" s="188"/>
      <c r="K91" s="188"/>
      <c r="L91" s="188"/>
      <c r="M91" s="188"/>
      <c r="N91" s="194"/>
      <c r="O91" s="199"/>
      <c r="P91" s="2"/>
      <c r="Q91" s="240"/>
      <c r="R91" s="188"/>
      <c r="S91" s="188"/>
      <c r="T91" s="188"/>
      <c r="U91" s="188"/>
      <c r="V91" s="188"/>
      <c r="W91" s="188"/>
      <c r="X91" s="188"/>
      <c r="Y91" s="188"/>
      <c r="Z91" s="188"/>
      <c r="AA91" s="188"/>
      <c r="AB91" s="188"/>
      <c r="AC91" s="194"/>
      <c r="AD91" s="199"/>
      <c r="AE91" s="2"/>
      <c r="AF91" s="240"/>
      <c r="AG91" s="188"/>
      <c r="AH91" s="188"/>
      <c r="AI91" s="188"/>
      <c r="AJ91" s="188"/>
      <c r="AK91" s="188"/>
      <c r="AL91" s="188"/>
      <c r="AM91" s="188"/>
      <c r="AN91" s="188"/>
      <c r="AO91" s="188"/>
      <c r="AP91" s="188"/>
      <c r="AQ91" s="188"/>
      <c r="AR91" s="194"/>
      <c r="AS91" s="199"/>
      <c r="AT91" s="2"/>
      <c r="AU91" s="240"/>
      <c r="AV91" s="188"/>
      <c r="AW91" s="188"/>
      <c r="AX91" s="188"/>
      <c r="AY91" s="188"/>
      <c r="AZ91" s="188"/>
      <c r="BA91" s="188"/>
      <c r="BB91" s="188"/>
      <c r="BC91" s="188"/>
      <c r="BD91" s="188"/>
      <c r="BE91" s="188"/>
      <c r="BF91" s="188"/>
      <c r="BG91" s="194"/>
      <c r="BH91" s="199"/>
    </row>
    <row r="92" spans="1:60" ht="11.25" customHeight="1">
      <c r="A92" s="2"/>
      <c r="B92" s="240"/>
      <c r="C92" s="188"/>
      <c r="D92" s="353" t="str">
        <f>IF(Roster!$J$25="Italiano","ABILITÀ &amp; TRATTI",(IF(Roster!$J$25="Español","HABILIDADES Y RASGOS","SKILLS &amp; TRAITS")))</f>
        <v>ABILITÀ &amp; TRATTI</v>
      </c>
      <c r="E92" s="243"/>
      <c r="F92" s="243"/>
      <c r="G92" s="243"/>
      <c r="H92" s="243"/>
      <c r="I92" s="243"/>
      <c r="J92" s="243"/>
      <c r="K92" s="243"/>
      <c r="L92" s="243"/>
      <c r="M92" s="243"/>
      <c r="N92" s="244"/>
      <c r="O92" s="199"/>
      <c r="P92" s="2"/>
      <c r="Q92" s="240"/>
      <c r="R92" s="188"/>
      <c r="S92" s="353" t="str">
        <f>IF(Roster!$J$25="Italiano","ABILITÀ &amp; TRATTI",(IF(Roster!$J$25="Español","HABILIDADES Y RASGOS","SKILLS &amp; TRAITS")))</f>
        <v>ABILITÀ &amp; TRATTI</v>
      </c>
      <c r="T92" s="243"/>
      <c r="U92" s="243"/>
      <c r="V92" s="243"/>
      <c r="W92" s="243"/>
      <c r="X92" s="243"/>
      <c r="Y92" s="243"/>
      <c r="Z92" s="243"/>
      <c r="AA92" s="243"/>
      <c r="AB92" s="243"/>
      <c r="AC92" s="244"/>
      <c r="AD92" s="199"/>
      <c r="AE92" s="2"/>
      <c r="AF92" s="240"/>
      <c r="AG92" s="188"/>
      <c r="AH92" s="353" t="str">
        <f>IF(Roster!$J$25="Italiano","ABILITÀ &amp; TRATTI",(IF(Roster!$J$25="Español","HABILIDADES Y RASGOS","SKILLS &amp; TRAITS")))</f>
        <v>ABILITÀ &amp; TRATTI</v>
      </c>
      <c r="AI92" s="243"/>
      <c r="AJ92" s="243"/>
      <c r="AK92" s="243"/>
      <c r="AL92" s="243"/>
      <c r="AM92" s="243"/>
      <c r="AN92" s="243"/>
      <c r="AO92" s="243"/>
      <c r="AP92" s="243"/>
      <c r="AQ92" s="243"/>
      <c r="AR92" s="244"/>
      <c r="AS92" s="199"/>
      <c r="AT92" s="2"/>
      <c r="AU92" s="240"/>
      <c r="AV92" s="188"/>
      <c r="AW92" s="353" t="str">
        <f>IF(Roster!$J$25="Italiano","ABILITÀ &amp; TRATTI",(IF(Roster!$J$25="Español","HABILIDADES Y RASGOS","SKILLS &amp; TRAITS")))</f>
        <v>ABILITÀ &amp; TRATTI</v>
      </c>
      <c r="AX92" s="243"/>
      <c r="AY92" s="243"/>
      <c r="AZ92" s="243"/>
      <c r="BA92" s="243"/>
      <c r="BB92" s="243"/>
      <c r="BC92" s="243"/>
      <c r="BD92" s="243"/>
      <c r="BE92" s="243"/>
      <c r="BF92" s="243"/>
      <c r="BG92" s="244"/>
      <c r="BH92" s="199"/>
    </row>
    <row r="93" spans="1:60" ht="6.75" customHeight="1">
      <c r="A93" s="2"/>
      <c r="B93" s="241"/>
      <c r="C93" s="188"/>
      <c r="D93" s="363" t="str">
        <f>IF(Roster!$O$13=0&amp;BF13,"",Roster!$O$13)</f>
        <v>Dodge, Right Stuff, Side Step, Stunty, Swarming, Titchy</v>
      </c>
      <c r="E93" s="356"/>
      <c r="F93" s="356"/>
      <c r="G93" s="356"/>
      <c r="H93" s="356"/>
      <c r="I93" s="356"/>
      <c r="J93" s="356"/>
      <c r="K93" s="356"/>
      <c r="L93" s="356"/>
      <c r="M93" s="356"/>
      <c r="N93" s="357"/>
      <c r="O93" s="199"/>
      <c r="P93" s="2"/>
      <c r="Q93" s="241"/>
      <c r="R93" s="188"/>
      <c r="S93" s="363" t="str">
        <f>IF(Roster!$O$14=0&amp;BF14,"",Roster!$O$14)</f>
        <v>Dodge, Right Stuff, Side Step, Stunty, Swarming, Titchy, Sneaky Git</v>
      </c>
      <c r="T93" s="356"/>
      <c r="U93" s="356"/>
      <c r="V93" s="356"/>
      <c r="W93" s="356"/>
      <c r="X93" s="356"/>
      <c r="Y93" s="356"/>
      <c r="Z93" s="356"/>
      <c r="AA93" s="356"/>
      <c r="AB93" s="356"/>
      <c r="AC93" s="357"/>
      <c r="AD93" s="199"/>
      <c r="AE93" s="2"/>
      <c r="AF93" s="241"/>
      <c r="AG93" s="188"/>
      <c r="AH93" s="363" t="str">
        <f>IF(Roster!$O$15=0&amp;BF15,"",Roster!$O$15)</f>
        <v>Dodge, Right Stuff, Side Step, Stunty, Swarming, Titchy</v>
      </c>
      <c r="AI93" s="356"/>
      <c r="AJ93" s="356"/>
      <c r="AK93" s="356"/>
      <c r="AL93" s="356"/>
      <c r="AM93" s="356"/>
      <c r="AN93" s="356"/>
      <c r="AO93" s="356"/>
      <c r="AP93" s="356"/>
      <c r="AQ93" s="356"/>
      <c r="AR93" s="357"/>
      <c r="AS93" s="199"/>
      <c r="AT93" s="2"/>
      <c r="AU93" s="241"/>
      <c r="AV93" s="188"/>
      <c r="AW93" s="363" t="str">
        <f>IF(Roster!$O$16=0&amp;BF16,"",Roster!$O$16)</f>
        <v>Dodge, Right Stuff, Side Step, Stunty, Swarming, Titchy</v>
      </c>
      <c r="AX93" s="356"/>
      <c r="AY93" s="356"/>
      <c r="AZ93" s="356"/>
      <c r="BA93" s="356"/>
      <c r="BB93" s="356"/>
      <c r="BC93" s="356"/>
      <c r="BD93" s="356"/>
      <c r="BE93" s="356"/>
      <c r="BF93" s="356"/>
      <c r="BG93" s="357"/>
      <c r="BH93" s="199"/>
    </row>
    <row r="94" spans="1:60" ht="11.25" customHeight="1">
      <c r="A94" s="2"/>
      <c r="B94" s="187" t="str">
        <f>IF(Roster!$AN$1=0,"",Roster!$AN$1)</f>
        <v>COSTO</v>
      </c>
      <c r="C94" s="187"/>
      <c r="D94" s="358"/>
      <c r="E94" s="277"/>
      <c r="F94" s="277"/>
      <c r="G94" s="277"/>
      <c r="H94" s="277"/>
      <c r="I94" s="277"/>
      <c r="J94" s="277"/>
      <c r="K94" s="277"/>
      <c r="L94" s="277"/>
      <c r="M94" s="277"/>
      <c r="N94" s="336"/>
      <c r="O94" s="200"/>
      <c r="P94" s="2"/>
      <c r="Q94" s="187" t="str">
        <f>IF(Roster!$AN$1=0,"",Roster!$AN$1)</f>
        <v>COSTO</v>
      </c>
      <c r="R94" s="187"/>
      <c r="S94" s="358"/>
      <c r="T94" s="277"/>
      <c r="U94" s="277"/>
      <c r="V94" s="277"/>
      <c r="W94" s="277"/>
      <c r="X94" s="277"/>
      <c r="Y94" s="277"/>
      <c r="Z94" s="277"/>
      <c r="AA94" s="277"/>
      <c r="AB94" s="277"/>
      <c r="AC94" s="336"/>
      <c r="AD94" s="200"/>
      <c r="AE94" s="2"/>
      <c r="AF94" s="187" t="str">
        <f>IF(Roster!$AN$1=0,"",Roster!$AN$1)</f>
        <v>COSTO</v>
      </c>
      <c r="AG94" s="187"/>
      <c r="AH94" s="358"/>
      <c r="AI94" s="277"/>
      <c r="AJ94" s="277"/>
      <c r="AK94" s="277"/>
      <c r="AL94" s="277"/>
      <c r="AM94" s="277"/>
      <c r="AN94" s="277"/>
      <c r="AO94" s="277"/>
      <c r="AP94" s="277"/>
      <c r="AQ94" s="277"/>
      <c r="AR94" s="336"/>
      <c r="AS94" s="200"/>
      <c r="AT94" s="2"/>
      <c r="AU94" s="187" t="str">
        <f>IF(Roster!$AN$1=0,"",Roster!$AN$1)</f>
        <v>COSTO</v>
      </c>
      <c r="AV94" s="187"/>
      <c r="AW94" s="358"/>
      <c r="AX94" s="277"/>
      <c r="AY94" s="277"/>
      <c r="AZ94" s="277"/>
      <c r="BA94" s="277"/>
      <c r="BB94" s="277"/>
      <c r="BC94" s="277"/>
      <c r="BD94" s="277"/>
      <c r="BE94" s="277"/>
      <c r="BF94" s="277"/>
      <c r="BG94" s="336"/>
      <c r="BH94" s="200"/>
    </row>
    <row r="95" spans="1:60" ht="34.5" customHeight="1">
      <c r="A95" s="2"/>
      <c r="B95" s="202">
        <f>IF(Roster!$AN$13=0,"",Roster!$AN$13)</f>
        <v>15000</v>
      </c>
      <c r="C95" s="203"/>
      <c r="D95" s="359"/>
      <c r="E95" s="360"/>
      <c r="F95" s="360"/>
      <c r="G95" s="360"/>
      <c r="H95" s="360"/>
      <c r="I95" s="360"/>
      <c r="J95" s="360"/>
      <c r="K95" s="360"/>
      <c r="L95" s="360"/>
      <c r="M95" s="360"/>
      <c r="N95" s="361"/>
      <c r="O95" s="200"/>
      <c r="P95" s="2"/>
      <c r="Q95" s="202">
        <f>IF(Roster!$AN$14=0,"",Roster!$AN$14)</f>
        <v>35000</v>
      </c>
      <c r="R95" s="203"/>
      <c r="S95" s="359"/>
      <c r="T95" s="360"/>
      <c r="U95" s="360"/>
      <c r="V95" s="360"/>
      <c r="W95" s="360"/>
      <c r="X95" s="360"/>
      <c r="Y95" s="360"/>
      <c r="Z95" s="360"/>
      <c r="AA95" s="360"/>
      <c r="AB95" s="360"/>
      <c r="AC95" s="361"/>
      <c r="AD95" s="200"/>
      <c r="AE95" s="2"/>
      <c r="AF95" s="202">
        <f>IF(Roster!$AN$15=0,"",Roster!$AN$15)</f>
        <v>15000</v>
      </c>
      <c r="AG95" s="203"/>
      <c r="AH95" s="359"/>
      <c r="AI95" s="360"/>
      <c r="AJ95" s="360"/>
      <c r="AK95" s="360"/>
      <c r="AL95" s="360"/>
      <c r="AM95" s="360"/>
      <c r="AN95" s="360"/>
      <c r="AO95" s="360"/>
      <c r="AP95" s="360"/>
      <c r="AQ95" s="360"/>
      <c r="AR95" s="361"/>
      <c r="AS95" s="200"/>
      <c r="AT95" s="2"/>
      <c r="AU95" s="202">
        <f>IF(Roster!$AN$16=0,"",Roster!$AN$16)</f>
        <v>15000</v>
      </c>
      <c r="AV95" s="203"/>
      <c r="AW95" s="359"/>
      <c r="AX95" s="360"/>
      <c r="AY95" s="360"/>
      <c r="AZ95" s="360"/>
      <c r="BA95" s="360"/>
      <c r="BB95" s="360"/>
      <c r="BC95" s="360"/>
      <c r="BD95" s="360"/>
      <c r="BE95" s="360"/>
      <c r="BF95" s="360"/>
      <c r="BG95" s="361"/>
      <c r="BH95" s="200"/>
    </row>
    <row r="96" spans="1:60" ht="4.5" customHeight="1">
      <c r="A96" s="2"/>
      <c r="B96" s="183"/>
      <c r="C96" s="183"/>
      <c r="D96" s="183"/>
      <c r="E96" s="183"/>
      <c r="F96" s="183"/>
      <c r="G96" s="183"/>
      <c r="H96" s="183"/>
      <c r="I96" s="183"/>
      <c r="J96" s="183"/>
      <c r="K96" s="183"/>
      <c r="L96" s="183"/>
      <c r="M96" s="183"/>
      <c r="N96" s="200"/>
      <c r="O96" s="200"/>
      <c r="P96" s="2"/>
      <c r="Q96" s="183"/>
      <c r="R96" s="183"/>
      <c r="S96" s="183"/>
      <c r="T96" s="183"/>
      <c r="U96" s="183"/>
      <c r="V96" s="183"/>
      <c r="W96" s="183"/>
      <c r="X96" s="183"/>
      <c r="Y96" s="183"/>
      <c r="Z96" s="183"/>
      <c r="AA96" s="183"/>
      <c r="AB96" s="183"/>
      <c r="AC96" s="200"/>
      <c r="AD96" s="200"/>
      <c r="AE96" s="2"/>
      <c r="AF96" s="183"/>
      <c r="AG96" s="183"/>
      <c r="AH96" s="183"/>
      <c r="AI96" s="183"/>
      <c r="AJ96" s="183"/>
      <c r="AK96" s="183"/>
      <c r="AL96" s="183"/>
      <c r="AM96" s="183"/>
      <c r="AN96" s="183"/>
      <c r="AO96" s="183"/>
      <c r="AP96" s="183"/>
      <c r="AQ96" s="183"/>
      <c r="AR96" s="200"/>
      <c r="AS96" s="200"/>
      <c r="AT96" s="2"/>
      <c r="AU96" s="183"/>
      <c r="AV96" s="183"/>
      <c r="AW96" s="183"/>
      <c r="AX96" s="183"/>
      <c r="AY96" s="183"/>
      <c r="AZ96" s="183"/>
      <c r="BA96" s="183"/>
      <c r="BB96" s="183"/>
      <c r="BC96" s="183"/>
      <c r="BD96" s="183"/>
      <c r="BE96" s="183"/>
      <c r="BF96" s="183"/>
      <c r="BG96" s="200"/>
      <c r="BH96" s="200"/>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69" t="str">
        <f>IF(Roster!$A$17=0,"","#"&amp;Roster!$A$17)</f>
        <v>#16</v>
      </c>
      <c r="C98" s="183"/>
      <c r="D98" s="183"/>
      <c r="E98" s="183"/>
      <c r="F98" s="183"/>
      <c r="G98" s="183"/>
      <c r="H98" s="183"/>
      <c r="I98" s="183"/>
      <c r="J98" s="183"/>
      <c r="K98" s="183"/>
      <c r="L98" s="183"/>
      <c r="M98" s="183"/>
      <c r="N98" s="183"/>
      <c r="O98" s="183"/>
      <c r="P98" s="2"/>
      <c r="Q98" s="364"/>
      <c r="R98" s="183"/>
      <c r="S98" s="183"/>
      <c r="T98" s="183"/>
      <c r="U98" s="183"/>
      <c r="V98" s="183"/>
      <c r="W98" s="183"/>
      <c r="X98" s="183"/>
      <c r="Y98" s="183"/>
      <c r="Z98" s="183"/>
      <c r="AA98" s="183"/>
      <c r="AB98" s="183"/>
      <c r="AC98" s="183"/>
      <c r="AD98" s="183"/>
      <c r="AE98" s="2"/>
      <c r="AF98" s="364"/>
      <c r="AG98" s="183"/>
      <c r="AH98" s="183"/>
      <c r="AI98" s="183"/>
      <c r="AJ98" s="183"/>
      <c r="AK98" s="183"/>
      <c r="AL98" s="183"/>
      <c r="AM98" s="183"/>
      <c r="AN98" s="183"/>
      <c r="AO98" s="183"/>
      <c r="AP98" s="183"/>
      <c r="AQ98" s="183"/>
      <c r="AR98" s="183"/>
      <c r="AS98" s="183"/>
      <c r="AT98" s="2"/>
      <c r="AU98" s="364"/>
      <c r="AV98" s="183"/>
      <c r="AW98" s="183"/>
      <c r="AX98" s="183"/>
      <c r="AY98" s="183"/>
      <c r="AZ98" s="183"/>
      <c r="BA98" s="183"/>
      <c r="BB98" s="183"/>
      <c r="BC98" s="183"/>
      <c r="BD98" s="183"/>
      <c r="BE98" s="183"/>
      <c r="BF98" s="183"/>
      <c r="BG98" s="183"/>
      <c r="BH98" s="183"/>
    </row>
    <row r="99" spans="1:60" ht="15" customHeight="1">
      <c r="A99" s="2"/>
      <c r="B99" s="240"/>
      <c r="C99" s="354" t="str">
        <f>IF(Roster!$B$17=0,"",Roster!$B$17)</f>
        <v>Hola</v>
      </c>
      <c r="D99" s="243"/>
      <c r="E99" s="243"/>
      <c r="F99" s="243"/>
      <c r="G99" s="243"/>
      <c r="H99" s="243"/>
      <c r="I99" s="243"/>
      <c r="J99" s="243"/>
      <c r="K99" s="243"/>
      <c r="L99" s="243"/>
      <c r="M99" s="243"/>
      <c r="N99" s="244"/>
      <c r="O99" s="183"/>
      <c r="P99" s="2"/>
      <c r="Q99" s="240"/>
      <c r="R99" s="365" t="str">
        <f>IF(Roster!$B$18=0,"","("&amp;Roster!$B$18&amp;")")</f>
        <v>(Star Player &amp; Mercenario)</v>
      </c>
      <c r="S99" s="243"/>
      <c r="T99" s="243"/>
      <c r="U99" s="243"/>
      <c r="V99" s="243"/>
      <c r="W99" s="243"/>
      <c r="X99" s="243"/>
      <c r="Y99" s="243"/>
      <c r="Z99" s="243"/>
      <c r="AA99" s="243"/>
      <c r="AB99" s="243"/>
      <c r="AC99" s="244"/>
      <c r="AD99" s="183"/>
      <c r="AE99" s="2"/>
      <c r="AF99" s="240"/>
      <c r="AG99" s="365" t="str">
        <f>IF(Roster!$B$19=0,"","("&amp;Roster!$B$19&amp;")")</f>
        <v>(Star Player &amp; Mercenario)</v>
      </c>
      <c r="AH99" s="243"/>
      <c r="AI99" s="243"/>
      <c r="AJ99" s="243"/>
      <c r="AK99" s="243"/>
      <c r="AL99" s="243"/>
      <c r="AM99" s="243"/>
      <c r="AN99" s="243"/>
      <c r="AO99" s="243"/>
      <c r="AP99" s="243"/>
      <c r="AQ99" s="243"/>
      <c r="AR99" s="244"/>
      <c r="AS99" s="183"/>
      <c r="AT99" s="2"/>
      <c r="AU99" s="240"/>
      <c r="AV99" s="365" t="str">
        <f>IF(Roster!$B$20=0,"","("&amp;Roster!$B$20&amp;")")</f>
        <v>(Mercenario)</v>
      </c>
      <c r="AW99" s="243"/>
      <c r="AX99" s="243"/>
      <c r="AY99" s="243"/>
      <c r="AZ99" s="243"/>
      <c r="BA99" s="243"/>
      <c r="BB99" s="243"/>
      <c r="BC99" s="243"/>
      <c r="BD99" s="243"/>
      <c r="BE99" s="243"/>
      <c r="BF99" s="243"/>
      <c r="BG99" s="244"/>
      <c r="BH99" s="183"/>
    </row>
    <row r="100" spans="1:60" ht="11.25" customHeight="1">
      <c r="A100" s="2"/>
      <c r="B100" s="241"/>
      <c r="C100" s="370" t="str">
        <f>IF(Roster!$C$17=0,"",Roster!$C$17)</f>
        <v>Snotling</v>
      </c>
      <c r="D100" s="243"/>
      <c r="E100" s="243"/>
      <c r="F100" s="243"/>
      <c r="G100" s="243"/>
      <c r="H100" s="243"/>
      <c r="I100" s="243"/>
      <c r="J100" s="243"/>
      <c r="K100" s="243"/>
      <c r="L100" s="243"/>
      <c r="M100" s="243"/>
      <c r="N100" s="244"/>
      <c r="O100" s="184"/>
      <c r="P100" s="2"/>
      <c r="Q100" s="241"/>
      <c r="R100" s="366" t="str">
        <f>IF(Roster!$C$18=0,"",Roster!$C$18)</f>
        <v/>
      </c>
      <c r="S100" s="356"/>
      <c r="T100" s="356"/>
      <c r="U100" s="356"/>
      <c r="V100" s="356"/>
      <c r="W100" s="356"/>
      <c r="X100" s="356"/>
      <c r="Y100" s="356"/>
      <c r="Z100" s="356"/>
      <c r="AA100" s="356"/>
      <c r="AB100" s="356"/>
      <c r="AC100" s="357"/>
      <c r="AD100" s="184"/>
      <c r="AE100" s="2"/>
      <c r="AF100" s="241"/>
      <c r="AG100" s="366" t="str">
        <f>IF(Roster!$C$19=0,"",Roster!$C$19)</f>
        <v/>
      </c>
      <c r="AH100" s="356"/>
      <c r="AI100" s="356"/>
      <c r="AJ100" s="356"/>
      <c r="AK100" s="356"/>
      <c r="AL100" s="356"/>
      <c r="AM100" s="356"/>
      <c r="AN100" s="356"/>
      <c r="AO100" s="356"/>
      <c r="AP100" s="356"/>
      <c r="AQ100" s="356"/>
      <c r="AR100" s="357"/>
      <c r="AS100" s="184"/>
      <c r="AT100" s="2"/>
      <c r="AU100" s="241"/>
      <c r="AV100" s="366" t="str">
        <f>IF(Roster!$C$20=0,"",Roster!$C$20)</f>
        <v/>
      </c>
      <c r="AW100" s="356"/>
      <c r="AX100" s="356"/>
      <c r="AY100" s="356"/>
      <c r="AZ100" s="356"/>
      <c r="BA100" s="356"/>
      <c r="BB100" s="356"/>
      <c r="BC100" s="356"/>
      <c r="BD100" s="356"/>
      <c r="BE100" s="356"/>
      <c r="BF100" s="356"/>
      <c r="BG100" s="357"/>
      <c r="BH100" s="184"/>
    </row>
    <row r="101" spans="1:60" ht="11.25" customHeight="1">
      <c r="A101" s="2"/>
      <c r="B101" s="187" t="str">
        <f>IF(Roster!$J$1=0,"",Roster!$J$1)</f>
        <v>MA</v>
      </c>
      <c r="C101" s="186"/>
      <c r="D101" s="368"/>
      <c r="E101" s="277"/>
      <c r="F101" s="277"/>
      <c r="G101" s="277"/>
      <c r="H101" s="277"/>
      <c r="I101" s="277"/>
      <c r="J101" s="277"/>
      <c r="K101" s="277"/>
      <c r="L101" s="277"/>
      <c r="M101" s="277"/>
      <c r="N101" s="277"/>
      <c r="O101" s="183"/>
      <c r="P101" s="2"/>
      <c r="Q101" s="187" t="str">
        <f>IF(Roster!$J$1=0,"",Roster!$J$1)</f>
        <v>MA</v>
      </c>
      <c r="R101" s="358"/>
      <c r="S101" s="277"/>
      <c r="T101" s="277"/>
      <c r="U101" s="277"/>
      <c r="V101" s="277"/>
      <c r="W101" s="277"/>
      <c r="X101" s="277"/>
      <c r="Y101" s="277"/>
      <c r="Z101" s="277"/>
      <c r="AA101" s="277"/>
      <c r="AB101" s="277"/>
      <c r="AC101" s="336"/>
      <c r="AD101" s="183"/>
      <c r="AE101" s="2"/>
      <c r="AF101" s="187" t="str">
        <f>IF(Roster!$J$1=0,"",Roster!$J$1)</f>
        <v>MA</v>
      </c>
      <c r="AG101" s="358"/>
      <c r="AH101" s="277"/>
      <c r="AI101" s="277"/>
      <c r="AJ101" s="277"/>
      <c r="AK101" s="277"/>
      <c r="AL101" s="277"/>
      <c r="AM101" s="277"/>
      <c r="AN101" s="277"/>
      <c r="AO101" s="277"/>
      <c r="AP101" s="277"/>
      <c r="AQ101" s="277"/>
      <c r="AR101" s="336"/>
      <c r="AS101" s="183"/>
      <c r="AT101" s="2"/>
      <c r="AU101" s="187" t="str">
        <f>IF(Roster!$J$1=0,"",Roster!$J$1)</f>
        <v>MA</v>
      </c>
      <c r="AV101" s="358"/>
      <c r="AW101" s="277"/>
      <c r="AX101" s="277"/>
      <c r="AY101" s="277"/>
      <c r="AZ101" s="277"/>
      <c r="BA101" s="277"/>
      <c r="BB101" s="277"/>
      <c r="BC101" s="277"/>
      <c r="BD101" s="277"/>
      <c r="BE101" s="277"/>
      <c r="BF101" s="277"/>
      <c r="BG101" s="336"/>
      <c r="BH101" s="183"/>
    </row>
    <row r="102" spans="1:60" ht="37.5" customHeight="1">
      <c r="A102" s="2"/>
      <c r="B102" s="189">
        <f>IF(Roster!$J$17=0,"",Roster!$J$17)</f>
        <v>5</v>
      </c>
      <c r="C102" s="186"/>
      <c r="D102" s="277"/>
      <c r="E102" s="277"/>
      <c r="F102" s="277"/>
      <c r="G102" s="277"/>
      <c r="H102" s="277"/>
      <c r="I102" s="277"/>
      <c r="J102" s="277"/>
      <c r="K102" s="277"/>
      <c r="L102" s="277"/>
      <c r="M102" s="277"/>
      <c r="N102" s="277"/>
      <c r="O102" s="183"/>
      <c r="P102" s="2"/>
      <c r="Q102" s="189" t="str">
        <f>IF(Roster!$J$18=0,"",Roster!$J$18)</f>
        <v/>
      </c>
      <c r="R102" s="359"/>
      <c r="S102" s="360"/>
      <c r="T102" s="360"/>
      <c r="U102" s="360"/>
      <c r="V102" s="360"/>
      <c r="W102" s="360"/>
      <c r="X102" s="360"/>
      <c r="Y102" s="360"/>
      <c r="Z102" s="360"/>
      <c r="AA102" s="360"/>
      <c r="AB102" s="360"/>
      <c r="AC102" s="361"/>
      <c r="AD102" s="183"/>
      <c r="AE102" s="2"/>
      <c r="AF102" s="189" t="str">
        <f>IF(Roster!$J$19=0,"",Roster!$J$19)</f>
        <v/>
      </c>
      <c r="AG102" s="359"/>
      <c r="AH102" s="360"/>
      <c r="AI102" s="360"/>
      <c r="AJ102" s="360"/>
      <c r="AK102" s="360"/>
      <c r="AL102" s="360"/>
      <c r="AM102" s="360"/>
      <c r="AN102" s="360"/>
      <c r="AO102" s="360"/>
      <c r="AP102" s="360"/>
      <c r="AQ102" s="360"/>
      <c r="AR102" s="361"/>
      <c r="AS102" s="183"/>
      <c r="AT102" s="2"/>
      <c r="AU102" s="189" t="str">
        <f>IF(Roster!$J$20=0,"",Roster!$J$20)</f>
        <v/>
      </c>
      <c r="AV102" s="359"/>
      <c r="AW102" s="360"/>
      <c r="AX102" s="360"/>
      <c r="AY102" s="360"/>
      <c r="AZ102" s="360"/>
      <c r="BA102" s="360"/>
      <c r="BB102" s="360"/>
      <c r="BC102" s="360"/>
      <c r="BD102" s="360"/>
      <c r="BE102" s="360"/>
      <c r="BF102" s="360"/>
      <c r="BG102" s="361"/>
      <c r="BH102" s="183"/>
    </row>
    <row r="103" spans="1:60" ht="11.25" customHeight="1">
      <c r="A103" s="2"/>
      <c r="B103" s="187" t="str">
        <f>IF(Roster!$K$1=0,"",Roster!$K$1)</f>
        <v>ST</v>
      </c>
      <c r="C103" s="186"/>
      <c r="D103" s="277"/>
      <c r="E103" s="277"/>
      <c r="F103" s="277"/>
      <c r="G103" s="277"/>
      <c r="H103" s="277"/>
      <c r="I103" s="277"/>
      <c r="J103" s="277"/>
      <c r="K103" s="277"/>
      <c r="L103" s="277"/>
      <c r="M103" s="277"/>
      <c r="N103" s="277"/>
      <c r="O103" s="183"/>
      <c r="P103" s="2"/>
      <c r="Q103" s="187" t="str">
        <f>IF(Roster!$K$1=0,"",Roster!$K$1)</f>
        <v>ST</v>
      </c>
      <c r="R103" s="187"/>
      <c r="S103" s="353" t="str">
        <f>IF(Roster!$J$25="Italiano","REGOLE SPECIALI",(IF(Roster!$J$25="Español","REGLA ESPECIAL","SPECIAL RULE")))</f>
        <v>REGOLE SPECIALI</v>
      </c>
      <c r="T103" s="243"/>
      <c r="U103" s="243"/>
      <c r="V103" s="243"/>
      <c r="W103" s="243"/>
      <c r="X103" s="243"/>
      <c r="Y103" s="243"/>
      <c r="Z103" s="243"/>
      <c r="AA103" s="243"/>
      <c r="AB103" s="243"/>
      <c r="AC103" s="244"/>
      <c r="AD103" s="183"/>
      <c r="AE103" s="2"/>
      <c r="AF103" s="187" t="str">
        <f>IF(Roster!$K$1=0,"",Roster!$K$1)</f>
        <v>ST</v>
      </c>
      <c r="AG103" s="183"/>
      <c r="AH103" s="353" t="str">
        <f>IF(Roster!$J$25="Italiano","REGOLE SPECIALI",(IF(Roster!$J$25="Español","REGLA ESPECIAL","SPECIAL RULE")))</f>
        <v>REGOLE SPECIALI</v>
      </c>
      <c r="AI103" s="243"/>
      <c r="AJ103" s="243"/>
      <c r="AK103" s="243"/>
      <c r="AL103" s="243"/>
      <c r="AM103" s="243"/>
      <c r="AN103" s="243"/>
      <c r="AO103" s="243"/>
      <c r="AP103" s="243"/>
      <c r="AQ103" s="243"/>
      <c r="AR103" s="244"/>
      <c r="AS103" s="183"/>
      <c r="AT103" s="2"/>
      <c r="AU103" s="187" t="str">
        <f>IF(Roster!$K$1=0,"",Roster!$K$1)</f>
        <v>ST</v>
      </c>
      <c r="AV103" s="183"/>
      <c r="AW103" s="353" t="str">
        <f>IF(Roster!$J$25="Italiano","REGOLE SPECIALI",(IF(Roster!$J$25="Español","REGLA ESPECIAL","SPECIAL RULE")))</f>
        <v>REGOLE SPECIALI</v>
      </c>
      <c r="AX103" s="243"/>
      <c r="AY103" s="243"/>
      <c r="AZ103" s="243"/>
      <c r="BA103" s="243"/>
      <c r="BB103" s="243"/>
      <c r="BC103" s="243"/>
      <c r="BD103" s="243"/>
      <c r="BE103" s="243"/>
      <c r="BF103" s="243"/>
      <c r="BG103" s="244"/>
      <c r="BH103" s="183"/>
    </row>
    <row r="104" spans="1:60" ht="37.5" customHeight="1">
      <c r="A104" s="2"/>
      <c r="B104" s="189">
        <f>IF(Roster!$K$17=0,"",Roster!$K$17)</f>
        <v>1</v>
      </c>
      <c r="C104" s="186"/>
      <c r="D104" s="277"/>
      <c r="E104" s="277"/>
      <c r="F104" s="277"/>
      <c r="G104" s="277"/>
      <c r="H104" s="277"/>
      <c r="I104" s="277"/>
      <c r="J104" s="277"/>
      <c r="K104" s="277"/>
      <c r="L104" s="277"/>
      <c r="M104" s="277"/>
      <c r="N104" s="277"/>
      <c r="O104" s="183"/>
      <c r="P104" s="2"/>
      <c r="Q104" s="189" t="str">
        <f>IF(Roster!$K$18=0,"",Roster!$K$18)</f>
        <v/>
      </c>
      <c r="R104" s="187"/>
      <c r="S104" s="355" t="str">
        <f>IF(Roster!$Z$18=0,"",Roster!$Z$18)</f>
        <v/>
      </c>
      <c r="T104" s="356"/>
      <c r="U104" s="356"/>
      <c r="V104" s="356"/>
      <c r="W104" s="356"/>
      <c r="X104" s="356"/>
      <c r="Y104" s="356"/>
      <c r="Z104" s="356"/>
      <c r="AA104" s="356"/>
      <c r="AB104" s="356"/>
      <c r="AC104" s="357"/>
      <c r="AD104" s="183"/>
      <c r="AE104" s="2"/>
      <c r="AF104" s="189" t="str">
        <f>IF(Roster!$K$19=0,"",Roster!$K$19)</f>
        <v/>
      </c>
      <c r="AG104" s="183"/>
      <c r="AH104" s="355" t="str">
        <f>IF(Roster!$Z$19=0,"",Roster!$Z$19)</f>
        <v/>
      </c>
      <c r="AI104" s="356"/>
      <c r="AJ104" s="356"/>
      <c r="AK104" s="356"/>
      <c r="AL104" s="356"/>
      <c r="AM104" s="356"/>
      <c r="AN104" s="356"/>
      <c r="AO104" s="356"/>
      <c r="AP104" s="356"/>
      <c r="AQ104" s="356"/>
      <c r="AR104" s="357"/>
      <c r="AS104" s="183"/>
      <c r="AT104" s="2"/>
      <c r="AU104" s="189" t="str">
        <f>IF(Roster!$K$20=0,"",Roster!$K$20)</f>
        <v/>
      </c>
      <c r="AV104" s="183"/>
      <c r="AW104" s="355" t="str">
        <f>IF(Roster!$Z$20=0,"",Roster!$Z$20)</f>
        <v/>
      </c>
      <c r="AX104" s="356"/>
      <c r="AY104" s="356"/>
      <c r="AZ104" s="356"/>
      <c r="BA104" s="356"/>
      <c r="BB104" s="356"/>
      <c r="BC104" s="356"/>
      <c r="BD104" s="356"/>
      <c r="BE104" s="356"/>
      <c r="BF104" s="356"/>
      <c r="BG104" s="357"/>
      <c r="BH104" s="183"/>
    </row>
    <row r="105" spans="1:60" ht="11.25" customHeight="1">
      <c r="A105" s="2"/>
      <c r="B105" s="187" t="str">
        <f>IF(Roster!$L$1=0,"",Roster!$L$1)</f>
        <v>AG</v>
      </c>
      <c r="C105" s="186"/>
      <c r="D105" s="277"/>
      <c r="E105" s="277"/>
      <c r="F105" s="277"/>
      <c r="G105" s="277"/>
      <c r="H105" s="277"/>
      <c r="I105" s="277"/>
      <c r="J105" s="277"/>
      <c r="K105" s="277"/>
      <c r="L105" s="277"/>
      <c r="M105" s="277"/>
      <c r="N105" s="277"/>
      <c r="O105" s="183"/>
      <c r="P105" s="2"/>
      <c r="Q105" s="187" t="str">
        <f>IF(Roster!$L$1=0,"",Roster!$L$1)</f>
        <v>AG</v>
      </c>
      <c r="R105" s="187"/>
      <c r="S105" s="358"/>
      <c r="T105" s="277"/>
      <c r="U105" s="277"/>
      <c r="V105" s="277"/>
      <c r="W105" s="277"/>
      <c r="X105" s="277"/>
      <c r="Y105" s="277"/>
      <c r="Z105" s="277"/>
      <c r="AA105" s="277"/>
      <c r="AB105" s="277"/>
      <c r="AC105" s="336"/>
      <c r="AD105" s="183"/>
      <c r="AE105" s="2"/>
      <c r="AF105" s="187" t="str">
        <f>IF(Roster!$L$1=0,"",Roster!$L$1)</f>
        <v>AG</v>
      </c>
      <c r="AG105" s="183"/>
      <c r="AH105" s="358"/>
      <c r="AI105" s="277"/>
      <c r="AJ105" s="277"/>
      <c r="AK105" s="277"/>
      <c r="AL105" s="277"/>
      <c r="AM105" s="277"/>
      <c r="AN105" s="277"/>
      <c r="AO105" s="277"/>
      <c r="AP105" s="277"/>
      <c r="AQ105" s="277"/>
      <c r="AR105" s="336"/>
      <c r="AS105" s="183"/>
      <c r="AT105" s="2"/>
      <c r="AU105" s="187" t="str">
        <f>IF(Roster!$L$1=0,"",Roster!$L$1)</f>
        <v>AG</v>
      </c>
      <c r="AV105" s="183"/>
      <c r="AW105" s="358"/>
      <c r="AX105" s="277"/>
      <c r="AY105" s="277"/>
      <c r="AZ105" s="277"/>
      <c r="BA105" s="277"/>
      <c r="BB105" s="277"/>
      <c r="BC105" s="277"/>
      <c r="BD105" s="277"/>
      <c r="BE105" s="277"/>
      <c r="BF105" s="277"/>
      <c r="BG105" s="336"/>
      <c r="BH105" s="183"/>
    </row>
    <row r="106" spans="1:60" ht="37.5" customHeight="1">
      <c r="A106" s="2"/>
      <c r="B106" s="189" t="str">
        <f>IF(Roster!$L$17=0&amp;"+","",Roster!$L$17)</f>
        <v>3+</v>
      </c>
      <c r="C106" s="186"/>
      <c r="D106" s="277"/>
      <c r="E106" s="277"/>
      <c r="F106" s="277"/>
      <c r="G106" s="277"/>
      <c r="H106" s="277"/>
      <c r="I106" s="277"/>
      <c r="J106" s="277"/>
      <c r="K106" s="277"/>
      <c r="L106" s="277"/>
      <c r="M106" s="277"/>
      <c r="N106" s="277"/>
      <c r="O106" s="183"/>
      <c r="P106" s="2"/>
      <c r="Q106" s="189" t="str">
        <f>IF(Roster!$L$18=0,"",Roster!$L$18)</f>
        <v/>
      </c>
      <c r="R106" s="187"/>
      <c r="S106" s="358"/>
      <c r="T106" s="277"/>
      <c r="U106" s="277"/>
      <c r="V106" s="277"/>
      <c r="W106" s="277"/>
      <c r="X106" s="277"/>
      <c r="Y106" s="277"/>
      <c r="Z106" s="277"/>
      <c r="AA106" s="277"/>
      <c r="AB106" s="277"/>
      <c r="AC106" s="336"/>
      <c r="AD106" s="183"/>
      <c r="AE106" s="2"/>
      <c r="AF106" s="189" t="str">
        <f>IF(Roster!$L$19=0,"",Roster!$L$19)</f>
        <v/>
      </c>
      <c r="AG106" s="183"/>
      <c r="AH106" s="358"/>
      <c r="AI106" s="277"/>
      <c r="AJ106" s="277"/>
      <c r="AK106" s="277"/>
      <c r="AL106" s="277"/>
      <c r="AM106" s="277"/>
      <c r="AN106" s="277"/>
      <c r="AO106" s="277"/>
      <c r="AP106" s="277"/>
      <c r="AQ106" s="277"/>
      <c r="AR106" s="336"/>
      <c r="AS106" s="183"/>
      <c r="AT106" s="2"/>
      <c r="AU106" s="189" t="str">
        <f>IF(Roster!$L$20=0,"",Roster!$L$20)</f>
        <v/>
      </c>
      <c r="AV106" s="183"/>
      <c r="AW106" s="358"/>
      <c r="AX106" s="277"/>
      <c r="AY106" s="277"/>
      <c r="AZ106" s="277"/>
      <c r="BA106" s="277"/>
      <c r="BB106" s="277"/>
      <c r="BC106" s="277"/>
      <c r="BD106" s="277"/>
      <c r="BE106" s="277"/>
      <c r="BF106" s="277"/>
      <c r="BG106" s="336"/>
      <c r="BH106" s="183"/>
    </row>
    <row r="107" spans="1:60" ht="11.25" customHeight="1">
      <c r="A107" s="2"/>
      <c r="B107" s="187" t="str">
        <f>IF(Roster!$M$1=0,"",Roster!$M$1)</f>
        <v>PA</v>
      </c>
      <c r="C107" s="186"/>
      <c r="D107" s="277"/>
      <c r="E107" s="277"/>
      <c r="F107" s="277"/>
      <c r="G107" s="277"/>
      <c r="H107" s="277"/>
      <c r="I107" s="277"/>
      <c r="J107" s="277"/>
      <c r="K107" s="277"/>
      <c r="L107" s="277"/>
      <c r="M107" s="277"/>
      <c r="N107" s="277"/>
      <c r="O107" s="192"/>
      <c r="P107" s="2"/>
      <c r="Q107" s="187" t="str">
        <f>IF(Roster!$M$1=0,"",Roster!$M$1)</f>
        <v>PA</v>
      </c>
      <c r="R107" s="187"/>
      <c r="S107" s="358"/>
      <c r="T107" s="277"/>
      <c r="U107" s="277"/>
      <c r="V107" s="277"/>
      <c r="W107" s="277"/>
      <c r="X107" s="277"/>
      <c r="Y107" s="277"/>
      <c r="Z107" s="277"/>
      <c r="AA107" s="277"/>
      <c r="AB107" s="277"/>
      <c r="AC107" s="336"/>
      <c r="AD107" s="192"/>
      <c r="AE107" s="2"/>
      <c r="AF107" s="187" t="str">
        <f>IF(Roster!$M$1=0,"",Roster!$M$1)</f>
        <v>PA</v>
      </c>
      <c r="AG107" s="183"/>
      <c r="AH107" s="358"/>
      <c r="AI107" s="277"/>
      <c r="AJ107" s="277"/>
      <c r="AK107" s="277"/>
      <c r="AL107" s="277"/>
      <c r="AM107" s="277"/>
      <c r="AN107" s="277"/>
      <c r="AO107" s="277"/>
      <c r="AP107" s="277"/>
      <c r="AQ107" s="277"/>
      <c r="AR107" s="336"/>
      <c r="AS107" s="192"/>
      <c r="AT107" s="2"/>
      <c r="AU107" s="187" t="str">
        <f>IF(Roster!$M$1=0,"",Roster!$M$1)</f>
        <v>PA</v>
      </c>
      <c r="AV107" s="183"/>
      <c r="AW107" s="358"/>
      <c r="AX107" s="277"/>
      <c r="AY107" s="277"/>
      <c r="AZ107" s="277"/>
      <c r="BA107" s="277"/>
      <c r="BB107" s="277"/>
      <c r="BC107" s="277"/>
      <c r="BD107" s="277"/>
      <c r="BE107" s="277"/>
      <c r="BF107" s="277"/>
      <c r="BG107" s="336"/>
      <c r="BH107" s="192"/>
    </row>
    <row r="108" spans="1:60" ht="6" customHeight="1">
      <c r="A108" s="2"/>
      <c r="B108" s="367" t="str">
        <f>IF(Roster!$M$17=0&amp;"+","",Roster!$M$17)</f>
        <v>5+</v>
      </c>
      <c r="C108" s="186"/>
      <c r="D108" s="277"/>
      <c r="E108" s="277"/>
      <c r="F108" s="277"/>
      <c r="G108" s="277"/>
      <c r="H108" s="277"/>
      <c r="I108" s="277"/>
      <c r="J108" s="277"/>
      <c r="K108" s="277"/>
      <c r="L108" s="277"/>
      <c r="M108" s="277"/>
      <c r="N108" s="277"/>
      <c r="O108" s="194"/>
      <c r="P108" s="2"/>
      <c r="Q108" s="367" t="str">
        <f>IF(Roster!$M$18=0,"",Roster!$M$18)</f>
        <v/>
      </c>
      <c r="R108" s="187"/>
      <c r="S108" s="358"/>
      <c r="T108" s="277"/>
      <c r="U108" s="277"/>
      <c r="V108" s="277"/>
      <c r="W108" s="277"/>
      <c r="X108" s="277"/>
      <c r="Y108" s="277"/>
      <c r="Z108" s="277"/>
      <c r="AA108" s="277"/>
      <c r="AB108" s="277"/>
      <c r="AC108" s="336"/>
      <c r="AD108" s="194"/>
      <c r="AE108" s="2"/>
      <c r="AF108" s="367" t="str">
        <f>IF(Roster!$M$19=0,"",Roster!$M$19)</f>
        <v/>
      </c>
      <c r="AG108" s="183"/>
      <c r="AH108" s="358"/>
      <c r="AI108" s="277"/>
      <c r="AJ108" s="277"/>
      <c r="AK108" s="277"/>
      <c r="AL108" s="277"/>
      <c r="AM108" s="277"/>
      <c r="AN108" s="277"/>
      <c r="AO108" s="277"/>
      <c r="AP108" s="277"/>
      <c r="AQ108" s="277"/>
      <c r="AR108" s="336"/>
      <c r="AS108" s="194"/>
      <c r="AT108" s="2"/>
      <c r="AU108" s="367" t="str">
        <f>IF(Roster!$M$20=0,"",Roster!$M$20)</f>
        <v/>
      </c>
      <c r="AV108" s="183"/>
      <c r="AW108" s="358"/>
      <c r="AX108" s="277"/>
      <c r="AY108" s="277"/>
      <c r="AZ108" s="277"/>
      <c r="BA108" s="277"/>
      <c r="BB108" s="277"/>
      <c r="BC108" s="277"/>
      <c r="BD108" s="277"/>
      <c r="BE108" s="277"/>
      <c r="BF108" s="277"/>
      <c r="BG108" s="336"/>
      <c r="BH108" s="194"/>
    </row>
    <row r="109" spans="1:60" ht="4.5" customHeight="1">
      <c r="A109" s="2"/>
      <c r="B109" s="240"/>
      <c r="C109" s="186"/>
      <c r="D109" s="183"/>
      <c r="E109" s="193"/>
      <c r="F109" s="183"/>
      <c r="G109" s="193"/>
      <c r="H109" s="183"/>
      <c r="I109" s="193"/>
      <c r="J109" s="183"/>
      <c r="K109" s="193"/>
      <c r="L109" s="183"/>
      <c r="M109" s="193"/>
      <c r="N109" s="183"/>
      <c r="O109" s="194"/>
      <c r="P109" s="2"/>
      <c r="Q109" s="240"/>
      <c r="R109" s="187"/>
      <c r="S109" s="358"/>
      <c r="T109" s="277"/>
      <c r="U109" s="277"/>
      <c r="V109" s="277"/>
      <c r="W109" s="277"/>
      <c r="X109" s="277"/>
      <c r="Y109" s="277"/>
      <c r="Z109" s="277"/>
      <c r="AA109" s="277"/>
      <c r="AB109" s="277"/>
      <c r="AC109" s="336"/>
      <c r="AD109" s="194"/>
      <c r="AE109" s="2"/>
      <c r="AF109" s="240"/>
      <c r="AG109" s="188"/>
      <c r="AH109" s="358"/>
      <c r="AI109" s="277"/>
      <c r="AJ109" s="277"/>
      <c r="AK109" s="277"/>
      <c r="AL109" s="277"/>
      <c r="AM109" s="277"/>
      <c r="AN109" s="277"/>
      <c r="AO109" s="277"/>
      <c r="AP109" s="277"/>
      <c r="AQ109" s="277"/>
      <c r="AR109" s="336"/>
      <c r="AS109" s="194"/>
      <c r="AT109" s="2"/>
      <c r="AU109" s="240"/>
      <c r="AV109" s="188"/>
      <c r="AW109" s="358"/>
      <c r="AX109" s="277"/>
      <c r="AY109" s="277"/>
      <c r="AZ109" s="277"/>
      <c r="BA109" s="277"/>
      <c r="BB109" s="277"/>
      <c r="BC109" s="277"/>
      <c r="BD109" s="277"/>
      <c r="BE109" s="277"/>
      <c r="BF109" s="277"/>
      <c r="BG109" s="336"/>
      <c r="BH109" s="194"/>
    </row>
    <row r="110" spans="1:60" ht="11.25" customHeight="1">
      <c r="A110" s="2"/>
      <c r="B110" s="240"/>
      <c r="C110" s="186"/>
      <c r="D110" s="195" t="str">
        <f>IF(Roster!$AC$1=0,"",Roster!$AC$1)</f>
        <v>TD</v>
      </c>
      <c r="E110" s="193"/>
      <c r="F110" s="195" t="str">
        <f>IF(Roster!$J$25="Español","HER",(IF(Roster!$J$25="Deutsch","VER",(IF(Roster!$J$25="Français","BLES","CAS")))))</f>
        <v>CAS</v>
      </c>
      <c r="G110" s="193"/>
      <c r="H110" s="195" t="str">
        <f>IF(Roster!$AF$1=0,"",Roster!$AF$1)</f>
        <v>BH</v>
      </c>
      <c r="I110" s="193"/>
      <c r="J110" s="195" t="str">
        <f>IF(Roster!$AG$1=0,"",Roster!$AG$1)</f>
        <v>SI</v>
      </c>
      <c r="K110" s="193"/>
      <c r="L110" s="195" t="str">
        <f>IF(Roster!$AH$1=0,"",Roster!$AH$1)</f>
        <v>KILL</v>
      </c>
      <c r="M110" s="193"/>
      <c r="N110" s="195" t="str">
        <f>IF(Roster!$AB$1=0,"",Roster!$AB$1)</f>
        <v>CP</v>
      </c>
      <c r="O110" s="194"/>
      <c r="P110" s="2"/>
      <c r="Q110" s="240"/>
      <c r="R110" s="187"/>
      <c r="S110" s="358"/>
      <c r="T110" s="277"/>
      <c r="U110" s="277"/>
      <c r="V110" s="277"/>
      <c r="W110" s="277"/>
      <c r="X110" s="277"/>
      <c r="Y110" s="277"/>
      <c r="Z110" s="277"/>
      <c r="AA110" s="277"/>
      <c r="AB110" s="277"/>
      <c r="AC110" s="336"/>
      <c r="AD110" s="194"/>
      <c r="AE110" s="2"/>
      <c r="AF110" s="240"/>
      <c r="AG110" s="188"/>
      <c r="AH110" s="358"/>
      <c r="AI110" s="277"/>
      <c r="AJ110" s="277"/>
      <c r="AK110" s="277"/>
      <c r="AL110" s="277"/>
      <c r="AM110" s="277"/>
      <c r="AN110" s="277"/>
      <c r="AO110" s="277"/>
      <c r="AP110" s="277"/>
      <c r="AQ110" s="277"/>
      <c r="AR110" s="336"/>
      <c r="AS110" s="194"/>
      <c r="AT110" s="2"/>
      <c r="AU110" s="240"/>
      <c r="AV110" s="188"/>
      <c r="AW110" s="358"/>
      <c r="AX110" s="277"/>
      <c r="AY110" s="277"/>
      <c r="AZ110" s="277"/>
      <c r="BA110" s="277"/>
      <c r="BB110" s="277"/>
      <c r="BC110" s="277"/>
      <c r="BD110" s="277"/>
      <c r="BE110" s="277"/>
      <c r="BF110" s="277"/>
      <c r="BG110" s="336"/>
      <c r="BH110" s="194"/>
    </row>
    <row r="111" spans="1:60" ht="15" customHeight="1">
      <c r="A111" s="2"/>
      <c r="B111" s="240"/>
      <c r="C111" s="188"/>
      <c r="D111" s="196" t="str">
        <f>IF(Roster!$AC$17=0,"",Roster!$AC$17)</f>
        <v/>
      </c>
      <c r="E111" s="188"/>
      <c r="F111" s="196" t="str">
        <f>IF((SUM(H111,J111,L111))=0,"",(SUM(H111,J111,L111)))</f>
        <v/>
      </c>
      <c r="G111" s="188"/>
      <c r="H111" s="196" t="str">
        <f>IF(Roster!$AF$17=0,"",Roster!$AF$17)</f>
        <v/>
      </c>
      <c r="I111" s="188"/>
      <c r="J111" s="196" t="str">
        <f>IF(Roster!$AG$17=0,"",Roster!$AG$17)</f>
        <v/>
      </c>
      <c r="K111" s="188"/>
      <c r="L111" s="196" t="str">
        <f>IF(Roster!$AH$17=0,"",Roster!$AH$17)</f>
        <v/>
      </c>
      <c r="M111" s="188"/>
      <c r="N111" s="196" t="str">
        <f>IF(Roster!$AB$17=0,"",Roster!$AB$17)</f>
        <v/>
      </c>
      <c r="O111" s="194"/>
      <c r="P111" s="2"/>
      <c r="Q111" s="240"/>
      <c r="R111" s="187"/>
      <c r="S111" s="359"/>
      <c r="T111" s="360"/>
      <c r="U111" s="360"/>
      <c r="V111" s="360"/>
      <c r="W111" s="360"/>
      <c r="X111" s="360"/>
      <c r="Y111" s="360"/>
      <c r="Z111" s="360"/>
      <c r="AA111" s="360"/>
      <c r="AB111" s="360"/>
      <c r="AC111" s="361"/>
      <c r="AD111" s="194"/>
      <c r="AE111" s="2"/>
      <c r="AF111" s="240"/>
      <c r="AG111" s="187"/>
      <c r="AH111" s="359"/>
      <c r="AI111" s="360"/>
      <c r="AJ111" s="360"/>
      <c r="AK111" s="360"/>
      <c r="AL111" s="360"/>
      <c r="AM111" s="360"/>
      <c r="AN111" s="360"/>
      <c r="AO111" s="360"/>
      <c r="AP111" s="360"/>
      <c r="AQ111" s="360"/>
      <c r="AR111" s="361"/>
      <c r="AS111" s="194"/>
      <c r="AT111" s="2"/>
      <c r="AU111" s="240"/>
      <c r="AV111" s="187"/>
      <c r="AW111" s="359"/>
      <c r="AX111" s="360"/>
      <c r="AY111" s="360"/>
      <c r="AZ111" s="360"/>
      <c r="BA111" s="360"/>
      <c r="BB111" s="360"/>
      <c r="BC111" s="360"/>
      <c r="BD111" s="360"/>
      <c r="BE111" s="360"/>
      <c r="BF111" s="360"/>
      <c r="BG111" s="361"/>
      <c r="BH111" s="194"/>
    </row>
    <row r="112" spans="1:60" ht="4.5" customHeight="1">
      <c r="A112" s="2"/>
      <c r="B112" s="241"/>
      <c r="C112" s="188"/>
      <c r="D112" s="197"/>
      <c r="E112" s="188"/>
      <c r="F112" s="197"/>
      <c r="G112" s="188"/>
      <c r="H112" s="197"/>
      <c r="I112" s="188"/>
      <c r="J112" s="197"/>
      <c r="K112" s="188"/>
      <c r="L112" s="197"/>
      <c r="M112" s="188"/>
      <c r="N112" s="197"/>
      <c r="O112" s="194"/>
      <c r="P112" s="2"/>
      <c r="Q112" s="241"/>
      <c r="R112" s="188"/>
      <c r="S112" s="203"/>
      <c r="T112" s="203"/>
      <c r="U112" s="203"/>
      <c r="V112" s="203"/>
      <c r="W112" s="203"/>
      <c r="X112" s="203"/>
      <c r="Y112" s="203"/>
      <c r="Z112" s="203"/>
      <c r="AA112" s="203"/>
      <c r="AB112" s="203"/>
      <c r="AC112" s="183"/>
      <c r="AD112" s="194"/>
      <c r="AE112" s="2"/>
      <c r="AF112" s="241"/>
      <c r="AG112" s="188"/>
      <c r="AH112" s="203"/>
      <c r="AI112" s="203"/>
      <c r="AJ112" s="203"/>
      <c r="AK112" s="203"/>
      <c r="AL112" s="203"/>
      <c r="AM112" s="203"/>
      <c r="AN112" s="203"/>
      <c r="AO112" s="203"/>
      <c r="AP112" s="203"/>
      <c r="AQ112" s="203"/>
      <c r="AR112" s="183"/>
      <c r="AS112" s="194"/>
      <c r="AT112" s="2"/>
      <c r="AU112" s="241"/>
      <c r="AV112" s="188"/>
      <c r="AW112" s="203"/>
      <c r="AX112" s="203"/>
      <c r="AY112" s="203"/>
      <c r="AZ112" s="203"/>
      <c r="BA112" s="203"/>
      <c r="BB112" s="203"/>
      <c r="BC112" s="203"/>
      <c r="BD112" s="203"/>
      <c r="BE112" s="203"/>
      <c r="BF112" s="203"/>
      <c r="BG112" s="183"/>
      <c r="BH112" s="194"/>
    </row>
    <row r="113" spans="1:60" ht="11.25" customHeight="1">
      <c r="A113" s="2"/>
      <c r="B113" s="187" t="str">
        <f>IF(Roster!$N$1=0,"",Roster!$N$1)</f>
        <v>AV</v>
      </c>
      <c r="C113" s="187"/>
      <c r="D113" s="195" t="str">
        <f>IF(Roster!$AD$1=0,"",Roster!$AD$1)</f>
        <v>DEF</v>
      </c>
      <c r="E113" s="187"/>
      <c r="F113" s="195" t="str">
        <f>IF(Roster!$AE$1=0,"",Roster!$AE$1)</f>
        <v>INT</v>
      </c>
      <c r="G113" s="187"/>
      <c r="H113" s="195" t="str">
        <f>IF(Roster!$AA$1=0,"",Roster!$AA$1)</f>
        <v>SPE</v>
      </c>
      <c r="I113" s="187"/>
      <c r="J113" s="195" t="str">
        <f>IF(Roster!$AI$1=0,"",Roster!$AI$1)</f>
        <v>MVP</v>
      </c>
      <c r="K113" s="187"/>
      <c r="L113" s="195" t="s">
        <v>392</v>
      </c>
      <c r="M113" s="187"/>
      <c r="N113" s="198" t="str">
        <f>IF(Roster!$J$25="Español","LPP/RT",(IF(Roster!$J$25="Deutsch","VNS/AD",(IF(Roster!$J$25="Français","RPM/RT","MNG/TR")))))</f>
        <v>MNG/TR</v>
      </c>
      <c r="O113" s="183"/>
      <c r="P113" s="2"/>
      <c r="Q113" s="187" t="str">
        <f>IF(Roster!$N$1=0,"",Roster!$N$1)</f>
        <v>AV</v>
      </c>
      <c r="R113" s="188"/>
      <c r="S113" s="353" t="str">
        <f>IF(Roster!$J$25="Italiano","ABILITÀ &amp; TRATTI",(IF(Roster!$J$25="Español","HABILIDADES Y RASGOS","SKILLS &amp; TRAITS")))</f>
        <v>ABILITÀ &amp; TRATTI</v>
      </c>
      <c r="T113" s="243"/>
      <c r="U113" s="243"/>
      <c r="V113" s="243"/>
      <c r="W113" s="243"/>
      <c r="X113" s="243"/>
      <c r="Y113" s="243"/>
      <c r="Z113" s="243"/>
      <c r="AA113" s="243"/>
      <c r="AB113" s="243"/>
      <c r="AC113" s="244"/>
      <c r="AD113" s="183"/>
      <c r="AE113" s="2"/>
      <c r="AF113" s="187" t="str">
        <f>IF(Roster!$N$1=0,"",Roster!$N$1)</f>
        <v>AV</v>
      </c>
      <c r="AG113" s="188"/>
      <c r="AH113" s="353" t="str">
        <f>IF(Roster!$J$25="Italiano","ABILITÀ &amp; TRATTI",(IF(Roster!$J$25="Español","HABILIDADES Y RASGOS","SKILLS &amp; TRAITS")))</f>
        <v>ABILITÀ &amp; TRATTI</v>
      </c>
      <c r="AI113" s="243"/>
      <c r="AJ113" s="243"/>
      <c r="AK113" s="243"/>
      <c r="AL113" s="243"/>
      <c r="AM113" s="243"/>
      <c r="AN113" s="243"/>
      <c r="AO113" s="243"/>
      <c r="AP113" s="243"/>
      <c r="AQ113" s="243"/>
      <c r="AR113" s="244"/>
      <c r="AS113" s="183"/>
      <c r="AT113" s="2"/>
      <c r="AU113" s="187" t="str">
        <f>IF(Roster!$N$1=0,"",Roster!$N$1)</f>
        <v>AV</v>
      </c>
      <c r="AV113" s="188"/>
      <c r="AW113" s="353" t="str">
        <f>IF(Roster!$J$25="Italiano","ABILITÀ &amp; TRATTI",(IF(Roster!$J$25="Español","HABILIDADES Y RASGOS","SKILLS &amp; TRAITS")))</f>
        <v>ABILITÀ &amp; TRATTI</v>
      </c>
      <c r="AX113" s="243"/>
      <c r="AY113" s="243"/>
      <c r="AZ113" s="243"/>
      <c r="BA113" s="243"/>
      <c r="BB113" s="243"/>
      <c r="BC113" s="243"/>
      <c r="BD113" s="243"/>
      <c r="BE113" s="243"/>
      <c r="BF113" s="243"/>
      <c r="BG113" s="244"/>
      <c r="BH113" s="183"/>
    </row>
    <row r="114" spans="1:60" ht="15" customHeight="1">
      <c r="A114" s="2"/>
      <c r="B114" s="367" t="str">
        <f>IF(Roster!$N$17=0&amp;"+","",Roster!$N$17)</f>
        <v>6+</v>
      </c>
      <c r="C114" s="188"/>
      <c r="D114" s="196" t="str">
        <f>IF(Roster!$AD$17=0,"",Roster!$AD$17)</f>
        <v/>
      </c>
      <c r="E114" s="188"/>
      <c r="F114" s="196" t="str">
        <f>IF(Roster!$AE$17=0,"",Roster!$AE$17)</f>
        <v/>
      </c>
      <c r="G114" s="188"/>
      <c r="H114" s="196" t="str">
        <f>IF(Roster!$AA$17=0,"",Roster!$AA$17)</f>
        <v/>
      </c>
      <c r="I114" s="188"/>
      <c r="J114" s="196" t="str">
        <f>IF(Roster!$AI$17=0,"",Roster!$AI$17)</f>
        <v/>
      </c>
      <c r="K114" s="188"/>
      <c r="L114" s="196" t="str">
        <f>IF(Roster!$AJ$17=0,"",Roster!$AJ$17)</f>
        <v/>
      </c>
      <c r="M114" s="188"/>
      <c r="N114" s="196" t="str">
        <f>IF(Roster!$Z$17=0,"",Roster!$Z$17)</f>
        <v/>
      </c>
      <c r="O114" s="199"/>
      <c r="P114" s="2"/>
      <c r="Q114" s="367" t="str">
        <f>IF(Roster!$N$18=0,"",Roster!$N$18)</f>
        <v/>
      </c>
      <c r="R114" s="187"/>
      <c r="S114" s="362" t="str">
        <f>IF(Roster!$O$18=0,"",Roster!$O$18)</f>
        <v/>
      </c>
      <c r="T114" s="356"/>
      <c r="U114" s="356"/>
      <c r="V114" s="356"/>
      <c r="W114" s="356"/>
      <c r="X114" s="356"/>
      <c r="Y114" s="356"/>
      <c r="Z114" s="356"/>
      <c r="AA114" s="356"/>
      <c r="AB114" s="356"/>
      <c r="AC114" s="357"/>
      <c r="AD114" s="199"/>
      <c r="AE114" s="2"/>
      <c r="AF114" s="367" t="str">
        <f>IF(Roster!$N$19=0,"",Roster!$N$19)</f>
        <v/>
      </c>
      <c r="AG114" s="187"/>
      <c r="AH114" s="362" t="str">
        <f>IF(Roster!$O$19=0,"",Roster!$O$19)</f>
        <v/>
      </c>
      <c r="AI114" s="356"/>
      <c r="AJ114" s="356"/>
      <c r="AK114" s="356"/>
      <c r="AL114" s="356"/>
      <c r="AM114" s="356"/>
      <c r="AN114" s="356"/>
      <c r="AO114" s="356"/>
      <c r="AP114" s="356"/>
      <c r="AQ114" s="356"/>
      <c r="AR114" s="357"/>
      <c r="AS114" s="199"/>
      <c r="AT114" s="2"/>
      <c r="AU114" s="367" t="str">
        <f>IF(Roster!$N$20=0,"",Roster!$N$20)</f>
        <v/>
      </c>
      <c r="AV114" s="187"/>
      <c r="AW114" s="362" t="str">
        <f>IF(Roster!$O$20=0,"",Roster!$O$20)</f>
        <v/>
      </c>
      <c r="AX114" s="356"/>
      <c r="AY114" s="356"/>
      <c r="AZ114" s="356"/>
      <c r="BA114" s="356"/>
      <c r="BB114" s="356"/>
      <c r="BC114" s="356"/>
      <c r="BD114" s="356"/>
      <c r="BE114" s="356"/>
      <c r="BF114" s="356"/>
      <c r="BG114" s="357"/>
      <c r="BH114" s="199"/>
    </row>
    <row r="115" spans="1:60" ht="4.5" customHeight="1">
      <c r="A115" s="2"/>
      <c r="B115" s="240"/>
      <c r="C115" s="188"/>
      <c r="D115" s="188"/>
      <c r="E115" s="188"/>
      <c r="F115" s="188"/>
      <c r="G115" s="188"/>
      <c r="H115" s="188"/>
      <c r="I115" s="188"/>
      <c r="J115" s="188"/>
      <c r="K115" s="188"/>
      <c r="L115" s="188"/>
      <c r="M115" s="188"/>
      <c r="N115" s="194"/>
      <c r="O115" s="199"/>
      <c r="P115" s="2"/>
      <c r="Q115" s="240"/>
      <c r="R115" s="203"/>
      <c r="S115" s="358"/>
      <c r="T115" s="277"/>
      <c r="U115" s="277"/>
      <c r="V115" s="277"/>
      <c r="W115" s="277"/>
      <c r="X115" s="277"/>
      <c r="Y115" s="277"/>
      <c r="Z115" s="277"/>
      <c r="AA115" s="277"/>
      <c r="AB115" s="277"/>
      <c r="AC115" s="336"/>
      <c r="AD115" s="199"/>
      <c r="AE115" s="2"/>
      <c r="AF115" s="240"/>
      <c r="AG115" s="203"/>
      <c r="AH115" s="358"/>
      <c r="AI115" s="277"/>
      <c r="AJ115" s="277"/>
      <c r="AK115" s="277"/>
      <c r="AL115" s="277"/>
      <c r="AM115" s="277"/>
      <c r="AN115" s="277"/>
      <c r="AO115" s="277"/>
      <c r="AP115" s="277"/>
      <c r="AQ115" s="277"/>
      <c r="AR115" s="336"/>
      <c r="AS115" s="199"/>
      <c r="AT115" s="2"/>
      <c r="AU115" s="240"/>
      <c r="AV115" s="203"/>
      <c r="AW115" s="358"/>
      <c r="AX115" s="277"/>
      <c r="AY115" s="277"/>
      <c r="AZ115" s="277"/>
      <c r="BA115" s="277"/>
      <c r="BB115" s="277"/>
      <c r="BC115" s="277"/>
      <c r="BD115" s="277"/>
      <c r="BE115" s="277"/>
      <c r="BF115" s="277"/>
      <c r="BG115" s="336"/>
      <c r="BH115" s="199"/>
    </row>
    <row r="116" spans="1:60" ht="11.25" customHeight="1">
      <c r="A116" s="2"/>
      <c r="B116" s="240"/>
      <c r="C116" s="188"/>
      <c r="D116" s="353" t="str">
        <f>IF(Roster!$J$25="Italiano","ABILITÀ &amp; TRATTI",(IF(Roster!$J$25="Español","HABILIDADES Y RASGOS","SKILLS &amp; TRAITS")))</f>
        <v>ABILITÀ &amp; TRATTI</v>
      </c>
      <c r="E116" s="243"/>
      <c r="F116" s="243"/>
      <c r="G116" s="243"/>
      <c r="H116" s="243"/>
      <c r="I116" s="243"/>
      <c r="J116" s="243"/>
      <c r="K116" s="243"/>
      <c r="L116" s="243"/>
      <c r="M116" s="243"/>
      <c r="N116" s="244"/>
      <c r="O116" s="199"/>
      <c r="P116" s="2"/>
      <c r="Q116" s="240"/>
      <c r="R116" s="183"/>
      <c r="S116" s="358"/>
      <c r="T116" s="277"/>
      <c r="U116" s="277"/>
      <c r="V116" s="277"/>
      <c r="W116" s="277"/>
      <c r="X116" s="277"/>
      <c r="Y116" s="277"/>
      <c r="Z116" s="277"/>
      <c r="AA116" s="277"/>
      <c r="AB116" s="277"/>
      <c r="AC116" s="336"/>
      <c r="AD116" s="199"/>
      <c r="AE116" s="2"/>
      <c r="AF116" s="240"/>
      <c r="AG116" s="183"/>
      <c r="AH116" s="358"/>
      <c r="AI116" s="277"/>
      <c r="AJ116" s="277"/>
      <c r="AK116" s="277"/>
      <c r="AL116" s="277"/>
      <c r="AM116" s="277"/>
      <c r="AN116" s="277"/>
      <c r="AO116" s="277"/>
      <c r="AP116" s="277"/>
      <c r="AQ116" s="277"/>
      <c r="AR116" s="336"/>
      <c r="AS116" s="199"/>
      <c r="AT116" s="2"/>
      <c r="AU116" s="240"/>
      <c r="AV116" s="183"/>
      <c r="AW116" s="358"/>
      <c r="AX116" s="277"/>
      <c r="AY116" s="277"/>
      <c r="AZ116" s="277"/>
      <c r="BA116" s="277"/>
      <c r="BB116" s="277"/>
      <c r="BC116" s="277"/>
      <c r="BD116" s="277"/>
      <c r="BE116" s="277"/>
      <c r="BF116" s="277"/>
      <c r="BG116" s="336"/>
      <c r="BH116" s="199"/>
    </row>
    <row r="117" spans="1:60" ht="6.75" customHeight="1">
      <c r="A117" s="2"/>
      <c r="B117" s="241"/>
      <c r="C117" s="188"/>
      <c r="D117" s="363" t="str">
        <f>IF(Roster!$O$17=0&amp;BF17,"",Roster!$O$17)</f>
        <v>Dodge, Right Stuff, Side Step, Stunty, Swarming, Titchy</v>
      </c>
      <c r="E117" s="356"/>
      <c r="F117" s="356"/>
      <c r="G117" s="356"/>
      <c r="H117" s="356"/>
      <c r="I117" s="356"/>
      <c r="J117" s="356"/>
      <c r="K117" s="356"/>
      <c r="L117" s="356"/>
      <c r="M117" s="356"/>
      <c r="N117" s="357"/>
      <c r="O117" s="199"/>
      <c r="P117" s="2"/>
      <c r="Q117" s="241"/>
      <c r="R117" s="204"/>
      <c r="S117" s="358"/>
      <c r="T117" s="277"/>
      <c r="U117" s="277"/>
      <c r="V117" s="277"/>
      <c r="W117" s="277"/>
      <c r="X117" s="277"/>
      <c r="Y117" s="277"/>
      <c r="Z117" s="277"/>
      <c r="AA117" s="277"/>
      <c r="AB117" s="277"/>
      <c r="AC117" s="336"/>
      <c r="AD117" s="199"/>
      <c r="AE117" s="2"/>
      <c r="AF117" s="241"/>
      <c r="AG117" s="204"/>
      <c r="AH117" s="358"/>
      <c r="AI117" s="277"/>
      <c r="AJ117" s="277"/>
      <c r="AK117" s="277"/>
      <c r="AL117" s="277"/>
      <c r="AM117" s="277"/>
      <c r="AN117" s="277"/>
      <c r="AO117" s="277"/>
      <c r="AP117" s="277"/>
      <c r="AQ117" s="277"/>
      <c r="AR117" s="336"/>
      <c r="AS117" s="199"/>
      <c r="AT117" s="2"/>
      <c r="AU117" s="241"/>
      <c r="AV117" s="204"/>
      <c r="AW117" s="358"/>
      <c r="AX117" s="277"/>
      <c r="AY117" s="277"/>
      <c r="AZ117" s="277"/>
      <c r="BA117" s="277"/>
      <c r="BB117" s="277"/>
      <c r="BC117" s="277"/>
      <c r="BD117" s="277"/>
      <c r="BE117" s="277"/>
      <c r="BF117" s="277"/>
      <c r="BG117" s="336"/>
      <c r="BH117" s="199"/>
    </row>
    <row r="118" spans="1:60" ht="11.25" customHeight="1">
      <c r="A118" s="2"/>
      <c r="B118" s="187" t="str">
        <f>IF(Roster!$AN$1=0,"",Roster!$AN$1)</f>
        <v>COSTO</v>
      </c>
      <c r="C118" s="187"/>
      <c r="D118" s="358"/>
      <c r="E118" s="277"/>
      <c r="F118" s="277"/>
      <c r="G118" s="277"/>
      <c r="H118" s="277"/>
      <c r="I118" s="277"/>
      <c r="J118" s="277"/>
      <c r="K118" s="277"/>
      <c r="L118" s="277"/>
      <c r="M118" s="277"/>
      <c r="N118" s="336"/>
      <c r="O118" s="200"/>
      <c r="P118" s="2"/>
      <c r="Q118" s="187" t="str">
        <f>IF(Roster!$AN$1=0,"",Roster!$AN$1)</f>
        <v>COSTO</v>
      </c>
      <c r="R118" s="204"/>
      <c r="S118" s="358"/>
      <c r="T118" s="277"/>
      <c r="U118" s="277"/>
      <c r="V118" s="277"/>
      <c r="W118" s="277"/>
      <c r="X118" s="277"/>
      <c r="Y118" s="277"/>
      <c r="Z118" s="277"/>
      <c r="AA118" s="277"/>
      <c r="AB118" s="277"/>
      <c r="AC118" s="336"/>
      <c r="AD118" s="200"/>
      <c r="AE118" s="2"/>
      <c r="AF118" s="187" t="str">
        <f>IF(Roster!$AN$1=0,"",Roster!$AN$1)</f>
        <v>COSTO</v>
      </c>
      <c r="AG118" s="204"/>
      <c r="AH118" s="358"/>
      <c r="AI118" s="277"/>
      <c r="AJ118" s="277"/>
      <c r="AK118" s="277"/>
      <c r="AL118" s="277"/>
      <c r="AM118" s="277"/>
      <c r="AN118" s="277"/>
      <c r="AO118" s="277"/>
      <c r="AP118" s="277"/>
      <c r="AQ118" s="277"/>
      <c r="AR118" s="336"/>
      <c r="AS118" s="200"/>
      <c r="AT118" s="2"/>
      <c r="AU118" s="187" t="str">
        <f>IF(Roster!$AN$1=0,"",Roster!$AN$1)</f>
        <v>COSTO</v>
      </c>
      <c r="AV118" s="204"/>
      <c r="AW118" s="358"/>
      <c r="AX118" s="277"/>
      <c r="AY118" s="277"/>
      <c r="AZ118" s="277"/>
      <c r="BA118" s="277"/>
      <c r="BB118" s="277"/>
      <c r="BC118" s="277"/>
      <c r="BD118" s="277"/>
      <c r="BE118" s="277"/>
      <c r="BF118" s="277"/>
      <c r="BG118" s="336"/>
      <c r="BH118" s="200"/>
    </row>
    <row r="119" spans="1:60" ht="34.5" customHeight="1">
      <c r="A119" s="2"/>
      <c r="B119" s="202">
        <f>IF(Roster!$AN$17=0,"",Roster!$AN$17)</f>
        <v>15000</v>
      </c>
      <c r="C119" s="203"/>
      <c r="D119" s="359"/>
      <c r="E119" s="360"/>
      <c r="F119" s="360"/>
      <c r="G119" s="360"/>
      <c r="H119" s="360"/>
      <c r="I119" s="360"/>
      <c r="J119" s="360"/>
      <c r="K119" s="360"/>
      <c r="L119" s="360"/>
      <c r="M119" s="360"/>
      <c r="N119" s="361"/>
      <c r="O119" s="200"/>
      <c r="P119" s="2"/>
      <c r="Q119" s="202" t="str">
        <f>IF(Roster!$AN$18=0,"",Roster!$AN$18)</f>
        <v/>
      </c>
      <c r="R119" s="204"/>
      <c r="S119" s="359"/>
      <c r="T119" s="360"/>
      <c r="U119" s="360"/>
      <c r="V119" s="360"/>
      <c r="W119" s="360"/>
      <c r="X119" s="360"/>
      <c r="Y119" s="360"/>
      <c r="Z119" s="360"/>
      <c r="AA119" s="360"/>
      <c r="AB119" s="360"/>
      <c r="AC119" s="361"/>
      <c r="AD119" s="200"/>
      <c r="AE119" s="2"/>
      <c r="AF119" s="202" t="str">
        <f>IF(Roster!$AN$19=0,"",Roster!$AN$19)</f>
        <v/>
      </c>
      <c r="AG119" s="204"/>
      <c r="AH119" s="359"/>
      <c r="AI119" s="360"/>
      <c r="AJ119" s="360"/>
      <c r="AK119" s="360"/>
      <c r="AL119" s="360"/>
      <c r="AM119" s="360"/>
      <c r="AN119" s="360"/>
      <c r="AO119" s="360"/>
      <c r="AP119" s="360"/>
      <c r="AQ119" s="360"/>
      <c r="AR119" s="361"/>
      <c r="AS119" s="200"/>
      <c r="AT119" s="2"/>
      <c r="AU119" s="202" t="str">
        <f>IF(Roster!$AN$20=0,"",Roster!$AN$20)</f>
        <v/>
      </c>
      <c r="AV119" s="204"/>
      <c r="AW119" s="359"/>
      <c r="AX119" s="360"/>
      <c r="AY119" s="360"/>
      <c r="AZ119" s="360"/>
      <c r="BA119" s="360"/>
      <c r="BB119" s="360"/>
      <c r="BC119" s="360"/>
      <c r="BD119" s="360"/>
      <c r="BE119" s="360"/>
      <c r="BF119" s="360"/>
      <c r="BG119" s="361"/>
      <c r="BH119" s="200"/>
    </row>
    <row r="120" spans="1:60" ht="4.5" customHeight="1">
      <c r="A120" s="2"/>
      <c r="B120" s="183"/>
      <c r="C120" s="183"/>
      <c r="D120" s="183"/>
      <c r="E120" s="183"/>
      <c r="F120" s="183"/>
      <c r="G120" s="183"/>
      <c r="H120" s="183"/>
      <c r="I120" s="183"/>
      <c r="J120" s="183"/>
      <c r="K120" s="183"/>
      <c r="L120" s="183"/>
      <c r="M120" s="183"/>
      <c r="N120" s="200"/>
      <c r="O120" s="200"/>
      <c r="P120" s="2"/>
      <c r="Q120" s="183"/>
      <c r="R120" s="183"/>
      <c r="S120" s="183"/>
      <c r="T120" s="183"/>
      <c r="U120" s="183"/>
      <c r="V120" s="183"/>
      <c r="W120" s="183"/>
      <c r="X120" s="183"/>
      <c r="Y120" s="183"/>
      <c r="Z120" s="183"/>
      <c r="AA120" s="183"/>
      <c r="AB120" s="183"/>
      <c r="AC120" s="200"/>
      <c r="AD120" s="200"/>
      <c r="AE120" s="2"/>
      <c r="AF120" s="183"/>
      <c r="AG120" s="183"/>
      <c r="AH120" s="183"/>
      <c r="AI120" s="183"/>
      <c r="AJ120" s="183"/>
      <c r="AK120" s="183"/>
      <c r="AL120" s="183"/>
      <c r="AM120" s="183"/>
      <c r="AN120" s="183"/>
      <c r="AO120" s="183"/>
      <c r="AP120" s="183"/>
      <c r="AQ120" s="183"/>
      <c r="AR120" s="200"/>
      <c r="AS120" s="200"/>
      <c r="AT120" s="2"/>
      <c r="AU120" s="183"/>
      <c r="AV120" s="183"/>
      <c r="AW120" s="183"/>
      <c r="AX120" s="183"/>
      <c r="AY120" s="183"/>
      <c r="AZ120" s="183"/>
      <c r="BA120" s="183"/>
      <c r="BB120" s="183"/>
      <c r="BC120" s="183"/>
      <c r="BD120" s="183"/>
      <c r="BE120" s="183"/>
      <c r="BF120" s="183"/>
      <c r="BG120" s="200"/>
      <c r="BH120" s="200"/>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Q2:Q4"/>
    <mergeCell ref="H8:J8"/>
    <mergeCell ref="L8:N8"/>
    <mergeCell ref="R3:AC3"/>
    <mergeCell ref="R4:AC4"/>
    <mergeCell ref="D117:N119"/>
    <mergeCell ref="C75:N75"/>
    <mergeCell ref="C76:N76"/>
    <mergeCell ref="D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S5:AC12"/>
    <mergeCell ref="S29:AC36"/>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B84:B88"/>
    <mergeCell ref="D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H5:AR12"/>
    <mergeCell ref="AW5:BG12"/>
    <mergeCell ref="AU12:AU16"/>
    <mergeCell ref="AW20:BG20"/>
    <mergeCell ref="AW21:BG23"/>
    <mergeCell ref="AV4:BG4"/>
    <mergeCell ref="S20:AC20"/>
    <mergeCell ref="AF24:AR24"/>
    <mergeCell ref="AH29:AR36"/>
    <mergeCell ref="AW29:BG36"/>
    <mergeCell ref="AF36:AF40"/>
    <mergeCell ref="AU36:AU40"/>
    <mergeCell ref="AF42:AF45"/>
    <mergeCell ref="AU42:AU45"/>
    <mergeCell ref="AW44:BG44"/>
    <mergeCell ref="AV51:BG51"/>
    <mergeCell ref="AF50:AF52"/>
    <mergeCell ref="S77:AC84"/>
    <mergeCell ref="AH77:AR84"/>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R52:AC52"/>
    <mergeCell ref="AV52:BG52"/>
    <mergeCell ref="AW53:BG60"/>
    <mergeCell ref="AW68:BG68"/>
    <mergeCell ref="AW69:BG71"/>
    <mergeCell ref="AV75:BG75"/>
    <mergeCell ref="AV76:BG76"/>
    <mergeCell ref="AU74:AU76"/>
    <mergeCell ref="R75:AC75"/>
    <mergeCell ref="S53:AC60"/>
    <mergeCell ref="AH53:AR60"/>
    <mergeCell ref="AF60:AF64"/>
    <mergeCell ref="AU60:AU64"/>
    <mergeCell ref="AF74:AF76"/>
    <mergeCell ref="R76:AC76"/>
    <mergeCell ref="AG76:AR76"/>
    <mergeCell ref="AF114:AF117"/>
    <mergeCell ref="AU90:AU93"/>
    <mergeCell ref="AH103:AR103"/>
    <mergeCell ref="AW103:BG103"/>
    <mergeCell ref="AW77:BG84"/>
    <mergeCell ref="AF84:AF88"/>
    <mergeCell ref="AF90:AF93"/>
    <mergeCell ref="AU84:AU88"/>
    <mergeCell ref="AH113:AR113"/>
    <mergeCell ref="AW113:BG113"/>
    <mergeCell ref="AU108:AU112"/>
    <mergeCell ref="AU114:AU117"/>
    <mergeCell ref="S103:AC103"/>
    <mergeCell ref="AG75:AR75"/>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 ref="AG100:AR102"/>
    <mergeCell ref="AV100:BG102"/>
    <mergeCell ref="AW92:BG92"/>
    <mergeCell ref="AF108:AF11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14.4257812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393"/>
      <c r="C2" s="205"/>
      <c r="D2" s="205"/>
      <c r="E2" s="205"/>
      <c r="F2" s="205"/>
      <c r="G2" s="205"/>
      <c r="H2" s="205"/>
      <c r="I2" s="205"/>
      <c r="J2" s="205"/>
      <c r="K2" s="205"/>
      <c r="L2" s="205"/>
      <c r="M2" s="205"/>
      <c r="N2" s="205"/>
      <c r="O2" s="206"/>
      <c r="P2" s="2"/>
      <c r="Q2" s="393" t="str">
        <f>IF(Roster!$A$2=0,"","#"&amp;Roster!$A$2)</f>
        <v>#1</v>
      </c>
      <c r="R2" s="205"/>
      <c r="S2" s="205"/>
      <c r="T2" s="205"/>
      <c r="U2" s="205"/>
      <c r="V2" s="205"/>
      <c r="W2" s="205"/>
      <c r="X2" s="205"/>
      <c r="Y2" s="205"/>
      <c r="Z2" s="205"/>
      <c r="AA2" s="205"/>
      <c r="AB2" s="205"/>
      <c r="AC2" s="205"/>
      <c r="AD2" s="206"/>
      <c r="AE2" s="2"/>
      <c r="AF2" s="393" t="str">
        <f>IF(Roster!$A$3=0,"","#"&amp;Roster!$A$3)</f>
        <v>#2</v>
      </c>
      <c r="AG2" s="205"/>
      <c r="AH2" s="205"/>
      <c r="AI2" s="205"/>
      <c r="AJ2" s="205"/>
      <c r="AK2" s="205"/>
      <c r="AL2" s="205"/>
      <c r="AM2" s="205"/>
      <c r="AN2" s="205"/>
      <c r="AO2" s="205"/>
      <c r="AP2" s="205"/>
      <c r="AQ2" s="205"/>
      <c r="AR2" s="205"/>
      <c r="AS2" s="206"/>
      <c r="AT2" s="2"/>
      <c r="AU2" s="393" t="str">
        <f>IF(Roster!$A$4=0,"","#"&amp;Roster!$A$4)</f>
        <v>#3</v>
      </c>
      <c r="AV2" s="205"/>
      <c r="AW2" s="205"/>
      <c r="AX2" s="205"/>
      <c r="AY2" s="205"/>
      <c r="AZ2" s="205"/>
      <c r="BA2" s="205"/>
      <c r="BB2" s="205"/>
      <c r="BC2" s="205"/>
      <c r="BD2" s="205"/>
      <c r="BE2" s="205"/>
      <c r="BF2" s="205"/>
      <c r="BG2" s="205"/>
      <c r="BH2" s="206"/>
      <c r="BI2" s="2"/>
    </row>
    <row r="3" spans="1:61" ht="15" customHeight="1">
      <c r="A3" s="2"/>
      <c r="B3" s="394"/>
      <c r="C3" s="396" t="str">
        <f>IF(Roster!$J$24=0,Roster!$C$24,Roster!$J$24)</f>
        <v>Kakkole armate</v>
      </c>
      <c r="D3" s="243"/>
      <c r="E3" s="243"/>
      <c r="F3" s="243"/>
      <c r="G3" s="243"/>
      <c r="H3" s="243"/>
      <c r="I3" s="243"/>
      <c r="J3" s="243"/>
      <c r="K3" s="243"/>
      <c r="L3" s="243"/>
      <c r="M3" s="243"/>
      <c r="N3" s="244"/>
      <c r="O3" s="207"/>
      <c r="P3" s="2"/>
      <c r="Q3" s="394"/>
      <c r="R3" s="396" t="str">
        <f>IF(Roster!$B$2=0,"",Roster!$B$2)</f>
        <v>Plof</v>
      </c>
      <c r="S3" s="243"/>
      <c r="T3" s="243"/>
      <c r="U3" s="243"/>
      <c r="V3" s="243"/>
      <c r="W3" s="243"/>
      <c r="X3" s="243"/>
      <c r="Y3" s="243"/>
      <c r="Z3" s="243"/>
      <c r="AA3" s="243"/>
      <c r="AB3" s="243"/>
      <c r="AC3" s="244"/>
      <c r="AD3" s="207"/>
      <c r="AE3" s="2"/>
      <c r="AF3" s="394"/>
      <c r="AG3" s="396" t="str">
        <f>IF(Roster!$B$3=0,"",Roster!$B$3)</f>
        <v>Bum</v>
      </c>
      <c r="AH3" s="243"/>
      <c r="AI3" s="243"/>
      <c r="AJ3" s="243"/>
      <c r="AK3" s="243"/>
      <c r="AL3" s="243"/>
      <c r="AM3" s="243"/>
      <c r="AN3" s="243"/>
      <c r="AO3" s="243"/>
      <c r="AP3" s="243"/>
      <c r="AQ3" s="243"/>
      <c r="AR3" s="244"/>
      <c r="AS3" s="207"/>
      <c r="AT3" s="2"/>
      <c r="AU3" s="394"/>
      <c r="AV3" s="396" t="str">
        <f>IF(Roster!$B$4=0,"",Roster!$B$4)</f>
        <v>Op</v>
      </c>
      <c r="AW3" s="243"/>
      <c r="AX3" s="243"/>
      <c r="AY3" s="243"/>
      <c r="AZ3" s="243"/>
      <c r="BA3" s="243"/>
      <c r="BB3" s="243"/>
      <c r="BC3" s="243"/>
      <c r="BD3" s="243"/>
      <c r="BE3" s="243"/>
      <c r="BF3" s="243"/>
      <c r="BG3" s="244"/>
      <c r="BH3" s="207"/>
      <c r="BI3" s="2"/>
    </row>
    <row r="4" spans="1:61" ht="11.25" customHeight="1">
      <c r="A4" s="2"/>
      <c r="B4" s="394"/>
      <c r="C4" s="386" t="str">
        <f>IF(Roster!$J$21="SPONSORS",Roster!$J$23,Roster!$J$23&amp;"; Sponsor: "&amp;Roster!$J$21)</f>
        <v>Snotling</v>
      </c>
      <c r="D4" s="243"/>
      <c r="E4" s="243"/>
      <c r="F4" s="243"/>
      <c r="G4" s="243"/>
      <c r="H4" s="243"/>
      <c r="I4" s="243"/>
      <c r="J4" s="243"/>
      <c r="K4" s="243"/>
      <c r="L4" s="243"/>
      <c r="M4" s="243"/>
      <c r="N4" s="244"/>
      <c r="O4" s="208"/>
      <c r="P4" s="2"/>
      <c r="Q4" s="395"/>
      <c r="R4" s="386" t="str">
        <f>IF(Roster!$C$2=0,"",Roster!$C$2)</f>
        <v>Fungus Flinga</v>
      </c>
      <c r="S4" s="243"/>
      <c r="T4" s="243"/>
      <c r="U4" s="243"/>
      <c r="V4" s="243"/>
      <c r="W4" s="243"/>
      <c r="X4" s="243"/>
      <c r="Y4" s="243"/>
      <c r="Z4" s="243"/>
      <c r="AA4" s="243"/>
      <c r="AB4" s="243"/>
      <c r="AC4" s="244"/>
      <c r="AD4" s="208"/>
      <c r="AE4" s="2"/>
      <c r="AF4" s="395"/>
      <c r="AG4" s="386" t="str">
        <f>IF(Roster!$C$3=0,"",Roster!$C$3)</f>
        <v>Fungus Flinga</v>
      </c>
      <c r="AH4" s="243"/>
      <c r="AI4" s="243"/>
      <c r="AJ4" s="243"/>
      <c r="AK4" s="243"/>
      <c r="AL4" s="243"/>
      <c r="AM4" s="243"/>
      <c r="AN4" s="243"/>
      <c r="AO4" s="243"/>
      <c r="AP4" s="243"/>
      <c r="AQ4" s="243"/>
      <c r="AR4" s="244"/>
      <c r="AS4" s="208"/>
      <c r="AT4" s="2"/>
      <c r="AU4" s="395"/>
      <c r="AV4" s="386" t="str">
        <f>IF(Roster!$C$4=0,"",Roster!$C$4)</f>
        <v>Fun-hoppa</v>
      </c>
      <c r="AW4" s="243"/>
      <c r="AX4" s="243"/>
      <c r="AY4" s="243"/>
      <c r="AZ4" s="243"/>
      <c r="BA4" s="243"/>
      <c r="BB4" s="243"/>
      <c r="BC4" s="243"/>
      <c r="BD4" s="243"/>
      <c r="BE4" s="243"/>
      <c r="BF4" s="243"/>
      <c r="BG4" s="244"/>
      <c r="BH4" s="208"/>
      <c r="BI4" s="2"/>
    </row>
    <row r="5" spans="1:61" ht="11.25" customHeight="1">
      <c r="A5" s="2"/>
      <c r="B5" s="395"/>
      <c r="C5" s="209"/>
      <c r="D5" s="386" t="str">
        <f>IF(Roster!$C$32=0,"",Roster!$C$32)</f>
        <v>VALORE SQUADRA</v>
      </c>
      <c r="E5" s="243"/>
      <c r="F5" s="244"/>
      <c r="G5" s="210"/>
      <c r="H5" s="386" t="str">
        <f>IF(Roster!$C$26=0,"",Roster!$C$26)</f>
        <v>TIFOSI SFEGATATI</v>
      </c>
      <c r="I5" s="243"/>
      <c r="J5" s="244"/>
      <c r="K5" s="210"/>
      <c r="L5" s="386" t="str">
        <f>IF(Roster!$AD$21=0,"",Roster!$AD$21)</f>
        <v>REROLLS TOTALI</v>
      </c>
      <c r="M5" s="243"/>
      <c r="N5" s="244"/>
      <c r="O5" s="207"/>
      <c r="P5" s="2"/>
      <c r="Q5" s="211" t="str">
        <f>IF(Roster!$J$1=0,"",Roster!$J$1)</f>
        <v>MA</v>
      </c>
      <c r="R5" s="212"/>
      <c r="S5" s="212"/>
      <c r="T5" s="212"/>
      <c r="U5" s="212"/>
      <c r="V5" s="212"/>
      <c r="W5" s="212"/>
      <c r="X5" s="212"/>
      <c r="Y5" s="212"/>
      <c r="Z5" s="212"/>
      <c r="AA5" s="212"/>
      <c r="AB5" s="212"/>
      <c r="AC5" s="212"/>
      <c r="AD5" s="207"/>
      <c r="AE5" s="2"/>
      <c r="AF5" s="211" t="str">
        <f>IF(Roster!$J$1=0,"",Roster!$J$1)</f>
        <v>MA</v>
      </c>
      <c r="AG5" s="212"/>
      <c r="AH5" s="212"/>
      <c r="AI5" s="212"/>
      <c r="AJ5" s="212"/>
      <c r="AK5" s="212"/>
      <c r="AL5" s="212"/>
      <c r="AM5" s="212"/>
      <c r="AN5" s="212"/>
      <c r="AO5" s="212"/>
      <c r="AP5" s="212"/>
      <c r="AQ5" s="212"/>
      <c r="AR5" s="212"/>
      <c r="AS5" s="207"/>
      <c r="AT5" s="2"/>
      <c r="AU5" s="211" t="str">
        <f>IF(Roster!$J$1=0,"",Roster!$J$1)</f>
        <v>MA</v>
      </c>
      <c r="AV5" s="212"/>
      <c r="AW5" s="212"/>
      <c r="AX5" s="212"/>
      <c r="AY5" s="212"/>
      <c r="AZ5" s="212"/>
      <c r="BA5" s="212"/>
      <c r="BB5" s="212"/>
      <c r="BC5" s="212"/>
      <c r="BD5" s="212"/>
      <c r="BE5" s="212"/>
      <c r="BF5" s="212"/>
      <c r="BG5" s="212"/>
      <c r="BH5" s="207"/>
      <c r="BI5" s="2"/>
    </row>
    <row r="6" spans="1:61" ht="37.5" customHeight="1">
      <c r="A6" s="2"/>
      <c r="B6" s="403" t="str">
        <f>IF(Roster!$J$22=0,"",Roster!$J$22)</f>
        <v>Francesco Rizzi</v>
      </c>
      <c r="C6" s="213"/>
      <c r="D6" s="404">
        <f>Roster!$J$32</f>
        <v>960</v>
      </c>
      <c r="E6" s="248"/>
      <c r="F6" s="249"/>
      <c r="G6" s="210"/>
      <c r="H6" s="404">
        <f>IF(Roster!$J$26=0,"",Roster!$J$26)</f>
        <v>2</v>
      </c>
      <c r="I6" s="248"/>
      <c r="J6" s="249"/>
      <c r="K6" s="210"/>
      <c r="L6" s="404">
        <f>Roster!$AI$22</f>
        <v>3</v>
      </c>
      <c r="M6" s="248"/>
      <c r="N6" s="249"/>
      <c r="O6" s="207"/>
      <c r="P6" s="2"/>
      <c r="Q6" s="214">
        <f>IF(Roster!$J$2=0,"",Roster!$J$2)</f>
        <v>5</v>
      </c>
      <c r="R6" s="212"/>
      <c r="S6" s="397"/>
      <c r="T6" s="284"/>
      <c r="U6" s="284"/>
      <c r="V6" s="284"/>
      <c r="W6" s="284"/>
      <c r="X6" s="284"/>
      <c r="Y6" s="284"/>
      <c r="Z6" s="284"/>
      <c r="AA6" s="284"/>
      <c r="AB6" s="284"/>
      <c r="AC6" s="285"/>
      <c r="AD6" s="207"/>
      <c r="AE6" s="2"/>
      <c r="AF6" s="214">
        <f>IF(Roster!$J$3=0,"",Roster!$J$3)</f>
        <v>5</v>
      </c>
      <c r="AG6" s="212"/>
      <c r="AH6" s="397"/>
      <c r="AI6" s="284"/>
      <c r="AJ6" s="284"/>
      <c r="AK6" s="284"/>
      <c r="AL6" s="284"/>
      <c r="AM6" s="284"/>
      <c r="AN6" s="284"/>
      <c r="AO6" s="284"/>
      <c r="AP6" s="284"/>
      <c r="AQ6" s="284"/>
      <c r="AR6" s="285"/>
      <c r="AS6" s="207"/>
      <c r="AT6" s="2"/>
      <c r="AU6" s="214">
        <f>IF(Roster!$J$4=0,"",Roster!$J$4)</f>
        <v>6</v>
      </c>
      <c r="AV6" s="212"/>
      <c r="AW6" s="397"/>
      <c r="AX6" s="284"/>
      <c r="AY6" s="284"/>
      <c r="AZ6" s="284"/>
      <c r="BA6" s="284"/>
      <c r="BB6" s="284"/>
      <c r="BC6" s="284"/>
      <c r="BD6" s="284"/>
      <c r="BE6" s="284"/>
      <c r="BF6" s="284"/>
      <c r="BG6" s="285"/>
      <c r="BH6" s="207"/>
      <c r="BI6" s="2"/>
    </row>
    <row r="7" spans="1:61" ht="11.25" customHeight="1">
      <c r="A7" s="2"/>
      <c r="B7" s="394"/>
      <c r="C7" s="212"/>
      <c r="D7" s="386" t="str">
        <f>IF(Roster!$R$22=0,"",Roster!$R$22)</f>
        <v>MEDICO</v>
      </c>
      <c r="E7" s="243"/>
      <c r="F7" s="244"/>
      <c r="G7" s="210"/>
      <c r="H7" s="386" t="str">
        <f>IF(Roster!$R$23=0,"",Roster!$R$23)</f>
        <v>CHEERLEADERS</v>
      </c>
      <c r="I7" s="243"/>
      <c r="J7" s="244"/>
      <c r="K7" s="210"/>
      <c r="L7" s="386" t="str">
        <f>IF(Roster!$R$24=0,"",Roster!$R$24)</f>
        <v>ASSISTENTI ALLENATORI</v>
      </c>
      <c r="M7" s="243"/>
      <c r="N7" s="244"/>
      <c r="O7" s="207"/>
      <c r="P7" s="2"/>
      <c r="Q7" s="211" t="str">
        <f>IF(Roster!$K$1=0,"",Roster!$K$1)</f>
        <v>ST</v>
      </c>
      <c r="R7" s="212"/>
      <c r="S7" s="310"/>
      <c r="T7" s="277"/>
      <c r="U7" s="277"/>
      <c r="V7" s="277"/>
      <c r="W7" s="277"/>
      <c r="X7" s="277"/>
      <c r="Y7" s="277"/>
      <c r="Z7" s="277"/>
      <c r="AA7" s="277"/>
      <c r="AB7" s="277"/>
      <c r="AC7" s="311"/>
      <c r="AD7" s="207"/>
      <c r="AE7" s="2"/>
      <c r="AF7" s="211" t="str">
        <f>IF(Roster!$K$1=0,"",Roster!$K$1)</f>
        <v>ST</v>
      </c>
      <c r="AG7" s="212"/>
      <c r="AH7" s="310"/>
      <c r="AI7" s="277"/>
      <c r="AJ7" s="277"/>
      <c r="AK7" s="277"/>
      <c r="AL7" s="277"/>
      <c r="AM7" s="277"/>
      <c r="AN7" s="277"/>
      <c r="AO7" s="277"/>
      <c r="AP7" s="277"/>
      <c r="AQ7" s="277"/>
      <c r="AR7" s="311"/>
      <c r="AS7" s="207"/>
      <c r="AT7" s="2"/>
      <c r="AU7" s="211" t="str">
        <f>IF(Roster!$K$1=0,"",Roster!$K$1)</f>
        <v>ST</v>
      </c>
      <c r="AV7" s="212"/>
      <c r="AW7" s="310"/>
      <c r="AX7" s="277"/>
      <c r="AY7" s="277"/>
      <c r="AZ7" s="277"/>
      <c r="BA7" s="277"/>
      <c r="BB7" s="277"/>
      <c r="BC7" s="277"/>
      <c r="BD7" s="277"/>
      <c r="BE7" s="277"/>
      <c r="BF7" s="277"/>
      <c r="BG7" s="311"/>
      <c r="BH7" s="207"/>
      <c r="BI7" s="2"/>
    </row>
    <row r="8" spans="1:61" ht="37.5" customHeight="1">
      <c r="A8" s="2"/>
      <c r="B8" s="394"/>
      <c r="C8" s="215"/>
      <c r="D8" s="404">
        <f>Roster!$W$22</f>
        <v>1</v>
      </c>
      <c r="E8" s="248"/>
      <c r="F8" s="249"/>
      <c r="G8" s="210"/>
      <c r="H8" s="404">
        <f>Roster!$W$23</f>
        <v>0</v>
      </c>
      <c r="I8" s="248"/>
      <c r="J8" s="249"/>
      <c r="K8" s="210"/>
      <c r="L8" s="404">
        <f>Roster!$W$24</f>
        <v>0</v>
      </c>
      <c r="M8" s="248"/>
      <c r="N8" s="249"/>
      <c r="O8" s="207"/>
      <c r="P8" s="2"/>
      <c r="Q8" s="214">
        <f>IF(Roster!$K$2=0,"",Roster!$K$2)</f>
        <v>1</v>
      </c>
      <c r="R8" s="212"/>
      <c r="S8" s="310"/>
      <c r="T8" s="277"/>
      <c r="U8" s="277"/>
      <c r="V8" s="277"/>
      <c r="W8" s="277"/>
      <c r="X8" s="277"/>
      <c r="Y8" s="277"/>
      <c r="Z8" s="277"/>
      <c r="AA8" s="277"/>
      <c r="AB8" s="277"/>
      <c r="AC8" s="311"/>
      <c r="AD8" s="207"/>
      <c r="AE8" s="2"/>
      <c r="AF8" s="214">
        <f>IF(Roster!$K$3=0,"",Roster!$K$3)</f>
        <v>1</v>
      </c>
      <c r="AG8" s="212"/>
      <c r="AH8" s="310"/>
      <c r="AI8" s="277"/>
      <c r="AJ8" s="277"/>
      <c r="AK8" s="277"/>
      <c r="AL8" s="277"/>
      <c r="AM8" s="277"/>
      <c r="AN8" s="277"/>
      <c r="AO8" s="277"/>
      <c r="AP8" s="277"/>
      <c r="AQ8" s="277"/>
      <c r="AR8" s="311"/>
      <c r="AS8" s="207"/>
      <c r="AT8" s="2"/>
      <c r="AU8" s="214">
        <f>IF(Roster!$K$4=0,"",Roster!$K$4)</f>
        <v>1</v>
      </c>
      <c r="AV8" s="212"/>
      <c r="AW8" s="310"/>
      <c r="AX8" s="277"/>
      <c r="AY8" s="277"/>
      <c r="AZ8" s="277"/>
      <c r="BA8" s="277"/>
      <c r="BB8" s="277"/>
      <c r="BC8" s="277"/>
      <c r="BD8" s="277"/>
      <c r="BE8" s="277"/>
      <c r="BF8" s="277"/>
      <c r="BG8" s="311"/>
      <c r="BH8" s="207"/>
      <c r="BI8" s="2"/>
    </row>
    <row r="9" spans="1:61" ht="11.25" customHeight="1">
      <c r="A9" s="2"/>
      <c r="B9" s="394"/>
      <c r="C9" s="209"/>
      <c r="D9" s="386" t="str">
        <f>IF(Roster!$R$25=0,"",Roster!$R$25)</f>
        <v>FUSTI DI BLOODWEISER</v>
      </c>
      <c r="E9" s="243"/>
      <c r="F9" s="244"/>
      <c r="G9" s="210"/>
      <c r="H9" s="386" t="str">
        <f>IF(Roster!$R$29=0,"",Roster!$R$29)</f>
        <v>MAZZETTE</v>
      </c>
      <c r="I9" s="243"/>
      <c r="J9" s="244"/>
      <c r="K9" s="210"/>
      <c r="L9" s="386" t="str">
        <f>IF(Roster!$R$30=0,"",Roster!$R$30)</f>
        <v>CAPOCUOCO</v>
      </c>
      <c r="M9" s="243"/>
      <c r="N9" s="244"/>
      <c r="O9" s="207"/>
      <c r="P9" s="2"/>
      <c r="Q9" s="211" t="str">
        <f>IF(Roster!$L$1=0,"",Roster!$L$1)</f>
        <v>AG</v>
      </c>
      <c r="R9" s="212"/>
      <c r="S9" s="310"/>
      <c r="T9" s="277"/>
      <c r="U9" s="277"/>
      <c r="V9" s="277"/>
      <c r="W9" s="277"/>
      <c r="X9" s="277"/>
      <c r="Y9" s="277"/>
      <c r="Z9" s="277"/>
      <c r="AA9" s="277"/>
      <c r="AB9" s="277"/>
      <c r="AC9" s="311"/>
      <c r="AD9" s="207"/>
      <c r="AE9" s="2"/>
      <c r="AF9" s="211" t="str">
        <f>IF(Roster!$L$1=0,"",Roster!$L$1)</f>
        <v>AG</v>
      </c>
      <c r="AG9" s="212"/>
      <c r="AH9" s="310"/>
      <c r="AI9" s="277"/>
      <c r="AJ9" s="277"/>
      <c r="AK9" s="277"/>
      <c r="AL9" s="277"/>
      <c r="AM9" s="277"/>
      <c r="AN9" s="277"/>
      <c r="AO9" s="277"/>
      <c r="AP9" s="277"/>
      <c r="AQ9" s="277"/>
      <c r="AR9" s="311"/>
      <c r="AS9" s="207"/>
      <c r="AT9" s="2"/>
      <c r="AU9" s="211" t="str">
        <f>IF(Roster!$L$1=0,"",Roster!$L$1)</f>
        <v>AG</v>
      </c>
      <c r="AV9" s="212"/>
      <c r="AW9" s="310"/>
      <c r="AX9" s="277"/>
      <c r="AY9" s="277"/>
      <c r="AZ9" s="277"/>
      <c r="BA9" s="277"/>
      <c r="BB9" s="277"/>
      <c r="BC9" s="277"/>
      <c r="BD9" s="277"/>
      <c r="BE9" s="277"/>
      <c r="BF9" s="277"/>
      <c r="BG9" s="311"/>
      <c r="BH9" s="207"/>
      <c r="BI9" s="2"/>
    </row>
    <row r="10" spans="1:61" ht="37.5" customHeight="1">
      <c r="A10" s="2"/>
      <c r="B10" s="394"/>
      <c r="C10" s="215"/>
      <c r="D10" s="404">
        <f>Roster!$W$25</f>
        <v>0</v>
      </c>
      <c r="E10" s="248"/>
      <c r="F10" s="249"/>
      <c r="G10" s="210"/>
      <c r="H10" s="404">
        <f>Roster!$W$29</f>
        <v>0</v>
      </c>
      <c r="I10" s="248"/>
      <c r="J10" s="249"/>
      <c r="K10" s="210"/>
      <c r="L10" s="404">
        <f>Roster!$W$30</f>
        <v>0</v>
      </c>
      <c r="M10" s="248"/>
      <c r="N10" s="249"/>
      <c r="O10" s="207"/>
      <c r="P10" s="2"/>
      <c r="Q10" s="214" t="str">
        <f>IF(Roster!$L$2=0&amp;"+","",Roster!$L$2)</f>
        <v>3+</v>
      </c>
      <c r="R10" s="212"/>
      <c r="S10" s="310"/>
      <c r="T10" s="277"/>
      <c r="U10" s="277"/>
      <c r="V10" s="277"/>
      <c r="W10" s="277"/>
      <c r="X10" s="277"/>
      <c r="Y10" s="277"/>
      <c r="Z10" s="277"/>
      <c r="AA10" s="277"/>
      <c r="AB10" s="277"/>
      <c r="AC10" s="311"/>
      <c r="AD10" s="207"/>
      <c r="AE10" s="2"/>
      <c r="AF10" s="214" t="str">
        <f>IF(Roster!$L$3=0&amp;"+","",Roster!$L$3)</f>
        <v>3+</v>
      </c>
      <c r="AG10" s="212"/>
      <c r="AH10" s="310"/>
      <c r="AI10" s="277"/>
      <c r="AJ10" s="277"/>
      <c r="AK10" s="277"/>
      <c r="AL10" s="277"/>
      <c r="AM10" s="277"/>
      <c r="AN10" s="277"/>
      <c r="AO10" s="277"/>
      <c r="AP10" s="277"/>
      <c r="AQ10" s="277"/>
      <c r="AR10" s="311"/>
      <c r="AS10" s="207"/>
      <c r="AT10" s="2"/>
      <c r="AU10" s="214" t="str">
        <f>IF(Roster!$L$4=0&amp;"+","",Roster!$L$4)</f>
        <v>3+</v>
      </c>
      <c r="AV10" s="212"/>
      <c r="AW10" s="310"/>
      <c r="AX10" s="277"/>
      <c r="AY10" s="277"/>
      <c r="AZ10" s="277"/>
      <c r="BA10" s="277"/>
      <c r="BB10" s="277"/>
      <c r="BC10" s="277"/>
      <c r="BD10" s="277"/>
      <c r="BE10" s="277"/>
      <c r="BF10" s="277"/>
      <c r="BG10" s="311"/>
      <c r="BH10" s="207"/>
      <c r="BI10" s="2"/>
    </row>
    <row r="11" spans="1:61" ht="11.25" customHeight="1">
      <c r="A11" s="2"/>
      <c r="B11" s="394"/>
      <c r="C11" s="212"/>
      <c r="D11" s="406" t="str">
        <f>IF(Roster!$R$31=0,"",Roster!$R$31)</f>
        <v>ESORDIENTI RIBELLI</v>
      </c>
      <c r="E11" s="243"/>
      <c r="F11" s="244"/>
      <c r="G11" s="212"/>
      <c r="H11" s="406" t="str">
        <f>IF(Roster!$AD$25=0,"",Roster!$AD$25)</f>
        <v>WIZARDS</v>
      </c>
      <c r="I11" s="243"/>
      <c r="J11" s="244"/>
      <c r="K11" s="212"/>
      <c r="L11" s="386" t="str">
        <f>IF(Roster!$AD$24=0,"",Roster!$AD$24)</f>
        <v>MAGO DEL CLIMA</v>
      </c>
      <c r="M11" s="243"/>
      <c r="N11" s="244"/>
      <c r="O11" s="216"/>
      <c r="P11" s="2"/>
      <c r="Q11" s="211" t="str">
        <f>IF(Roster!$M$1=0,"",Roster!$M$1)</f>
        <v>PA</v>
      </c>
      <c r="R11" s="212"/>
      <c r="S11" s="310"/>
      <c r="T11" s="277"/>
      <c r="U11" s="277"/>
      <c r="V11" s="277"/>
      <c r="W11" s="277"/>
      <c r="X11" s="277"/>
      <c r="Y11" s="277"/>
      <c r="Z11" s="277"/>
      <c r="AA11" s="277"/>
      <c r="AB11" s="277"/>
      <c r="AC11" s="311"/>
      <c r="AD11" s="216"/>
      <c r="AE11" s="2"/>
      <c r="AF11" s="211" t="str">
        <f>IF(Roster!$M$1=0,"",Roster!$M$1)</f>
        <v>PA</v>
      </c>
      <c r="AG11" s="212"/>
      <c r="AH11" s="310"/>
      <c r="AI11" s="277"/>
      <c r="AJ11" s="277"/>
      <c r="AK11" s="277"/>
      <c r="AL11" s="277"/>
      <c r="AM11" s="277"/>
      <c r="AN11" s="277"/>
      <c r="AO11" s="277"/>
      <c r="AP11" s="277"/>
      <c r="AQ11" s="277"/>
      <c r="AR11" s="311"/>
      <c r="AS11" s="216"/>
      <c r="AT11" s="2"/>
      <c r="AU11" s="211" t="str">
        <f>IF(Roster!$M$1=0,"",Roster!$M$1)</f>
        <v>PA</v>
      </c>
      <c r="AV11" s="212"/>
      <c r="AW11" s="310"/>
      <c r="AX11" s="277"/>
      <c r="AY11" s="277"/>
      <c r="AZ11" s="277"/>
      <c r="BA11" s="277"/>
      <c r="BB11" s="277"/>
      <c r="BC11" s="277"/>
      <c r="BD11" s="277"/>
      <c r="BE11" s="277"/>
      <c r="BF11" s="277"/>
      <c r="BG11" s="311"/>
      <c r="BH11" s="216"/>
      <c r="BI11" s="2"/>
    </row>
    <row r="12" spans="1:61" ht="6" customHeight="1">
      <c r="A12" s="2"/>
      <c r="B12" s="394"/>
      <c r="C12" s="213"/>
      <c r="D12" s="405">
        <f>Roster!$W$31</f>
        <v>0</v>
      </c>
      <c r="E12" s="284"/>
      <c r="F12" s="285"/>
      <c r="G12" s="217"/>
      <c r="H12" s="405">
        <f>Roster!$AI$25</f>
        <v>0</v>
      </c>
      <c r="I12" s="284"/>
      <c r="J12" s="285"/>
      <c r="K12" s="217"/>
      <c r="L12" s="405">
        <f>Roster!$AI$24</f>
        <v>0</v>
      </c>
      <c r="M12" s="284"/>
      <c r="N12" s="285"/>
      <c r="O12" s="218"/>
      <c r="P12" s="2"/>
      <c r="Q12" s="401" t="str">
        <f>IF(Roster!$M$2=0&amp;"+","",Roster!$M$2)</f>
        <v>4+</v>
      </c>
      <c r="R12" s="212"/>
      <c r="S12" s="286"/>
      <c r="T12" s="287"/>
      <c r="U12" s="287"/>
      <c r="V12" s="287"/>
      <c r="W12" s="287"/>
      <c r="X12" s="287"/>
      <c r="Y12" s="287"/>
      <c r="Z12" s="287"/>
      <c r="AA12" s="287"/>
      <c r="AB12" s="287"/>
      <c r="AC12" s="288"/>
      <c r="AD12" s="218"/>
      <c r="AE12" s="2"/>
      <c r="AF12" s="401" t="str">
        <f>IF(Roster!$M$3=0&amp;"+","",Roster!$M$3)</f>
        <v>4+</v>
      </c>
      <c r="AG12" s="212"/>
      <c r="AH12" s="286"/>
      <c r="AI12" s="287"/>
      <c r="AJ12" s="287"/>
      <c r="AK12" s="287"/>
      <c r="AL12" s="287"/>
      <c r="AM12" s="287"/>
      <c r="AN12" s="287"/>
      <c r="AO12" s="287"/>
      <c r="AP12" s="287"/>
      <c r="AQ12" s="287"/>
      <c r="AR12" s="288"/>
      <c r="AS12" s="218"/>
      <c r="AT12" s="2"/>
      <c r="AU12" s="401" t="str">
        <f>IF(Roster!$M$4=0&amp;"+","",Roster!$M$4)</f>
        <v>5+</v>
      </c>
      <c r="AV12" s="212"/>
      <c r="AW12" s="286"/>
      <c r="AX12" s="287"/>
      <c r="AY12" s="287"/>
      <c r="AZ12" s="287"/>
      <c r="BA12" s="287"/>
      <c r="BB12" s="287"/>
      <c r="BC12" s="287"/>
      <c r="BD12" s="287"/>
      <c r="BE12" s="287"/>
      <c r="BF12" s="287"/>
      <c r="BG12" s="288"/>
      <c r="BH12" s="218"/>
      <c r="BI12" s="2"/>
    </row>
    <row r="13" spans="1:61" ht="4.5" customHeight="1">
      <c r="A13" s="2"/>
      <c r="B13" s="394"/>
      <c r="C13" s="213"/>
      <c r="D13" s="310"/>
      <c r="E13" s="277"/>
      <c r="F13" s="311"/>
      <c r="G13" s="217"/>
      <c r="H13" s="310"/>
      <c r="I13" s="277"/>
      <c r="J13" s="311"/>
      <c r="K13" s="217"/>
      <c r="L13" s="310"/>
      <c r="M13" s="277"/>
      <c r="N13" s="311"/>
      <c r="O13" s="218"/>
      <c r="P13" s="2"/>
      <c r="Q13" s="402"/>
      <c r="R13" s="210"/>
      <c r="S13" s="219"/>
      <c r="T13" s="217"/>
      <c r="U13" s="219"/>
      <c r="V13" s="217"/>
      <c r="W13" s="219"/>
      <c r="X13" s="217"/>
      <c r="Y13" s="219"/>
      <c r="Z13" s="217"/>
      <c r="AA13" s="219"/>
      <c r="AB13" s="217"/>
      <c r="AC13" s="219"/>
      <c r="AD13" s="218"/>
      <c r="AE13" s="2"/>
      <c r="AF13" s="402"/>
      <c r="AG13" s="210"/>
      <c r="AH13" s="219"/>
      <c r="AI13" s="217"/>
      <c r="AJ13" s="219"/>
      <c r="AK13" s="217"/>
      <c r="AL13" s="219"/>
      <c r="AM13" s="217"/>
      <c r="AN13" s="219"/>
      <c r="AO13" s="217"/>
      <c r="AP13" s="219"/>
      <c r="AQ13" s="217"/>
      <c r="AR13" s="219"/>
      <c r="AS13" s="218"/>
      <c r="AT13" s="2"/>
      <c r="AU13" s="402"/>
      <c r="AV13" s="210"/>
      <c r="AW13" s="219"/>
      <c r="AX13" s="217"/>
      <c r="AY13" s="219"/>
      <c r="AZ13" s="217"/>
      <c r="BA13" s="219"/>
      <c r="BB13" s="217"/>
      <c r="BC13" s="219"/>
      <c r="BD13" s="217"/>
      <c r="BE13" s="219"/>
      <c r="BF13" s="217"/>
      <c r="BG13" s="219"/>
      <c r="BH13" s="218"/>
      <c r="BI13" s="2"/>
    </row>
    <row r="14" spans="1:61" ht="11.25" customHeight="1">
      <c r="A14" s="2"/>
      <c r="B14" s="394"/>
      <c r="C14" s="213"/>
      <c r="D14" s="310"/>
      <c r="E14" s="277"/>
      <c r="F14" s="311"/>
      <c r="G14" s="217"/>
      <c r="H14" s="310"/>
      <c r="I14" s="277"/>
      <c r="J14" s="311"/>
      <c r="K14" s="217"/>
      <c r="L14" s="310"/>
      <c r="M14" s="277"/>
      <c r="N14" s="311"/>
      <c r="O14" s="218"/>
      <c r="P14" s="2"/>
      <c r="Q14" s="402"/>
      <c r="R14" s="210"/>
      <c r="S14" s="220" t="str">
        <f>IF(Roster!$AC$1=0,"",Roster!$AC$1)</f>
        <v>TD</v>
      </c>
      <c r="T14" s="221"/>
      <c r="U14" s="220" t="str">
        <f>IF(Roster!$J$25="Español","HER",(IF(Roster!$J$25="Deutsch","VER",(IF(Roster!$J$25="Français","BLES","CAS")))))</f>
        <v>CAS</v>
      </c>
      <c r="V14" s="221"/>
      <c r="W14" s="220" t="str">
        <f>IF(Roster!$AF$1=0,"",Roster!$AF$1)</f>
        <v>BH</v>
      </c>
      <c r="X14" s="221"/>
      <c r="Y14" s="220" t="str">
        <f>IF(Roster!$AG$1=0,"",Roster!$AG$1)</f>
        <v>SI</v>
      </c>
      <c r="Z14" s="221"/>
      <c r="AA14" s="220" t="str">
        <f>IF(Roster!$AH$1=0,"",Roster!$AH$1)</f>
        <v>KILL</v>
      </c>
      <c r="AB14" s="221"/>
      <c r="AC14" s="220" t="str">
        <f>IF(Roster!$AB$1=0,"",Roster!$AB$1)</f>
        <v>CP</v>
      </c>
      <c r="AD14" s="218"/>
      <c r="AE14" s="2"/>
      <c r="AF14" s="402"/>
      <c r="AG14" s="210"/>
      <c r="AH14" s="220" t="str">
        <f>IF(Roster!$AC$1=0,"",Roster!$AC$1)</f>
        <v>TD</v>
      </c>
      <c r="AI14" s="221"/>
      <c r="AJ14" s="220" t="str">
        <f>IF(Roster!$J$25="Español","HER",(IF(Roster!$J$25="Deutsch","VER",(IF(Roster!$J$25="Français","BLES","CAS")))))</f>
        <v>CAS</v>
      </c>
      <c r="AK14" s="221"/>
      <c r="AL14" s="220" t="str">
        <f>IF(Roster!$AF$1=0,"",Roster!$AF$1)</f>
        <v>BH</v>
      </c>
      <c r="AM14" s="221"/>
      <c r="AN14" s="220" t="str">
        <f>IF(Roster!$AG$1=0,"",Roster!$AG$1)</f>
        <v>SI</v>
      </c>
      <c r="AO14" s="221"/>
      <c r="AP14" s="220" t="str">
        <f>IF(Roster!$AH$1=0,"",Roster!$AH$1)</f>
        <v>KILL</v>
      </c>
      <c r="AQ14" s="221"/>
      <c r="AR14" s="220" t="str">
        <f>IF(Roster!$AB$1=0,"",Roster!$AB$1)</f>
        <v>CP</v>
      </c>
      <c r="AS14" s="218"/>
      <c r="AT14" s="2"/>
      <c r="AU14" s="402"/>
      <c r="AV14" s="210"/>
      <c r="AW14" s="220" t="str">
        <f>IF(Roster!$AC$1=0,"",Roster!$AC$1)</f>
        <v>TD</v>
      </c>
      <c r="AX14" s="221"/>
      <c r="AY14" s="220" t="str">
        <f>IF(Roster!$J$25="Español","HER",(IF(Roster!$J$25="Deutsch","VER",(IF(Roster!$J$25="Français","BLES","CAS")))))</f>
        <v>CAS</v>
      </c>
      <c r="AZ14" s="221"/>
      <c r="BA14" s="220" t="str">
        <f>IF(Roster!$AF$1=0,"",Roster!$AF$1)</f>
        <v>BH</v>
      </c>
      <c r="BB14" s="221"/>
      <c r="BC14" s="220" t="str">
        <f>IF(Roster!$AG$1=0,"",Roster!$AG$1)</f>
        <v>SI</v>
      </c>
      <c r="BD14" s="221"/>
      <c r="BE14" s="220" t="str">
        <f>IF(Roster!$AH$1=0,"",Roster!$AH$1)</f>
        <v>KILL</v>
      </c>
      <c r="BF14" s="221"/>
      <c r="BG14" s="220" t="str">
        <f>IF(Roster!$AB$1=0,"",Roster!$AB$1)</f>
        <v>CP</v>
      </c>
      <c r="BH14" s="218"/>
      <c r="BI14" s="2"/>
    </row>
    <row r="15" spans="1:61" ht="15" customHeight="1">
      <c r="A15" s="2"/>
      <c r="B15" s="394"/>
      <c r="C15" s="213"/>
      <c r="D15" s="310"/>
      <c r="E15" s="277"/>
      <c r="F15" s="311"/>
      <c r="G15" s="213"/>
      <c r="H15" s="310"/>
      <c r="I15" s="277"/>
      <c r="J15" s="311"/>
      <c r="K15" s="213"/>
      <c r="L15" s="310"/>
      <c r="M15" s="277"/>
      <c r="N15" s="311"/>
      <c r="O15" s="218"/>
      <c r="P15" s="2"/>
      <c r="Q15" s="402"/>
      <c r="R15" s="213"/>
      <c r="S15" s="222" t="str">
        <f>IF(Roster!$AC$2=0,"",Roster!$AC$2)</f>
        <v/>
      </c>
      <c r="T15" s="223"/>
      <c r="U15" s="222" t="str">
        <f>IF((SUM(W15,Y15,AA15))=0,"",(SUM(W15,Y15,AA15)))</f>
        <v/>
      </c>
      <c r="V15" s="223"/>
      <c r="W15" s="222" t="str">
        <f>IF(Roster!$AF$2=0,"",Roster!$AF$2)</f>
        <v/>
      </c>
      <c r="X15" s="223"/>
      <c r="Y15" s="222" t="str">
        <f>IF(Roster!$AG$2=0,"",Roster!$AG$2)</f>
        <v/>
      </c>
      <c r="Z15" s="223"/>
      <c r="AA15" s="222" t="str">
        <f>IF(Roster!$AH$2=0,"",Roster!$AH$2)</f>
        <v/>
      </c>
      <c r="AB15" s="223"/>
      <c r="AC15" s="222" t="str">
        <f>IF(Roster!$AB$2=0,"",Roster!$AB$2)</f>
        <v/>
      </c>
      <c r="AD15" s="218"/>
      <c r="AE15" s="2"/>
      <c r="AF15" s="402"/>
      <c r="AG15" s="213"/>
      <c r="AH15" s="222" t="str">
        <f>IF(Roster!$AC$3=0,"",Roster!$AC$3)</f>
        <v/>
      </c>
      <c r="AI15" s="223"/>
      <c r="AJ15" s="222" t="str">
        <f>IF((SUM(AL15,AN15,AP15))=0,"",(SUM(AL15,AN15,AP15)))</f>
        <v/>
      </c>
      <c r="AK15" s="223"/>
      <c r="AL15" s="222" t="str">
        <f>IF(Roster!$AF$3=0,"",Roster!$AF$3)</f>
        <v/>
      </c>
      <c r="AM15" s="223"/>
      <c r="AN15" s="222" t="str">
        <f>IF(Roster!$AG$3=0,"",Roster!$AG$3)</f>
        <v/>
      </c>
      <c r="AO15" s="223"/>
      <c r="AP15" s="222" t="str">
        <f>IF(Roster!$AH$3=0,"",Roster!$AH$3)</f>
        <v/>
      </c>
      <c r="AQ15" s="223"/>
      <c r="AR15" s="222" t="str">
        <f>IF(Roster!$AB$3=0,"",Roster!$AB$3)</f>
        <v/>
      </c>
      <c r="AS15" s="218"/>
      <c r="AT15" s="2"/>
      <c r="AU15" s="402"/>
      <c r="AV15" s="213"/>
      <c r="AW15" s="222">
        <f>IF(Roster!$AC$4=0,"",Roster!$AC$4)</f>
        <v>1</v>
      </c>
      <c r="AX15" s="223"/>
      <c r="AY15" s="222">
        <f>IF((SUM(BA15,BC15,BE15))=0,"",(SUM(BA15,BC15,BE15)))</f>
        <v>1</v>
      </c>
      <c r="AZ15" s="223"/>
      <c r="BA15" s="222">
        <f>IF(Roster!$AF$4=0,"",Roster!$AF$4)</f>
        <v>1</v>
      </c>
      <c r="BB15" s="223"/>
      <c r="BC15" s="222" t="str">
        <f>IF(Roster!$AG$4=0,"",Roster!$AG$4)</f>
        <v/>
      </c>
      <c r="BD15" s="223"/>
      <c r="BE15" s="222" t="str">
        <f>IF(Roster!$AH$4=0,"",Roster!$AH$4)</f>
        <v/>
      </c>
      <c r="BF15" s="223"/>
      <c r="BG15" s="222" t="str">
        <f>IF(Roster!$AB$4=0,"",Roster!$AB$4)</f>
        <v/>
      </c>
      <c r="BH15" s="218"/>
      <c r="BI15" s="2"/>
    </row>
    <row r="16" spans="1:61" ht="4.5" customHeight="1">
      <c r="A16" s="2"/>
      <c r="B16" s="394"/>
      <c r="C16" s="213"/>
      <c r="D16" s="286"/>
      <c r="E16" s="287"/>
      <c r="F16" s="288"/>
      <c r="G16" s="213"/>
      <c r="H16" s="286"/>
      <c r="I16" s="287"/>
      <c r="J16" s="288"/>
      <c r="K16" s="213"/>
      <c r="L16" s="286"/>
      <c r="M16" s="287"/>
      <c r="N16" s="288"/>
      <c r="O16" s="218"/>
      <c r="P16" s="2"/>
      <c r="Q16" s="307"/>
      <c r="R16" s="213"/>
      <c r="S16" s="45"/>
      <c r="T16" s="223"/>
      <c r="U16" s="45"/>
      <c r="V16" s="223"/>
      <c r="W16" s="45"/>
      <c r="X16" s="223"/>
      <c r="Y16" s="45"/>
      <c r="Z16" s="223"/>
      <c r="AA16" s="45"/>
      <c r="AB16" s="223"/>
      <c r="AC16" s="45"/>
      <c r="AD16" s="218"/>
      <c r="AE16" s="2"/>
      <c r="AF16" s="307"/>
      <c r="AG16" s="213"/>
      <c r="AH16" s="45"/>
      <c r="AI16" s="223"/>
      <c r="AJ16" s="45"/>
      <c r="AK16" s="223"/>
      <c r="AL16" s="45"/>
      <c r="AM16" s="223"/>
      <c r="AN16" s="45"/>
      <c r="AO16" s="223"/>
      <c r="AP16" s="45"/>
      <c r="AQ16" s="223"/>
      <c r="AR16" s="45"/>
      <c r="AS16" s="218"/>
      <c r="AT16" s="2"/>
      <c r="AU16" s="307"/>
      <c r="AV16" s="213"/>
      <c r="AW16" s="45"/>
      <c r="AX16" s="223"/>
      <c r="AY16" s="45"/>
      <c r="AZ16" s="223"/>
      <c r="BA16" s="45"/>
      <c r="BB16" s="223"/>
      <c r="BC16" s="45"/>
      <c r="BD16" s="223"/>
      <c r="BE16" s="45"/>
      <c r="BF16" s="223"/>
      <c r="BG16" s="45"/>
      <c r="BH16" s="218"/>
      <c r="BI16" s="2"/>
    </row>
    <row r="17" spans="1:61" ht="11.25" customHeight="1">
      <c r="A17" s="2"/>
      <c r="B17" s="394"/>
      <c r="C17" s="212"/>
      <c r="D17" s="386" t="str">
        <f>IF(Roster!$R$26=0,"",Roster!$R$26)</f>
        <v>CARTE SPECIALI</v>
      </c>
      <c r="E17" s="243"/>
      <c r="F17" s="244"/>
      <c r="G17" s="212"/>
      <c r="H17" s="406" t="str">
        <f>IF(Roster!$AD$26=0,"",Roster!$AD$26)</f>
        <v>(IN)FAMOUS COACHES</v>
      </c>
      <c r="I17" s="243"/>
      <c r="J17" s="244"/>
      <c r="K17" s="212"/>
      <c r="L17" s="406" t="str">
        <f>IF(Roster!$AD$27=0,"",Roster!$AD$27)</f>
        <v>(IN)FAMOUS COACHES</v>
      </c>
      <c r="M17" s="243"/>
      <c r="N17" s="244"/>
      <c r="O17" s="207"/>
      <c r="P17" s="2"/>
      <c r="Q17" s="211" t="str">
        <f>IF(Roster!$N$1=0,"",Roster!$N$1)</f>
        <v>AV</v>
      </c>
      <c r="R17" s="212"/>
      <c r="S17" s="220" t="str">
        <f>IF(Roster!$AD$1=0,"",Roster!$AD$1)</f>
        <v>DEF</v>
      </c>
      <c r="T17" s="224"/>
      <c r="U17" s="220" t="str">
        <f>IF(Roster!$AE$1=0,"",Roster!$AE$1)</f>
        <v>INT</v>
      </c>
      <c r="V17" s="224"/>
      <c r="W17" s="220" t="str">
        <f>IF(Roster!$AA$1=0,"",Roster!$AA$1)</f>
        <v>SPE</v>
      </c>
      <c r="X17" s="224"/>
      <c r="Y17" s="220" t="str">
        <f>IF(Roster!$AI$1=0,"",Roster!$AI$1)</f>
        <v>MVP</v>
      </c>
      <c r="Z17" s="224"/>
      <c r="AA17" s="220" t="s">
        <v>392</v>
      </c>
      <c r="AB17" s="224"/>
      <c r="AC17" s="225" t="str">
        <f>IF(Roster!$J$25="Español","LPP/RT",(IF(Roster!$J$25="Deutsch","VNS/AD",(IF(Roster!$J$25="Français","RPM/RT","MNG/TR")))))</f>
        <v>MNG/TR</v>
      </c>
      <c r="AD17" s="207"/>
      <c r="AE17" s="2"/>
      <c r="AF17" s="211" t="str">
        <f>IF(Roster!$N$1=0,"",Roster!$N$1)</f>
        <v>AV</v>
      </c>
      <c r="AG17" s="212"/>
      <c r="AH17" s="220" t="str">
        <f>IF(Roster!$AD$1=0,"",Roster!$AD$1)</f>
        <v>DEF</v>
      </c>
      <c r="AI17" s="224"/>
      <c r="AJ17" s="220" t="str">
        <f>IF(Roster!$AE$1=0,"",Roster!$AE$1)</f>
        <v>INT</v>
      </c>
      <c r="AK17" s="224"/>
      <c r="AL17" s="220" t="str">
        <f>IF(Roster!$AA$1=0,"",Roster!$AA$1)</f>
        <v>SPE</v>
      </c>
      <c r="AM17" s="224"/>
      <c r="AN17" s="220" t="str">
        <f>IF(Roster!$AI$1=0,"",Roster!$AI$1)</f>
        <v>MVP</v>
      </c>
      <c r="AO17" s="224"/>
      <c r="AP17" s="220" t="s">
        <v>392</v>
      </c>
      <c r="AQ17" s="224"/>
      <c r="AR17" s="225" t="str">
        <f>IF(Roster!$J$25="Español","LPP/RT",(IF(Roster!$J$25="Deutsch","VNS/AD",(IF(Roster!$J$25="Français","RPM/RT","MNG/TR")))))</f>
        <v>MNG/TR</v>
      </c>
      <c r="AS17" s="207"/>
      <c r="AT17" s="2"/>
      <c r="AU17" s="211" t="str">
        <f>IF(Roster!$N$1=0,"",Roster!$N$1)</f>
        <v>AV</v>
      </c>
      <c r="AV17" s="212"/>
      <c r="AW17" s="220" t="str">
        <f>IF(Roster!$AD$1=0,"",Roster!$AD$1)</f>
        <v>DEF</v>
      </c>
      <c r="AX17" s="224"/>
      <c r="AY17" s="220" t="str">
        <f>IF(Roster!$AE$1=0,"",Roster!$AE$1)</f>
        <v>INT</v>
      </c>
      <c r="AZ17" s="224"/>
      <c r="BA17" s="220" t="str">
        <f>IF(Roster!$AA$1=0,"",Roster!$AA$1)</f>
        <v>SPE</v>
      </c>
      <c r="BB17" s="224"/>
      <c r="BC17" s="220" t="str">
        <f>IF(Roster!$AI$1=0,"",Roster!$AI$1)</f>
        <v>MVP</v>
      </c>
      <c r="BD17" s="224"/>
      <c r="BE17" s="220" t="s">
        <v>392</v>
      </c>
      <c r="BF17" s="224"/>
      <c r="BG17" s="225" t="str">
        <f>IF(Roster!$J$25="Español","LPP/RT",(IF(Roster!$J$25="Deutsch","VNS/AD",(IF(Roster!$J$25="Français","RPM/RT","MNG/TR")))))</f>
        <v>MNG/TR</v>
      </c>
      <c r="BH17" s="207"/>
      <c r="BI17" s="2"/>
    </row>
    <row r="18" spans="1:61" ht="15" customHeight="1">
      <c r="A18" s="2"/>
      <c r="B18" s="394"/>
      <c r="C18" s="213"/>
      <c r="D18" s="405">
        <f>Roster!$W$26</f>
        <v>0</v>
      </c>
      <c r="E18" s="284"/>
      <c r="F18" s="285"/>
      <c r="G18" s="213"/>
      <c r="H18" s="405">
        <f>Roster!$AI$26</f>
        <v>0</v>
      </c>
      <c r="I18" s="284"/>
      <c r="J18" s="285"/>
      <c r="K18" s="213"/>
      <c r="L18" s="405">
        <f>Roster!$AI$27</f>
        <v>0</v>
      </c>
      <c r="M18" s="284"/>
      <c r="N18" s="285"/>
      <c r="O18" s="226"/>
      <c r="P18" s="2"/>
      <c r="Q18" s="401" t="str">
        <f>IF(Roster!$N$2=0&amp;"+","",Roster!$N$2)</f>
        <v>6+</v>
      </c>
      <c r="R18" s="213"/>
      <c r="S18" s="222" t="str">
        <f>IF(Roster!$AD$2=0,"",Roster!$AD$2)</f>
        <v/>
      </c>
      <c r="T18" s="223"/>
      <c r="U18" s="222" t="str">
        <f>IF(Roster!$AE$2=0,"",Roster!$AE$2)</f>
        <v/>
      </c>
      <c r="V18" s="223"/>
      <c r="W18" s="222" t="str">
        <f>IF(Roster!$AA$2=0,"",Roster!$AA$2)</f>
        <v/>
      </c>
      <c r="X18" s="223"/>
      <c r="Y18" s="222">
        <f>IF(Roster!$AI$2=0,"",Roster!$AI$2)</f>
        <v>1</v>
      </c>
      <c r="Z18" s="223"/>
      <c r="AA18" s="222">
        <f>IF(Roster!$AJ$2=0,"",Roster!$AJ$2)</f>
        <v>4</v>
      </c>
      <c r="AB18" s="223"/>
      <c r="AC18" s="222" t="str">
        <f>IF(Roster!$Z$2=0,"",Roster!$Z$2)</f>
        <v/>
      </c>
      <c r="AD18" s="226"/>
      <c r="AE18" s="2"/>
      <c r="AF18" s="401" t="str">
        <f>IF(Roster!$N$3=0&amp;"+","",Roster!$N$3)</f>
        <v>6+</v>
      </c>
      <c r="AG18" s="213"/>
      <c r="AH18" s="222" t="str">
        <f>IF(Roster!$AD$3=0,"",Roster!$AD$3)</f>
        <v/>
      </c>
      <c r="AI18" s="223"/>
      <c r="AJ18" s="222" t="str">
        <f>IF(Roster!$AE$3=0,"",Roster!$AE$3)</f>
        <v/>
      </c>
      <c r="AK18" s="223"/>
      <c r="AL18" s="222" t="str">
        <f>IF(Roster!$AA$3=0,"",Roster!$AA$3)</f>
        <v/>
      </c>
      <c r="AM18" s="223"/>
      <c r="AN18" s="222" t="str">
        <f>IF(Roster!$AI$3=0,"",Roster!$AI$3)</f>
        <v/>
      </c>
      <c r="AO18" s="223"/>
      <c r="AP18" s="222" t="str">
        <f>IF(Roster!$AJ$3=0,"",Roster!$AJ$3)</f>
        <v/>
      </c>
      <c r="AQ18" s="223"/>
      <c r="AR18" s="222" t="str">
        <f>IF(Roster!$Z$3=0,"",Roster!$Z$3)</f>
        <v/>
      </c>
      <c r="AS18" s="226"/>
      <c r="AT18" s="2"/>
      <c r="AU18" s="401" t="str">
        <f>IF(Roster!$N$4=0&amp;"+","",Roster!$N$4)</f>
        <v>6+</v>
      </c>
      <c r="AV18" s="213"/>
      <c r="AW18" s="222" t="str">
        <f>IF(Roster!$AD$4=0,"",Roster!$AD$4)</f>
        <v/>
      </c>
      <c r="AX18" s="223"/>
      <c r="AY18" s="222" t="str">
        <f>IF(Roster!$AE$4=0,"",Roster!$AE$4)</f>
        <v/>
      </c>
      <c r="AZ18" s="223"/>
      <c r="BA18" s="222" t="str">
        <f>IF(Roster!$AA$4=0,"",Roster!$AA$4)</f>
        <v/>
      </c>
      <c r="BB18" s="223"/>
      <c r="BC18" s="222" t="str">
        <f>IF(Roster!$AI$4=0,"",Roster!$AI$4)</f>
        <v/>
      </c>
      <c r="BD18" s="223"/>
      <c r="BE18" s="222">
        <f>IF(Roster!$AJ$4=0,"",Roster!$AJ$4)</f>
        <v>5</v>
      </c>
      <c r="BF18" s="223"/>
      <c r="BG18" s="222" t="str">
        <f>IF(Roster!$Z$4=0,"",Roster!$Z$4)</f>
        <v/>
      </c>
      <c r="BH18" s="226"/>
      <c r="BI18" s="2"/>
    </row>
    <row r="19" spans="1:61" ht="4.5" customHeight="1">
      <c r="A19" s="2"/>
      <c r="B19" s="394"/>
      <c r="C19" s="213"/>
      <c r="D19" s="310"/>
      <c r="E19" s="277"/>
      <c r="F19" s="311"/>
      <c r="G19" s="213"/>
      <c r="H19" s="310"/>
      <c r="I19" s="277"/>
      <c r="J19" s="311"/>
      <c r="K19" s="213"/>
      <c r="L19" s="310"/>
      <c r="M19" s="277"/>
      <c r="N19" s="311"/>
      <c r="O19" s="226"/>
      <c r="P19" s="2"/>
      <c r="Q19" s="402"/>
      <c r="R19" s="213"/>
      <c r="S19" s="223"/>
      <c r="T19" s="223"/>
      <c r="U19" s="223"/>
      <c r="V19" s="223"/>
      <c r="W19" s="223"/>
      <c r="X19" s="223"/>
      <c r="Y19" s="223"/>
      <c r="Z19" s="223"/>
      <c r="AA19" s="223"/>
      <c r="AB19" s="223"/>
      <c r="AC19" s="227"/>
      <c r="AD19" s="226"/>
      <c r="AE19" s="2"/>
      <c r="AF19" s="402"/>
      <c r="AG19" s="213"/>
      <c r="AH19" s="223"/>
      <c r="AI19" s="223"/>
      <c r="AJ19" s="223"/>
      <c r="AK19" s="223"/>
      <c r="AL19" s="223"/>
      <c r="AM19" s="223"/>
      <c r="AN19" s="223"/>
      <c r="AO19" s="223"/>
      <c r="AP19" s="223"/>
      <c r="AQ19" s="223"/>
      <c r="AR19" s="227"/>
      <c r="AS19" s="226"/>
      <c r="AT19" s="2"/>
      <c r="AU19" s="402"/>
      <c r="AV19" s="213"/>
      <c r="AW19" s="223"/>
      <c r="AX19" s="223"/>
      <c r="AY19" s="223"/>
      <c r="AZ19" s="223"/>
      <c r="BA19" s="223"/>
      <c r="BB19" s="223"/>
      <c r="BC19" s="223"/>
      <c r="BD19" s="223"/>
      <c r="BE19" s="223"/>
      <c r="BF19" s="223"/>
      <c r="BG19" s="227"/>
      <c r="BH19" s="226"/>
      <c r="BI19" s="2"/>
    </row>
    <row r="20" spans="1:61" ht="11.25" customHeight="1">
      <c r="A20" s="2"/>
      <c r="B20" s="394"/>
      <c r="C20" s="213"/>
      <c r="D20" s="310"/>
      <c r="E20" s="277"/>
      <c r="F20" s="311"/>
      <c r="G20" s="228"/>
      <c r="H20" s="310"/>
      <c r="I20" s="277"/>
      <c r="J20" s="311"/>
      <c r="K20" s="228"/>
      <c r="L20" s="310"/>
      <c r="M20" s="277"/>
      <c r="N20" s="311"/>
      <c r="O20" s="226"/>
      <c r="P20" s="2"/>
      <c r="Q20" s="402"/>
      <c r="R20" s="213"/>
      <c r="S20" s="378" t="str">
        <f>IF(Roster!$J$25="Italiano","ABILITÀ &amp; TRATTI",(IF(Roster!$J$25="Español","HABILIDADES Y RASGOS","SKILLS &amp; TRAITS")))</f>
        <v>ABILITÀ &amp; TRATTI</v>
      </c>
      <c r="T20" s="313"/>
      <c r="U20" s="313"/>
      <c r="V20" s="313"/>
      <c r="W20" s="313"/>
      <c r="X20" s="313"/>
      <c r="Y20" s="313"/>
      <c r="Z20" s="313"/>
      <c r="AA20" s="313"/>
      <c r="AB20" s="313"/>
      <c r="AC20" s="379"/>
      <c r="AD20" s="226"/>
      <c r="AE20" s="2"/>
      <c r="AF20" s="402"/>
      <c r="AG20" s="213"/>
      <c r="AH20" s="378" t="str">
        <f>IF(Roster!$J$25="Italiano","ABILITÀ &amp; TRATTI",(IF(Roster!$J$25="Español","HABILIDADES Y RASGOS","SKILLS &amp; TRAITS")))</f>
        <v>ABILITÀ &amp; TRATTI</v>
      </c>
      <c r="AI20" s="313"/>
      <c r="AJ20" s="313"/>
      <c r="AK20" s="313"/>
      <c r="AL20" s="313"/>
      <c r="AM20" s="313"/>
      <c r="AN20" s="313"/>
      <c r="AO20" s="313"/>
      <c r="AP20" s="313"/>
      <c r="AQ20" s="313"/>
      <c r="AR20" s="379"/>
      <c r="AS20" s="226"/>
      <c r="AT20" s="2"/>
      <c r="AU20" s="402"/>
      <c r="AV20" s="213"/>
      <c r="AW20" s="378" t="str">
        <f>IF(Roster!$J$25="Italiano","ABILITÀ &amp; TRATTI",(IF(Roster!$J$25="Español","HABILIDADES Y RASGOS","SKILLS &amp; TRAITS")))</f>
        <v>ABILITÀ &amp; TRATTI</v>
      </c>
      <c r="AX20" s="313"/>
      <c r="AY20" s="313"/>
      <c r="AZ20" s="313"/>
      <c r="BA20" s="313"/>
      <c r="BB20" s="313"/>
      <c r="BC20" s="313"/>
      <c r="BD20" s="313"/>
      <c r="BE20" s="313"/>
      <c r="BF20" s="313"/>
      <c r="BG20" s="379"/>
      <c r="BH20" s="226"/>
      <c r="BI20" s="2"/>
    </row>
    <row r="21" spans="1:61" ht="6.75" customHeight="1">
      <c r="A21" s="2"/>
      <c r="B21" s="394"/>
      <c r="C21" s="213"/>
      <c r="D21" s="286"/>
      <c r="E21" s="287"/>
      <c r="F21" s="288"/>
      <c r="G21" s="229"/>
      <c r="H21" s="286"/>
      <c r="I21" s="287"/>
      <c r="J21" s="288"/>
      <c r="K21" s="229"/>
      <c r="L21" s="286"/>
      <c r="M21" s="287"/>
      <c r="N21" s="288"/>
      <c r="O21" s="226"/>
      <c r="P21" s="2"/>
      <c r="Q21" s="307"/>
      <c r="R21" s="213"/>
      <c r="S21" s="392" t="str">
        <f>IF(Roster!$O$2=0&amp;BF2,"",Roster!$O$2)</f>
        <v>Bombardier, Dodge, Right Stuff, Secret Weapon, Side Step, Stunty</v>
      </c>
      <c r="T21" s="356"/>
      <c r="U21" s="356"/>
      <c r="V21" s="356"/>
      <c r="W21" s="356"/>
      <c r="X21" s="356"/>
      <c r="Y21" s="356"/>
      <c r="Z21" s="356"/>
      <c r="AA21" s="356"/>
      <c r="AB21" s="356"/>
      <c r="AC21" s="381"/>
      <c r="AD21" s="226"/>
      <c r="AE21" s="2"/>
      <c r="AF21" s="307"/>
      <c r="AG21" s="213"/>
      <c r="AH21" s="392" t="str">
        <f>IF(Roster!$O$3=0&amp;BU3,"",Roster!$O$3)</f>
        <v>Bombardier, Dodge, Right Stuff, Secret Weapon, Side Step, Stunty</v>
      </c>
      <c r="AI21" s="356"/>
      <c r="AJ21" s="356"/>
      <c r="AK21" s="356"/>
      <c r="AL21" s="356"/>
      <c r="AM21" s="356"/>
      <c r="AN21" s="356"/>
      <c r="AO21" s="356"/>
      <c r="AP21" s="356"/>
      <c r="AQ21" s="356"/>
      <c r="AR21" s="381"/>
      <c r="AS21" s="226"/>
      <c r="AT21" s="2"/>
      <c r="AU21" s="307"/>
      <c r="AV21" s="213"/>
      <c r="AW21" s="392" t="str">
        <f>IF(Roster!$O$4=0&amp;CJ4,"",Roster!$O$4)</f>
        <v>Dodge, Pogo Stick, Right Stuff, Side Step, Stunty, Sure Feet</v>
      </c>
      <c r="AX21" s="356"/>
      <c r="AY21" s="356"/>
      <c r="AZ21" s="356"/>
      <c r="BA21" s="356"/>
      <c r="BB21" s="356"/>
      <c r="BC21" s="356"/>
      <c r="BD21" s="356"/>
      <c r="BE21" s="356"/>
      <c r="BF21" s="356"/>
      <c r="BG21" s="381"/>
      <c r="BH21" s="226"/>
      <c r="BI21" s="2"/>
    </row>
    <row r="22" spans="1:61" ht="11.25" customHeight="1">
      <c r="A22" s="2"/>
      <c r="B22" s="394"/>
      <c r="C22" s="209"/>
      <c r="D22" s="406" t="str">
        <f>IF(Roster!$AD$28=0,"",Roster!$AD$28)</f>
        <v>BIASED REFEREE</v>
      </c>
      <c r="E22" s="243"/>
      <c r="F22" s="244"/>
      <c r="G22" s="229"/>
      <c r="H22" s="406" t="str">
        <f>IF(Roster!$AD$29=0,"",Roster!$AD$29)</f>
        <v>OTHER INDUCEMENTS</v>
      </c>
      <c r="I22" s="243"/>
      <c r="J22" s="244"/>
      <c r="K22" s="229"/>
      <c r="L22" s="386" t="str">
        <f>IF(Roster!$AD$31=0,"",Roster!$AD$31)</f>
        <v>MEDICI VAGABONDI</v>
      </c>
      <c r="M22" s="243"/>
      <c r="N22" s="244"/>
      <c r="O22" s="230"/>
      <c r="P22" s="2"/>
      <c r="Q22" s="211" t="str">
        <f>IF(Roster!$AN$1=0,"",Roster!$AN$1)</f>
        <v>COSTO</v>
      </c>
      <c r="R22" s="212"/>
      <c r="S22" s="310"/>
      <c r="T22" s="277"/>
      <c r="U22" s="277"/>
      <c r="V22" s="277"/>
      <c r="W22" s="277"/>
      <c r="X22" s="277"/>
      <c r="Y22" s="277"/>
      <c r="Z22" s="277"/>
      <c r="AA22" s="277"/>
      <c r="AB22" s="277"/>
      <c r="AC22" s="311"/>
      <c r="AD22" s="230"/>
      <c r="AE22" s="2"/>
      <c r="AF22" s="211" t="str">
        <f>IF(Roster!$AN$1=0,"",Roster!$AN$1)</f>
        <v>COSTO</v>
      </c>
      <c r="AG22" s="212"/>
      <c r="AH22" s="310"/>
      <c r="AI22" s="277"/>
      <c r="AJ22" s="277"/>
      <c r="AK22" s="277"/>
      <c r="AL22" s="277"/>
      <c r="AM22" s="277"/>
      <c r="AN22" s="277"/>
      <c r="AO22" s="277"/>
      <c r="AP22" s="277"/>
      <c r="AQ22" s="277"/>
      <c r="AR22" s="311"/>
      <c r="AS22" s="230"/>
      <c r="AT22" s="2"/>
      <c r="AU22" s="211" t="str">
        <f>IF(Roster!$AN$1=0,"",Roster!$AN$1)</f>
        <v>COSTO</v>
      </c>
      <c r="AV22" s="212"/>
      <c r="AW22" s="310"/>
      <c r="AX22" s="277"/>
      <c r="AY22" s="277"/>
      <c r="AZ22" s="277"/>
      <c r="BA22" s="277"/>
      <c r="BB22" s="277"/>
      <c r="BC22" s="277"/>
      <c r="BD22" s="277"/>
      <c r="BE22" s="277"/>
      <c r="BF22" s="277"/>
      <c r="BG22" s="311"/>
      <c r="BH22" s="230"/>
      <c r="BI22" s="2"/>
    </row>
    <row r="23" spans="1:61" ht="34.5" customHeight="1">
      <c r="A23" s="2"/>
      <c r="B23" s="395"/>
      <c r="C23" s="231"/>
      <c r="D23" s="407">
        <f>Roster!$AI$28</f>
        <v>0</v>
      </c>
      <c r="E23" s="248"/>
      <c r="F23" s="249"/>
      <c r="G23" s="229"/>
      <c r="H23" s="407">
        <f>Roster!$AI$29</f>
        <v>0</v>
      </c>
      <c r="I23" s="248"/>
      <c r="J23" s="249"/>
      <c r="K23" s="229"/>
      <c r="L23" s="407">
        <f>Roster!$AI$31</f>
        <v>0</v>
      </c>
      <c r="M23" s="248"/>
      <c r="N23" s="249"/>
      <c r="O23" s="230"/>
      <c r="P23" s="2"/>
      <c r="Q23" s="232">
        <f>IF(Roster!$AN$2=0,"",Roster!$AN$2)</f>
        <v>30000</v>
      </c>
      <c r="R23" s="233"/>
      <c r="S23" s="286"/>
      <c r="T23" s="287"/>
      <c r="U23" s="287"/>
      <c r="V23" s="287"/>
      <c r="W23" s="287"/>
      <c r="X23" s="287"/>
      <c r="Y23" s="287"/>
      <c r="Z23" s="287"/>
      <c r="AA23" s="287"/>
      <c r="AB23" s="287"/>
      <c r="AC23" s="288"/>
      <c r="AD23" s="230"/>
      <c r="AE23" s="2"/>
      <c r="AF23" s="232">
        <f>IF(Roster!$AN$3=0,"",Roster!$AN$3)</f>
        <v>30000</v>
      </c>
      <c r="AG23" s="233"/>
      <c r="AH23" s="286"/>
      <c r="AI23" s="287"/>
      <c r="AJ23" s="287"/>
      <c r="AK23" s="287"/>
      <c r="AL23" s="287"/>
      <c r="AM23" s="287"/>
      <c r="AN23" s="287"/>
      <c r="AO23" s="287"/>
      <c r="AP23" s="287"/>
      <c r="AQ23" s="287"/>
      <c r="AR23" s="288"/>
      <c r="AS23" s="230"/>
      <c r="AT23" s="2"/>
      <c r="AU23" s="232">
        <f>IF(Roster!$AN$4=0,"",Roster!$AN$4)</f>
        <v>30000</v>
      </c>
      <c r="AV23" s="233"/>
      <c r="AW23" s="286"/>
      <c r="AX23" s="287"/>
      <c r="AY23" s="287"/>
      <c r="AZ23" s="287"/>
      <c r="BA23" s="287"/>
      <c r="BB23" s="287"/>
      <c r="BC23" s="287"/>
      <c r="BD23" s="287"/>
      <c r="BE23" s="287"/>
      <c r="BF23" s="287"/>
      <c r="BG23" s="288"/>
      <c r="BH23" s="230"/>
      <c r="BI23" s="2"/>
    </row>
    <row r="24" spans="1:61" ht="4.5" customHeight="1">
      <c r="A24" s="2"/>
      <c r="B24" s="385"/>
      <c r="C24" s="252"/>
      <c r="D24" s="252"/>
      <c r="E24" s="252"/>
      <c r="F24" s="252"/>
      <c r="G24" s="252"/>
      <c r="H24" s="252"/>
      <c r="I24" s="252"/>
      <c r="J24" s="252"/>
      <c r="K24" s="252"/>
      <c r="L24" s="252"/>
      <c r="M24" s="252"/>
      <c r="N24" s="253"/>
      <c r="O24" s="234"/>
      <c r="P24" s="2"/>
      <c r="Q24" s="385"/>
      <c r="R24" s="252"/>
      <c r="S24" s="252"/>
      <c r="T24" s="252"/>
      <c r="U24" s="252"/>
      <c r="V24" s="252"/>
      <c r="W24" s="252"/>
      <c r="X24" s="252"/>
      <c r="Y24" s="252"/>
      <c r="Z24" s="252"/>
      <c r="AA24" s="252"/>
      <c r="AB24" s="252"/>
      <c r="AC24" s="253"/>
      <c r="AD24" s="234"/>
      <c r="AE24" s="2"/>
      <c r="AF24" s="385"/>
      <c r="AG24" s="252"/>
      <c r="AH24" s="252"/>
      <c r="AI24" s="252"/>
      <c r="AJ24" s="252"/>
      <c r="AK24" s="252"/>
      <c r="AL24" s="252"/>
      <c r="AM24" s="252"/>
      <c r="AN24" s="252"/>
      <c r="AO24" s="252"/>
      <c r="AP24" s="252"/>
      <c r="AQ24" s="252"/>
      <c r="AR24" s="253"/>
      <c r="AS24" s="234"/>
      <c r="AT24" s="2"/>
      <c r="AU24" s="385"/>
      <c r="AV24" s="252"/>
      <c r="AW24" s="252"/>
      <c r="AX24" s="252"/>
      <c r="AY24" s="252"/>
      <c r="AZ24" s="252"/>
      <c r="BA24" s="252"/>
      <c r="BB24" s="252"/>
      <c r="BC24" s="252"/>
      <c r="BD24" s="252"/>
      <c r="BE24" s="252"/>
      <c r="BF24" s="252"/>
      <c r="BG24" s="253"/>
      <c r="BH24" s="234"/>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393" t="str">
        <f>IF(Roster!$A$5=0,"","#"&amp;Roster!$A$5)</f>
        <v>#4</v>
      </c>
      <c r="C26" s="205"/>
      <c r="D26" s="205"/>
      <c r="E26" s="205"/>
      <c r="F26" s="205"/>
      <c r="G26" s="205"/>
      <c r="H26" s="205"/>
      <c r="I26" s="205"/>
      <c r="J26" s="205"/>
      <c r="K26" s="205"/>
      <c r="L26" s="205"/>
      <c r="M26" s="205"/>
      <c r="N26" s="205"/>
      <c r="O26" s="206"/>
      <c r="P26" s="2"/>
      <c r="Q26" s="393" t="str">
        <f>IF(Roster!$A$6=0,"","#"&amp;Roster!$A$6)</f>
        <v>#5</v>
      </c>
      <c r="R26" s="205"/>
      <c r="S26" s="205"/>
      <c r="T26" s="205"/>
      <c r="U26" s="205"/>
      <c r="V26" s="205"/>
      <c r="W26" s="205"/>
      <c r="X26" s="205"/>
      <c r="Y26" s="205"/>
      <c r="Z26" s="205"/>
      <c r="AA26" s="205"/>
      <c r="AB26" s="205"/>
      <c r="AC26" s="205"/>
      <c r="AD26" s="206"/>
      <c r="AE26" s="2"/>
      <c r="AF26" s="393" t="str">
        <f>IF(Roster!$A$7=0,"","#"&amp;Roster!$A$7)</f>
        <v>#6</v>
      </c>
      <c r="AG26" s="205"/>
      <c r="AH26" s="205"/>
      <c r="AI26" s="205"/>
      <c r="AJ26" s="205"/>
      <c r="AK26" s="205"/>
      <c r="AL26" s="205"/>
      <c r="AM26" s="205"/>
      <c r="AN26" s="205"/>
      <c r="AO26" s="205"/>
      <c r="AP26" s="205"/>
      <c r="AQ26" s="205"/>
      <c r="AR26" s="205"/>
      <c r="AS26" s="206"/>
      <c r="AT26" s="2"/>
      <c r="AU26" s="393" t="str">
        <f>IF(Roster!$A$8=0,"","#"&amp;Roster!$A$8)</f>
        <v>#7</v>
      </c>
      <c r="AV26" s="205"/>
      <c r="AW26" s="205"/>
      <c r="AX26" s="205"/>
      <c r="AY26" s="205"/>
      <c r="AZ26" s="205"/>
      <c r="BA26" s="205"/>
      <c r="BB26" s="205"/>
      <c r="BC26" s="205"/>
      <c r="BD26" s="205"/>
      <c r="BE26" s="205"/>
      <c r="BF26" s="205"/>
      <c r="BG26" s="205"/>
      <c r="BH26" s="206"/>
      <c r="BI26" s="2"/>
    </row>
    <row r="27" spans="1:61" ht="15" customHeight="1">
      <c r="A27" s="2"/>
      <c r="B27" s="394"/>
      <c r="C27" s="396" t="str">
        <f>IF(Roster!$B$5=0,"",Roster!$B$5)</f>
        <v>Lalà</v>
      </c>
      <c r="D27" s="243"/>
      <c r="E27" s="243"/>
      <c r="F27" s="243"/>
      <c r="G27" s="243"/>
      <c r="H27" s="243"/>
      <c r="I27" s="243"/>
      <c r="J27" s="243"/>
      <c r="K27" s="243"/>
      <c r="L27" s="243"/>
      <c r="M27" s="243"/>
      <c r="N27" s="244"/>
      <c r="O27" s="207"/>
      <c r="P27" s="2"/>
      <c r="Q27" s="394"/>
      <c r="R27" s="396" t="str">
        <f>IF(Roster!$B$6=0,"",Roster!$B$6)</f>
        <v>Mbeh</v>
      </c>
      <c r="S27" s="243"/>
      <c r="T27" s="243"/>
      <c r="U27" s="243"/>
      <c r="V27" s="243"/>
      <c r="W27" s="243"/>
      <c r="X27" s="243"/>
      <c r="Y27" s="243"/>
      <c r="Z27" s="243"/>
      <c r="AA27" s="243"/>
      <c r="AB27" s="243"/>
      <c r="AC27" s="244"/>
      <c r="AD27" s="207"/>
      <c r="AE27" s="2"/>
      <c r="AF27" s="394"/>
      <c r="AG27" s="396" t="str">
        <f>IF(Roster!$B$7=0,"",Roster!$B$7)</f>
        <v>Ahia</v>
      </c>
      <c r="AH27" s="243"/>
      <c r="AI27" s="243"/>
      <c r="AJ27" s="243"/>
      <c r="AK27" s="243"/>
      <c r="AL27" s="243"/>
      <c r="AM27" s="243"/>
      <c r="AN27" s="243"/>
      <c r="AO27" s="243"/>
      <c r="AP27" s="243"/>
      <c r="AQ27" s="243"/>
      <c r="AR27" s="244"/>
      <c r="AS27" s="207"/>
      <c r="AT27" s="2"/>
      <c r="AU27" s="394"/>
      <c r="AV27" s="396" t="str">
        <f>IF(Roster!$B$8=0,"",Roster!$B$8)</f>
        <v>Painkillermaximus terzo</v>
      </c>
      <c r="AW27" s="243"/>
      <c r="AX27" s="243"/>
      <c r="AY27" s="243"/>
      <c r="AZ27" s="243"/>
      <c r="BA27" s="243"/>
      <c r="BB27" s="243"/>
      <c r="BC27" s="243"/>
      <c r="BD27" s="243"/>
      <c r="BE27" s="243"/>
      <c r="BF27" s="243"/>
      <c r="BG27" s="244"/>
      <c r="BH27" s="207"/>
      <c r="BI27" s="2"/>
    </row>
    <row r="28" spans="1:61" ht="11.25" customHeight="1">
      <c r="A28" s="2"/>
      <c r="B28" s="395"/>
      <c r="C28" s="386" t="str">
        <f>IF(Roster!$C$5=0,"",Roster!$C$5)</f>
        <v>Fun-hoppa</v>
      </c>
      <c r="D28" s="243"/>
      <c r="E28" s="243"/>
      <c r="F28" s="243"/>
      <c r="G28" s="243"/>
      <c r="H28" s="243"/>
      <c r="I28" s="243"/>
      <c r="J28" s="243"/>
      <c r="K28" s="243"/>
      <c r="L28" s="243"/>
      <c r="M28" s="243"/>
      <c r="N28" s="244"/>
      <c r="O28" s="208"/>
      <c r="P28" s="2"/>
      <c r="Q28" s="395"/>
      <c r="R28" s="386" t="str">
        <f>IF(Roster!$C$6=0,"",Roster!$C$6)</f>
        <v>Stilty Runna</v>
      </c>
      <c r="S28" s="243"/>
      <c r="T28" s="243"/>
      <c r="U28" s="243"/>
      <c r="V28" s="243"/>
      <c r="W28" s="243"/>
      <c r="X28" s="243"/>
      <c r="Y28" s="243"/>
      <c r="Z28" s="243"/>
      <c r="AA28" s="243"/>
      <c r="AB28" s="243"/>
      <c r="AC28" s="244"/>
      <c r="AD28" s="208"/>
      <c r="AE28" s="2"/>
      <c r="AF28" s="395"/>
      <c r="AG28" s="386" t="str">
        <f>IF(Roster!$C$7=0,"",Roster!$C$7)</f>
        <v>Stilty Runna</v>
      </c>
      <c r="AH28" s="243"/>
      <c r="AI28" s="243"/>
      <c r="AJ28" s="243"/>
      <c r="AK28" s="243"/>
      <c r="AL28" s="243"/>
      <c r="AM28" s="243"/>
      <c r="AN28" s="243"/>
      <c r="AO28" s="243"/>
      <c r="AP28" s="243"/>
      <c r="AQ28" s="243"/>
      <c r="AR28" s="244"/>
      <c r="AS28" s="208"/>
      <c r="AT28" s="2"/>
      <c r="AU28" s="395"/>
      <c r="AV28" s="386" t="str">
        <f>IF(Roster!$C$8=0,"",Roster!$C$8)</f>
        <v>Pump Wagon</v>
      </c>
      <c r="AW28" s="243"/>
      <c r="AX28" s="243"/>
      <c r="AY28" s="243"/>
      <c r="AZ28" s="243"/>
      <c r="BA28" s="243"/>
      <c r="BB28" s="243"/>
      <c r="BC28" s="243"/>
      <c r="BD28" s="243"/>
      <c r="BE28" s="243"/>
      <c r="BF28" s="243"/>
      <c r="BG28" s="244"/>
      <c r="BH28" s="208"/>
      <c r="BI28" s="2"/>
    </row>
    <row r="29" spans="1:61" ht="11.25" customHeight="1">
      <c r="A29" s="2"/>
      <c r="B29" s="211" t="str">
        <f>IF(Roster!$J$1=0,"",Roster!$J$1)</f>
        <v>MA</v>
      </c>
      <c r="C29" s="212"/>
      <c r="D29" s="212"/>
      <c r="E29" s="212"/>
      <c r="F29" s="212"/>
      <c r="G29" s="212"/>
      <c r="H29" s="212"/>
      <c r="I29" s="212"/>
      <c r="J29" s="212"/>
      <c r="K29" s="212"/>
      <c r="L29" s="212"/>
      <c r="M29" s="212"/>
      <c r="N29" s="212"/>
      <c r="O29" s="207"/>
      <c r="P29" s="2"/>
      <c r="Q29" s="211" t="str">
        <f>IF(Roster!$J$1=0,"",Roster!$J$1)</f>
        <v>MA</v>
      </c>
      <c r="R29" s="212"/>
      <c r="S29" s="212"/>
      <c r="T29" s="212"/>
      <c r="U29" s="212"/>
      <c r="V29" s="212"/>
      <c r="W29" s="212"/>
      <c r="X29" s="212"/>
      <c r="Y29" s="212"/>
      <c r="Z29" s="212"/>
      <c r="AA29" s="212"/>
      <c r="AB29" s="212"/>
      <c r="AC29" s="212"/>
      <c r="AD29" s="207"/>
      <c r="AE29" s="2"/>
      <c r="AF29" s="211" t="str">
        <f>IF(Roster!$J$1=0,"",Roster!$J$1)</f>
        <v>MA</v>
      </c>
      <c r="AG29" s="212"/>
      <c r="AH29" s="212"/>
      <c r="AI29" s="212"/>
      <c r="AJ29" s="212"/>
      <c r="AK29" s="212"/>
      <c r="AL29" s="212"/>
      <c r="AM29" s="212"/>
      <c r="AN29" s="212"/>
      <c r="AO29" s="212"/>
      <c r="AP29" s="212"/>
      <c r="AQ29" s="212"/>
      <c r="AR29" s="212"/>
      <c r="AS29" s="207"/>
      <c r="AT29" s="2"/>
      <c r="AU29" s="211" t="str">
        <f>IF(Roster!$J$1=0,"",Roster!$J$1)</f>
        <v>MA</v>
      </c>
      <c r="AV29" s="212"/>
      <c r="AW29" s="212"/>
      <c r="AX29" s="212"/>
      <c r="AY29" s="212"/>
      <c r="AZ29" s="212"/>
      <c r="BA29" s="212"/>
      <c r="BB29" s="212"/>
      <c r="BC29" s="212"/>
      <c r="BD29" s="212"/>
      <c r="BE29" s="212"/>
      <c r="BF29" s="212"/>
      <c r="BG29" s="212"/>
      <c r="BH29" s="207"/>
      <c r="BI29" s="2"/>
    </row>
    <row r="30" spans="1:61" ht="37.5" customHeight="1">
      <c r="A30" s="2"/>
      <c r="B30" s="214">
        <f>IF(Roster!$J$5=0,"",Roster!$J$5)</f>
        <v>5</v>
      </c>
      <c r="C30" s="212"/>
      <c r="D30" s="397"/>
      <c r="E30" s="284"/>
      <c r="F30" s="284"/>
      <c r="G30" s="284"/>
      <c r="H30" s="284"/>
      <c r="I30" s="284"/>
      <c r="J30" s="284"/>
      <c r="K30" s="284"/>
      <c r="L30" s="284"/>
      <c r="M30" s="284"/>
      <c r="N30" s="285"/>
      <c r="O30" s="207"/>
      <c r="P30" s="2"/>
      <c r="Q30" s="214">
        <f>IF(Roster!$J$6=0,"",Roster!$J$6)</f>
        <v>6</v>
      </c>
      <c r="R30" s="212"/>
      <c r="S30" s="397"/>
      <c r="T30" s="284"/>
      <c r="U30" s="284"/>
      <c r="V30" s="284"/>
      <c r="W30" s="284"/>
      <c r="X30" s="284"/>
      <c r="Y30" s="284"/>
      <c r="Z30" s="284"/>
      <c r="AA30" s="284"/>
      <c r="AB30" s="284"/>
      <c r="AC30" s="285"/>
      <c r="AD30" s="207"/>
      <c r="AE30" s="2"/>
      <c r="AF30" s="214">
        <f>IF(Roster!$J$7=0,"",Roster!$J$7)</f>
        <v>6</v>
      </c>
      <c r="AG30" s="212"/>
      <c r="AH30" s="397"/>
      <c r="AI30" s="284"/>
      <c r="AJ30" s="284"/>
      <c r="AK30" s="284"/>
      <c r="AL30" s="284"/>
      <c r="AM30" s="284"/>
      <c r="AN30" s="284"/>
      <c r="AO30" s="284"/>
      <c r="AP30" s="284"/>
      <c r="AQ30" s="284"/>
      <c r="AR30" s="285"/>
      <c r="AS30" s="207"/>
      <c r="AT30" s="2"/>
      <c r="AU30" s="214">
        <f>IF(Roster!$J$8=0,"",Roster!$J$8)</f>
        <v>4</v>
      </c>
      <c r="AV30" s="212"/>
      <c r="AW30" s="397"/>
      <c r="AX30" s="284"/>
      <c r="AY30" s="284"/>
      <c r="AZ30" s="284"/>
      <c r="BA30" s="284"/>
      <c r="BB30" s="284"/>
      <c r="BC30" s="284"/>
      <c r="BD30" s="284"/>
      <c r="BE30" s="284"/>
      <c r="BF30" s="284"/>
      <c r="BG30" s="285"/>
      <c r="BH30" s="207"/>
      <c r="BI30" s="2"/>
    </row>
    <row r="31" spans="1:61" ht="11.25" customHeight="1">
      <c r="A31" s="2"/>
      <c r="B31" s="211" t="str">
        <f>IF(Roster!$K$1=0,"",Roster!$K$1)</f>
        <v>ST</v>
      </c>
      <c r="C31" s="212"/>
      <c r="D31" s="310"/>
      <c r="E31" s="277"/>
      <c r="F31" s="277"/>
      <c r="G31" s="277"/>
      <c r="H31" s="277"/>
      <c r="I31" s="277"/>
      <c r="J31" s="277"/>
      <c r="K31" s="277"/>
      <c r="L31" s="277"/>
      <c r="M31" s="277"/>
      <c r="N31" s="311"/>
      <c r="O31" s="207"/>
      <c r="P31" s="2"/>
      <c r="Q31" s="211" t="str">
        <f>IF(Roster!$K$1=0,"",Roster!$K$1)</f>
        <v>ST</v>
      </c>
      <c r="R31" s="212"/>
      <c r="S31" s="310"/>
      <c r="T31" s="277"/>
      <c r="U31" s="277"/>
      <c r="V31" s="277"/>
      <c r="W31" s="277"/>
      <c r="X31" s="277"/>
      <c r="Y31" s="277"/>
      <c r="Z31" s="277"/>
      <c r="AA31" s="277"/>
      <c r="AB31" s="277"/>
      <c r="AC31" s="311"/>
      <c r="AD31" s="207"/>
      <c r="AE31" s="2"/>
      <c r="AF31" s="211" t="str">
        <f>IF(Roster!$K$1=0,"",Roster!$K$1)</f>
        <v>ST</v>
      </c>
      <c r="AG31" s="212"/>
      <c r="AH31" s="310"/>
      <c r="AI31" s="277"/>
      <c r="AJ31" s="277"/>
      <c r="AK31" s="277"/>
      <c r="AL31" s="277"/>
      <c r="AM31" s="277"/>
      <c r="AN31" s="277"/>
      <c r="AO31" s="277"/>
      <c r="AP31" s="277"/>
      <c r="AQ31" s="277"/>
      <c r="AR31" s="311"/>
      <c r="AS31" s="207"/>
      <c r="AT31" s="2"/>
      <c r="AU31" s="211" t="str">
        <f>IF(Roster!$K$1=0,"",Roster!$K$1)</f>
        <v>ST</v>
      </c>
      <c r="AV31" s="212"/>
      <c r="AW31" s="310"/>
      <c r="AX31" s="277"/>
      <c r="AY31" s="277"/>
      <c r="AZ31" s="277"/>
      <c r="BA31" s="277"/>
      <c r="BB31" s="277"/>
      <c r="BC31" s="277"/>
      <c r="BD31" s="277"/>
      <c r="BE31" s="277"/>
      <c r="BF31" s="277"/>
      <c r="BG31" s="311"/>
      <c r="BH31" s="207"/>
      <c r="BI31" s="2"/>
    </row>
    <row r="32" spans="1:61" ht="37.5" customHeight="1">
      <c r="A32" s="2"/>
      <c r="B32" s="214">
        <f>IF(Roster!$K$5=0,"",Roster!$K$5)</f>
        <v>1</v>
      </c>
      <c r="C32" s="212"/>
      <c r="D32" s="310"/>
      <c r="E32" s="277"/>
      <c r="F32" s="277"/>
      <c r="G32" s="277"/>
      <c r="H32" s="277"/>
      <c r="I32" s="277"/>
      <c r="J32" s="277"/>
      <c r="K32" s="277"/>
      <c r="L32" s="277"/>
      <c r="M32" s="277"/>
      <c r="N32" s="311"/>
      <c r="O32" s="207"/>
      <c r="P32" s="2"/>
      <c r="Q32" s="214">
        <f>IF(Roster!$K$6=0,"",Roster!$K$6)</f>
        <v>1</v>
      </c>
      <c r="R32" s="212"/>
      <c r="S32" s="310"/>
      <c r="T32" s="277"/>
      <c r="U32" s="277"/>
      <c r="V32" s="277"/>
      <c r="W32" s="277"/>
      <c r="X32" s="277"/>
      <c r="Y32" s="277"/>
      <c r="Z32" s="277"/>
      <c r="AA32" s="277"/>
      <c r="AB32" s="277"/>
      <c r="AC32" s="311"/>
      <c r="AD32" s="207"/>
      <c r="AE32" s="2"/>
      <c r="AF32" s="214">
        <f>IF(Roster!$K$7=0,"",Roster!$K$7)</f>
        <v>1</v>
      </c>
      <c r="AG32" s="212"/>
      <c r="AH32" s="310"/>
      <c r="AI32" s="277"/>
      <c r="AJ32" s="277"/>
      <c r="AK32" s="277"/>
      <c r="AL32" s="277"/>
      <c r="AM32" s="277"/>
      <c r="AN32" s="277"/>
      <c r="AO32" s="277"/>
      <c r="AP32" s="277"/>
      <c r="AQ32" s="277"/>
      <c r="AR32" s="311"/>
      <c r="AS32" s="207"/>
      <c r="AT32" s="2"/>
      <c r="AU32" s="214">
        <f>IF(Roster!$K$8=0,"",Roster!$K$8)</f>
        <v>5</v>
      </c>
      <c r="AV32" s="212"/>
      <c r="AW32" s="310"/>
      <c r="AX32" s="277"/>
      <c r="AY32" s="277"/>
      <c r="AZ32" s="277"/>
      <c r="BA32" s="277"/>
      <c r="BB32" s="277"/>
      <c r="BC32" s="277"/>
      <c r="BD32" s="277"/>
      <c r="BE32" s="277"/>
      <c r="BF32" s="277"/>
      <c r="BG32" s="311"/>
      <c r="BH32" s="207"/>
      <c r="BI32" s="2"/>
    </row>
    <row r="33" spans="1:61" ht="11.25" customHeight="1">
      <c r="A33" s="2"/>
      <c r="B33" s="211" t="str">
        <f>IF(Roster!$L$1=0,"",Roster!$L$1)</f>
        <v>AG</v>
      </c>
      <c r="C33" s="212"/>
      <c r="D33" s="310"/>
      <c r="E33" s="277"/>
      <c r="F33" s="277"/>
      <c r="G33" s="277"/>
      <c r="H33" s="277"/>
      <c r="I33" s="277"/>
      <c r="J33" s="277"/>
      <c r="K33" s="277"/>
      <c r="L33" s="277"/>
      <c r="M33" s="277"/>
      <c r="N33" s="311"/>
      <c r="O33" s="207"/>
      <c r="P33" s="2"/>
      <c r="Q33" s="211" t="str">
        <f>IF(Roster!$L$1=0,"",Roster!$L$1)</f>
        <v>AG</v>
      </c>
      <c r="R33" s="212"/>
      <c r="S33" s="310"/>
      <c r="T33" s="277"/>
      <c r="U33" s="277"/>
      <c r="V33" s="277"/>
      <c r="W33" s="277"/>
      <c r="X33" s="277"/>
      <c r="Y33" s="277"/>
      <c r="Z33" s="277"/>
      <c r="AA33" s="277"/>
      <c r="AB33" s="277"/>
      <c r="AC33" s="311"/>
      <c r="AD33" s="207"/>
      <c r="AE33" s="2"/>
      <c r="AF33" s="211" t="str">
        <f>IF(Roster!$L$1=0,"",Roster!$L$1)</f>
        <v>AG</v>
      </c>
      <c r="AG33" s="212"/>
      <c r="AH33" s="310"/>
      <c r="AI33" s="277"/>
      <c r="AJ33" s="277"/>
      <c r="AK33" s="277"/>
      <c r="AL33" s="277"/>
      <c r="AM33" s="277"/>
      <c r="AN33" s="277"/>
      <c r="AO33" s="277"/>
      <c r="AP33" s="277"/>
      <c r="AQ33" s="277"/>
      <c r="AR33" s="311"/>
      <c r="AS33" s="207"/>
      <c r="AT33" s="2"/>
      <c r="AU33" s="211" t="str">
        <f>IF(Roster!$L$1=0,"",Roster!$L$1)</f>
        <v>AG</v>
      </c>
      <c r="AV33" s="212"/>
      <c r="AW33" s="310"/>
      <c r="AX33" s="277"/>
      <c r="AY33" s="277"/>
      <c r="AZ33" s="277"/>
      <c r="BA33" s="277"/>
      <c r="BB33" s="277"/>
      <c r="BC33" s="277"/>
      <c r="BD33" s="277"/>
      <c r="BE33" s="277"/>
      <c r="BF33" s="277"/>
      <c r="BG33" s="311"/>
      <c r="BH33" s="207"/>
      <c r="BI33" s="2"/>
    </row>
    <row r="34" spans="1:61" ht="37.5" customHeight="1">
      <c r="A34" s="2"/>
      <c r="B34" s="214" t="str">
        <f>IF(Roster!$L$5=0&amp;"+","",Roster!$L$5)</f>
        <v>3+</v>
      </c>
      <c r="C34" s="212"/>
      <c r="D34" s="310"/>
      <c r="E34" s="277"/>
      <c r="F34" s="277"/>
      <c r="G34" s="277"/>
      <c r="H34" s="277"/>
      <c r="I34" s="277"/>
      <c r="J34" s="277"/>
      <c r="K34" s="277"/>
      <c r="L34" s="277"/>
      <c r="M34" s="277"/>
      <c r="N34" s="311"/>
      <c r="O34" s="207"/>
      <c r="P34" s="2"/>
      <c r="Q34" s="214" t="str">
        <f>IF(Roster!$L$6=0&amp;"+","",Roster!$L$6)</f>
        <v>3+</v>
      </c>
      <c r="R34" s="212"/>
      <c r="S34" s="310"/>
      <c r="T34" s="277"/>
      <c r="U34" s="277"/>
      <c r="V34" s="277"/>
      <c r="W34" s="277"/>
      <c r="X34" s="277"/>
      <c r="Y34" s="277"/>
      <c r="Z34" s="277"/>
      <c r="AA34" s="277"/>
      <c r="AB34" s="277"/>
      <c r="AC34" s="311"/>
      <c r="AD34" s="207"/>
      <c r="AE34" s="2"/>
      <c r="AF34" s="214" t="str">
        <f>IF(Roster!$L$7=0&amp;"+","",Roster!$L$7)</f>
        <v>3+</v>
      </c>
      <c r="AG34" s="212"/>
      <c r="AH34" s="310"/>
      <c r="AI34" s="277"/>
      <c r="AJ34" s="277"/>
      <c r="AK34" s="277"/>
      <c r="AL34" s="277"/>
      <c r="AM34" s="277"/>
      <c r="AN34" s="277"/>
      <c r="AO34" s="277"/>
      <c r="AP34" s="277"/>
      <c r="AQ34" s="277"/>
      <c r="AR34" s="311"/>
      <c r="AS34" s="207"/>
      <c r="AT34" s="2"/>
      <c r="AU34" s="214" t="str">
        <f>IF(Roster!$L$8=0&amp;"+","",Roster!$L$8)</f>
        <v>5+</v>
      </c>
      <c r="AV34" s="212"/>
      <c r="AW34" s="310"/>
      <c r="AX34" s="277"/>
      <c r="AY34" s="277"/>
      <c r="AZ34" s="277"/>
      <c r="BA34" s="277"/>
      <c r="BB34" s="277"/>
      <c r="BC34" s="277"/>
      <c r="BD34" s="277"/>
      <c r="BE34" s="277"/>
      <c r="BF34" s="277"/>
      <c r="BG34" s="311"/>
      <c r="BH34" s="207"/>
      <c r="BI34" s="2"/>
    </row>
    <row r="35" spans="1:61" ht="11.25" customHeight="1">
      <c r="A35" s="2"/>
      <c r="B35" s="211" t="str">
        <f>IF(Roster!$M$1=0,"",Roster!$M$1)</f>
        <v>PA</v>
      </c>
      <c r="C35" s="212"/>
      <c r="D35" s="310"/>
      <c r="E35" s="277"/>
      <c r="F35" s="277"/>
      <c r="G35" s="277"/>
      <c r="H35" s="277"/>
      <c r="I35" s="277"/>
      <c r="J35" s="277"/>
      <c r="K35" s="277"/>
      <c r="L35" s="277"/>
      <c r="M35" s="277"/>
      <c r="N35" s="311"/>
      <c r="O35" s="216"/>
      <c r="P35" s="2"/>
      <c r="Q35" s="211" t="str">
        <f>IF(Roster!$M$1=0,"",Roster!$M$1)</f>
        <v>PA</v>
      </c>
      <c r="R35" s="212"/>
      <c r="S35" s="310"/>
      <c r="T35" s="277"/>
      <c r="U35" s="277"/>
      <c r="V35" s="277"/>
      <c r="W35" s="277"/>
      <c r="X35" s="277"/>
      <c r="Y35" s="277"/>
      <c r="Z35" s="277"/>
      <c r="AA35" s="277"/>
      <c r="AB35" s="277"/>
      <c r="AC35" s="311"/>
      <c r="AD35" s="216"/>
      <c r="AE35" s="2"/>
      <c r="AF35" s="211" t="str">
        <f>IF(Roster!$M$1=0,"",Roster!$M$1)</f>
        <v>PA</v>
      </c>
      <c r="AG35" s="212"/>
      <c r="AH35" s="310"/>
      <c r="AI35" s="277"/>
      <c r="AJ35" s="277"/>
      <c r="AK35" s="277"/>
      <c r="AL35" s="277"/>
      <c r="AM35" s="277"/>
      <c r="AN35" s="277"/>
      <c r="AO35" s="277"/>
      <c r="AP35" s="277"/>
      <c r="AQ35" s="277"/>
      <c r="AR35" s="311"/>
      <c r="AS35" s="216"/>
      <c r="AT35" s="2"/>
      <c r="AU35" s="211" t="str">
        <f>IF(Roster!$M$1=0,"",Roster!$M$1)</f>
        <v>PA</v>
      </c>
      <c r="AV35" s="212"/>
      <c r="AW35" s="310"/>
      <c r="AX35" s="277"/>
      <c r="AY35" s="277"/>
      <c r="AZ35" s="277"/>
      <c r="BA35" s="277"/>
      <c r="BB35" s="277"/>
      <c r="BC35" s="277"/>
      <c r="BD35" s="277"/>
      <c r="BE35" s="277"/>
      <c r="BF35" s="277"/>
      <c r="BG35" s="311"/>
      <c r="BH35" s="216"/>
      <c r="BI35" s="2"/>
    </row>
    <row r="36" spans="1:61" ht="6" customHeight="1">
      <c r="A36" s="2"/>
      <c r="B36" s="401" t="str">
        <f>IF(Roster!$M$5=0&amp;"+","",Roster!$M$5)</f>
        <v>5+</v>
      </c>
      <c r="C36" s="212"/>
      <c r="D36" s="286"/>
      <c r="E36" s="287"/>
      <c r="F36" s="287"/>
      <c r="G36" s="287"/>
      <c r="H36" s="287"/>
      <c r="I36" s="287"/>
      <c r="J36" s="287"/>
      <c r="K36" s="287"/>
      <c r="L36" s="287"/>
      <c r="M36" s="287"/>
      <c r="N36" s="288"/>
      <c r="O36" s="218"/>
      <c r="P36" s="2"/>
      <c r="Q36" s="401" t="str">
        <f>IF(Roster!$M$6=0&amp;"+","",Roster!$M$6)</f>
        <v>5+</v>
      </c>
      <c r="R36" s="212"/>
      <c r="S36" s="286"/>
      <c r="T36" s="287"/>
      <c r="U36" s="287"/>
      <c r="V36" s="287"/>
      <c r="W36" s="287"/>
      <c r="X36" s="287"/>
      <c r="Y36" s="287"/>
      <c r="Z36" s="287"/>
      <c r="AA36" s="287"/>
      <c r="AB36" s="287"/>
      <c r="AC36" s="288"/>
      <c r="AD36" s="218"/>
      <c r="AE36" s="2"/>
      <c r="AF36" s="401" t="str">
        <f>IF(Roster!$M$7=0&amp;"+","",Roster!$M$7)</f>
        <v>5+</v>
      </c>
      <c r="AG36" s="212"/>
      <c r="AH36" s="286"/>
      <c r="AI36" s="287"/>
      <c r="AJ36" s="287"/>
      <c r="AK36" s="287"/>
      <c r="AL36" s="287"/>
      <c r="AM36" s="287"/>
      <c r="AN36" s="287"/>
      <c r="AO36" s="287"/>
      <c r="AP36" s="287"/>
      <c r="AQ36" s="287"/>
      <c r="AR36" s="288"/>
      <c r="AS36" s="218"/>
      <c r="AT36" s="2"/>
      <c r="AU36" s="401" t="str">
        <f>IF(Roster!$M$8=0&amp;"+","",Roster!$M$8)</f>
        <v/>
      </c>
      <c r="AV36" s="212"/>
      <c r="AW36" s="286"/>
      <c r="AX36" s="287"/>
      <c r="AY36" s="287"/>
      <c r="AZ36" s="287"/>
      <c r="BA36" s="287"/>
      <c r="BB36" s="287"/>
      <c r="BC36" s="287"/>
      <c r="BD36" s="287"/>
      <c r="BE36" s="287"/>
      <c r="BF36" s="287"/>
      <c r="BG36" s="288"/>
      <c r="BH36" s="218"/>
      <c r="BI36" s="2"/>
    </row>
    <row r="37" spans="1:61" ht="4.5" customHeight="1">
      <c r="A37" s="2"/>
      <c r="B37" s="402"/>
      <c r="C37" s="210"/>
      <c r="D37" s="219"/>
      <c r="E37" s="217"/>
      <c r="F37" s="219"/>
      <c r="G37" s="217"/>
      <c r="H37" s="219"/>
      <c r="I37" s="217"/>
      <c r="J37" s="219"/>
      <c r="K37" s="217"/>
      <c r="L37" s="219"/>
      <c r="M37" s="217"/>
      <c r="N37" s="219"/>
      <c r="O37" s="218"/>
      <c r="P37" s="2"/>
      <c r="Q37" s="402"/>
      <c r="R37" s="210"/>
      <c r="S37" s="219"/>
      <c r="T37" s="217"/>
      <c r="U37" s="219"/>
      <c r="V37" s="217"/>
      <c r="W37" s="219"/>
      <c r="X37" s="217"/>
      <c r="Y37" s="219"/>
      <c r="Z37" s="217"/>
      <c r="AA37" s="219"/>
      <c r="AB37" s="217"/>
      <c r="AC37" s="219"/>
      <c r="AD37" s="218"/>
      <c r="AE37" s="2"/>
      <c r="AF37" s="402"/>
      <c r="AG37" s="210"/>
      <c r="AH37" s="219"/>
      <c r="AI37" s="217"/>
      <c r="AJ37" s="219"/>
      <c r="AK37" s="217"/>
      <c r="AL37" s="219"/>
      <c r="AM37" s="217"/>
      <c r="AN37" s="219"/>
      <c r="AO37" s="217"/>
      <c r="AP37" s="219"/>
      <c r="AQ37" s="217"/>
      <c r="AR37" s="219"/>
      <c r="AS37" s="218"/>
      <c r="AT37" s="2"/>
      <c r="AU37" s="402"/>
      <c r="AV37" s="210"/>
      <c r="AW37" s="219"/>
      <c r="AX37" s="217"/>
      <c r="AY37" s="219"/>
      <c r="AZ37" s="217"/>
      <c r="BA37" s="219"/>
      <c r="BB37" s="217"/>
      <c r="BC37" s="219"/>
      <c r="BD37" s="217"/>
      <c r="BE37" s="219"/>
      <c r="BF37" s="217"/>
      <c r="BG37" s="219"/>
      <c r="BH37" s="218"/>
      <c r="BI37" s="2"/>
    </row>
    <row r="38" spans="1:61" ht="11.25" customHeight="1">
      <c r="A38" s="2"/>
      <c r="B38" s="402"/>
      <c r="C38" s="210"/>
      <c r="D38" s="220" t="str">
        <f>IF(Roster!$AC$1=0,"",Roster!$AC$1)</f>
        <v>TD</v>
      </c>
      <c r="E38" s="221"/>
      <c r="F38" s="220" t="str">
        <f>IF(Roster!$J$25="Español","HER",(IF(Roster!$J$25="Deutsch","VER",(IF(Roster!$J$25="Français","BLES","CAS")))))</f>
        <v>CAS</v>
      </c>
      <c r="G38" s="221"/>
      <c r="H38" s="220" t="str">
        <f>IF(Roster!$AF$1=0,"",Roster!$AF$1)</f>
        <v>BH</v>
      </c>
      <c r="I38" s="221"/>
      <c r="J38" s="220" t="str">
        <f>IF(Roster!$AG$1=0,"",Roster!$AG$1)</f>
        <v>SI</v>
      </c>
      <c r="K38" s="221"/>
      <c r="L38" s="220" t="str">
        <f>IF(Roster!$AH$1=0,"",Roster!$AH$1)</f>
        <v>KILL</v>
      </c>
      <c r="M38" s="221"/>
      <c r="N38" s="220" t="str">
        <f>IF(Roster!$AB$1=0,"",Roster!$AB$1)</f>
        <v>CP</v>
      </c>
      <c r="O38" s="218"/>
      <c r="P38" s="2"/>
      <c r="Q38" s="402"/>
      <c r="R38" s="210"/>
      <c r="S38" s="220" t="str">
        <f>IF(Roster!$AC$1=0,"",Roster!$AC$1)</f>
        <v>TD</v>
      </c>
      <c r="T38" s="221"/>
      <c r="U38" s="220" t="str">
        <f>IF(Roster!$J$25="Español","HER",(IF(Roster!$J$25="Deutsch","VER",(IF(Roster!$J$25="Français","BLES","CAS")))))</f>
        <v>CAS</v>
      </c>
      <c r="V38" s="221"/>
      <c r="W38" s="220" t="str">
        <f>IF(Roster!$AF$1=0,"",Roster!$AF$1)</f>
        <v>BH</v>
      </c>
      <c r="X38" s="221"/>
      <c r="Y38" s="220" t="str">
        <f>IF(Roster!$AG$1=0,"",Roster!$AG$1)</f>
        <v>SI</v>
      </c>
      <c r="Z38" s="221"/>
      <c r="AA38" s="220" t="str">
        <f>IF(Roster!$AH$1=0,"",Roster!$AH$1)</f>
        <v>KILL</v>
      </c>
      <c r="AB38" s="221"/>
      <c r="AC38" s="220" t="str">
        <f>IF(Roster!$AB$1=0,"",Roster!$AB$1)</f>
        <v>CP</v>
      </c>
      <c r="AD38" s="218"/>
      <c r="AE38" s="2"/>
      <c r="AF38" s="402"/>
      <c r="AG38" s="210"/>
      <c r="AH38" s="220" t="str">
        <f>IF(Roster!$AC$1=0,"",Roster!$AC$1)</f>
        <v>TD</v>
      </c>
      <c r="AI38" s="221"/>
      <c r="AJ38" s="220" t="str">
        <f>IF(Roster!$J$25="Español","HER",(IF(Roster!$J$25="Deutsch","VER",(IF(Roster!$J$25="Français","BLES","CAS")))))</f>
        <v>CAS</v>
      </c>
      <c r="AK38" s="221"/>
      <c r="AL38" s="220" t="str">
        <f>IF(Roster!$AF$1=0,"",Roster!$AF$1)</f>
        <v>BH</v>
      </c>
      <c r="AM38" s="221"/>
      <c r="AN38" s="220" t="str">
        <f>IF(Roster!$AG$1=0,"",Roster!$AG$1)</f>
        <v>SI</v>
      </c>
      <c r="AO38" s="221"/>
      <c r="AP38" s="220" t="str">
        <f>IF(Roster!$AH$1=0,"",Roster!$AH$1)</f>
        <v>KILL</v>
      </c>
      <c r="AQ38" s="221"/>
      <c r="AR38" s="220" t="str">
        <f>IF(Roster!$AB$1=0,"",Roster!$AB$1)</f>
        <v>CP</v>
      </c>
      <c r="AS38" s="218"/>
      <c r="AT38" s="2"/>
      <c r="AU38" s="402"/>
      <c r="AV38" s="210"/>
      <c r="AW38" s="220" t="str">
        <f>IF(Roster!$AC$1=0,"",Roster!$AC$1)</f>
        <v>TD</v>
      </c>
      <c r="AX38" s="221"/>
      <c r="AY38" s="220" t="str">
        <f>IF(Roster!$J$25="Español","HER",(IF(Roster!$J$25="Deutsch","VER",(IF(Roster!$J$25="Français","BLES","CAS")))))</f>
        <v>CAS</v>
      </c>
      <c r="AZ38" s="221"/>
      <c r="BA38" s="220" t="str">
        <f>IF(Roster!$AF$1=0,"",Roster!$AF$1)</f>
        <v>BH</v>
      </c>
      <c r="BB38" s="221"/>
      <c r="BC38" s="220" t="str">
        <f>IF(Roster!$AG$1=0,"",Roster!$AG$1)</f>
        <v>SI</v>
      </c>
      <c r="BD38" s="221"/>
      <c r="BE38" s="220" t="str">
        <f>IF(Roster!$AH$1=0,"",Roster!$AH$1)</f>
        <v>KILL</v>
      </c>
      <c r="BF38" s="221"/>
      <c r="BG38" s="220" t="str">
        <f>IF(Roster!$AB$1=0,"",Roster!$AB$1)</f>
        <v>CP</v>
      </c>
      <c r="BH38" s="218"/>
      <c r="BI38" s="2"/>
    </row>
    <row r="39" spans="1:61" ht="15" customHeight="1">
      <c r="A39" s="2"/>
      <c r="B39" s="402"/>
      <c r="C39" s="213"/>
      <c r="D39" s="222" t="str">
        <f>IF(Roster!$AC$5=0,"",Roster!$AC$5)</f>
        <v/>
      </c>
      <c r="E39" s="223"/>
      <c r="F39" s="222">
        <f>IF((SUM(H39,J39,L39))=0,"",(SUM(H39,J39,L39)))</f>
        <v>1</v>
      </c>
      <c r="G39" s="223"/>
      <c r="H39" s="222">
        <f>IF(Roster!$AF$5=0,"",Roster!$AF$5)</f>
        <v>1</v>
      </c>
      <c r="I39" s="223"/>
      <c r="J39" s="222" t="str">
        <f>IF(Roster!$AG$5=0,"",Roster!$AG$5)</f>
        <v/>
      </c>
      <c r="K39" s="223"/>
      <c r="L39" s="222" t="str">
        <f>IF(Roster!$AH$5=0,"",Roster!$AH$5)</f>
        <v/>
      </c>
      <c r="M39" s="223"/>
      <c r="N39" s="222" t="str">
        <f>IF(Roster!$AB$5=0,"",Roster!$AB$5)</f>
        <v/>
      </c>
      <c r="O39" s="218"/>
      <c r="P39" s="2"/>
      <c r="Q39" s="402"/>
      <c r="R39" s="213"/>
      <c r="S39" s="222" t="str">
        <f>IF(Roster!$AC$6=0,"",Roster!$AC$6)</f>
        <v/>
      </c>
      <c r="T39" s="223"/>
      <c r="U39" s="222" t="str">
        <f>IF((SUM(W39,Y39,AA39))=0,"",(SUM(W39,Y39,AA39)))</f>
        <v/>
      </c>
      <c r="V39" s="223"/>
      <c r="W39" s="222" t="str">
        <f>IF(Roster!$AF$6=0,"",Roster!$AF$6)</f>
        <v/>
      </c>
      <c r="X39" s="223"/>
      <c r="Y39" s="222" t="str">
        <f>IF(Roster!$AG$6=0,"",Roster!$AG$6)</f>
        <v/>
      </c>
      <c r="Z39" s="223"/>
      <c r="AA39" s="222" t="str">
        <f>IF(Roster!$AH$6=0,"",Roster!$AH$6)</f>
        <v/>
      </c>
      <c r="AB39" s="223"/>
      <c r="AC39" s="222" t="str">
        <f>IF(Roster!$AB$6=0,"",Roster!$AB$6)</f>
        <v/>
      </c>
      <c r="AD39" s="218"/>
      <c r="AE39" s="2"/>
      <c r="AF39" s="402"/>
      <c r="AG39" s="213"/>
      <c r="AH39" s="222" t="str">
        <f>IF(Roster!$AC$7=0,"",Roster!$AC$7)</f>
        <v/>
      </c>
      <c r="AI39" s="223"/>
      <c r="AJ39" s="222" t="str">
        <f>IF((SUM(AL39,AN39,AP39))=0,"",(SUM(AL39,AN39,AP39)))</f>
        <v/>
      </c>
      <c r="AK39" s="223"/>
      <c r="AL39" s="222" t="str">
        <f>IF(Roster!$AF$7=0,"",Roster!$AF$7)</f>
        <v/>
      </c>
      <c r="AM39" s="223"/>
      <c r="AN39" s="222" t="str">
        <f>IF(Roster!$AG$7=0,"",Roster!$AG$7)</f>
        <v/>
      </c>
      <c r="AO39" s="223"/>
      <c r="AP39" s="222" t="str">
        <f>IF(Roster!$AH$7=0,"",Roster!$AH$7)</f>
        <v/>
      </c>
      <c r="AQ39" s="223"/>
      <c r="AR39" s="222" t="str">
        <f>IF(Roster!$AB$7=0,"",Roster!$AB$7)</f>
        <v/>
      </c>
      <c r="AS39" s="218"/>
      <c r="AT39" s="2"/>
      <c r="AU39" s="402"/>
      <c r="AV39" s="213"/>
      <c r="AW39" s="222" t="str">
        <f>IF(Roster!$AC$8=0,"",Roster!$AC$8)</f>
        <v/>
      </c>
      <c r="AX39" s="223"/>
      <c r="AY39" s="222" t="str">
        <f>IF((SUM(BA39,BC39,BE39))=0,"",(SUM(BA39,BC39,BE39)))</f>
        <v/>
      </c>
      <c r="AZ39" s="223"/>
      <c r="BA39" s="222" t="str">
        <f>IF(Roster!$AF$8=0,"",Roster!$AF$8)</f>
        <v/>
      </c>
      <c r="BB39" s="223"/>
      <c r="BC39" s="222" t="str">
        <f>IF(Roster!$AG$8=0,"",Roster!$AG$8)</f>
        <v/>
      </c>
      <c r="BD39" s="223"/>
      <c r="BE39" s="222" t="str">
        <f>IF(Roster!$AH$8=0,"",Roster!$AH$8)</f>
        <v/>
      </c>
      <c r="BF39" s="223"/>
      <c r="BG39" s="222" t="str">
        <f>IF(Roster!$AB$8=0,"",Roster!$AB$8)</f>
        <v/>
      </c>
      <c r="BH39" s="218"/>
      <c r="BI39" s="2"/>
    </row>
    <row r="40" spans="1:61" ht="4.5" customHeight="1">
      <c r="A40" s="2"/>
      <c r="B40" s="307"/>
      <c r="C40" s="213"/>
      <c r="D40" s="45"/>
      <c r="E40" s="223"/>
      <c r="F40" s="45"/>
      <c r="G40" s="223"/>
      <c r="H40" s="45"/>
      <c r="I40" s="223"/>
      <c r="J40" s="45"/>
      <c r="K40" s="223"/>
      <c r="L40" s="45"/>
      <c r="M40" s="223"/>
      <c r="N40" s="45"/>
      <c r="O40" s="218"/>
      <c r="P40" s="2"/>
      <c r="Q40" s="307"/>
      <c r="R40" s="213"/>
      <c r="S40" s="45"/>
      <c r="T40" s="223"/>
      <c r="U40" s="45"/>
      <c r="V40" s="223"/>
      <c r="W40" s="45"/>
      <c r="X40" s="223"/>
      <c r="Y40" s="45"/>
      <c r="Z40" s="223"/>
      <c r="AA40" s="45"/>
      <c r="AB40" s="223"/>
      <c r="AC40" s="45"/>
      <c r="AD40" s="218"/>
      <c r="AE40" s="2"/>
      <c r="AF40" s="307"/>
      <c r="AG40" s="213"/>
      <c r="AH40" s="45"/>
      <c r="AI40" s="223"/>
      <c r="AJ40" s="45"/>
      <c r="AK40" s="223"/>
      <c r="AL40" s="45"/>
      <c r="AM40" s="223"/>
      <c r="AN40" s="45"/>
      <c r="AO40" s="223"/>
      <c r="AP40" s="45"/>
      <c r="AQ40" s="223"/>
      <c r="AR40" s="45"/>
      <c r="AS40" s="218"/>
      <c r="AT40" s="2"/>
      <c r="AU40" s="307"/>
      <c r="AV40" s="213"/>
      <c r="AW40" s="45"/>
      <c r="AX40" s="223"/>
      <c r="AY40" s="45"/>
      <c r="AZ40" s="223"/>
      <c r="BA40" s="45"/>
      <c r="BB40" s="223"/>
      <c r="BC40" s="45"/>
      <c r="BD40" s="223"/>
      <c r="BE40" s="45"/>
      <c r="BF40" s="223"/>
      <c r="BG40" s="45"/>
      <c r="BH40" s="218"/>
      <c r="BI40" s="2"/>
    </row>
    <row r="41" spans="1:61" ht="11.25" customHeight="1">
      <c r="A41" s="2"/>
      <c r="B41" s="211" t="str">
        <f>IF(Roster!$N$1=0,"",Roster!$N$1)</f>
        <v>AV</v>
      </c>
      <c r="C41" s="212"/>
      <c r="D41" s="220" t="str">
        <f>IF(Roster!$AD$1=0,"",Roster!$AD$1)</f>
        <v>DEF</v>
      </c>
      <c r="E41" s="224"/>
      <c r="F41" s="220" t="str">
        <f>IF(Roster!$AE$1=0,"",Roster!$AE$1)</f>
        <v>INT</v>
      </c>
      <c r="G41" s="224"/>
      <c r="H41" s="220" t="str">
        <f>IF(Roster!$AA$1=0,"",Roster!$AA$1)</f>
        <v>SPE</v>
      </c>
      <c r="I41" s="224"/>
      <c r="J41" s="220" t="str">
        <f>IF(Roster!$AI$1=0,"",Roster!$AI$1)</f>
        <v>MVP</v>
      </c>
      <c r="K41" s="224"/>
      <c r="L41" s="220" t="s">
        <v>392</v>
      </c>
      <c r="M41" s="224"/>
      <c r="N41" s="225" t="str">
        <f>IF(Roster!$J$25="Español","LPP/RT",(IF(Roster!$J$25="Deutsch","VNS/AD",(IF(Roster!$J$25="Français","RPM/RT","MNG/TR")))))</f>
        <v>MNG/TR</v>
      </c>
      <c r="O41" s="207"/>
      <c r="P41" s="2"/>
      <c r="Q41" s="211" t="str">
        <f>IF(Roster!$N$1=0,"",Roster!$N$1)</f>
        <v>AV</v>
      </c>
      <c r="R41" s="212"/>
      <c r="S41" s="220" t="str">
        <f>IF(Roster!$AD$1=0,"",Roster!$AD$1)</f>
        <v>DEF</v>
      </c>
      <c r="T41" s="224"/>
      <c r="U41" s="220" t="str">
        <f>IF(Roster!$AE$1=0,"",Roster!$AE$1)</f>
        <v>INT</v>
      </c>
      <c r="V41" s="224"/>
      <c r="W41" s="220" t="str">
        <f>IF(Roster!$AA$1=0,"",Roster!$AA$1)</f>
        <v>SPE</v>
      </c>
      <c r="X41" s="224"/>
      <c r="Y41" s="220" t="str">
        <f>IF(Roster!$AI$1=0,"",Roster!$AI$1)</f>
        <v>MVP</v>
      </c>
      <c r="Z41" s="224"/>
      <c r="AA41" s="220" t="s">
        <v>392</v>
      </c>
      <c r="AB41" s="224"/>
      <c r="AC41" s="225" t="str">
        <f>IF(Roster!$J$25="Español","LPP/RT",(IF(Roster!$J$25="Deutsch","VNS/AD",(IF(Roster!$J$25="Français","RPM/RT","MNG/TR")))))</f>
        <v>MNG/TR</v>
      </c>
      <c r="AD41" s="207"/>
      <c r="AE41" s="2"/>
      <c r="AF41" s="211" t="str">
        <f>IF(Roster!$N$1=0,"",Roster!$N$1)</f>
        <v>AV</v>
      </c>
      <c r="AG41" s="212"/>
      <c r="AH41" s="220" t="str">
        <f>IF(Roster!$AD$1=0,"",Roster!$AD$1)</f>
        <v>DEF</v>
      </c>
      <c r="AI41" s="224"/>
      <c r="AJ41" s="220" t="str">
        <f>IF(Roster!$AE$1=0,"",Roster!$AE$1)</f>
        <v>INT</v>
      </c>
      <c r="AK41" s="224"/>
      <c r="AL41" s="220" t="str">
        <f>IF(Roster!$AA$1=0,"",Roster!$AA$1)</f>
        <v>SPE</v>
      </c>
      <c r="AM41" s="224"/>
      <c r="AN41" s="220" t="str">
        <f>IF(Roster!$AI$1=0,"",Roster!$AI$1)</f>
        <v>MVP</v>
      </c>
      <c r="AO41" s="224"/>
      <c r="AP41" s="220" t="s">
        <v>392</v>
      </c>
      <c r="AQ41" s="224"/>
      <c r="AR41" s="225" t="str">
        <f>IF(Roster!$J$25="Español","LPP/RT",(IF(Roster!$J$25="Deutsch","VNS/AD",(IF(Roster!$J$25="Français","RPM/RT","MNG/TR")))))</f>
        <v>MNG/TR</v>
      </c>
      <c r="AS41" s="207"/>
      <c r="AT41" s="2"/>
      <c r="AU41" s="211" t="str">
        <f>IF(Roster!$N$1=0,"",Roster!$N$1)</f>
        <v>AV</v>
      </c>
      <c r="AV41" s="212"/>
      <c r="AW41" s="220" t="str">
        <f>IF(Roster!$AD$1=0,"",Roster!$AD$1)</f>
        <v>DEF</v>
      </c>
      <c r="AX41" s="224"/>
      <c r="AY41" s="220" t="str">
        <f>IF(Roster!$AE$1=0,"",Roster!$AE$1)</f>
        <v>INT</v>
      </c>
      <c r="AZ41" s="224"/>
      <c r="BA41" s="220" t="str">
        <f>IF(Roster!$AA$1=0,"",Roster!$AA$1)</f>
        <v>SPE</v>
      </c>
      <c r="BB41" s="224"/>
      <c r="BC41" s="220" t="str">
        <f>IF(Roster!$AI$1=0,"",Roster!$AI$1)</f>
        <v>MVP</v>
      </c>
      <c r="BD41" s="224"/>
      <c r="BE41" s="220" t="s">
        <v>392</v>
      </c>
      <c r="BF41" s="224"/>
      <c r="BG41" s="225" t="str">
        <f>IF(Roster!$J$25="Español","LPP/RT",(IF(Roster!$J$25="Deutsch","VNS/AD",(IF(Roster!$J$25="Français","RPM/RT","MNG/TR")))))</f>
        <v>MNG/TR</v>
      </c>
      <c r="BH41" s="207"/>
      <c r="BI41" s="2"/>
    </row>
    <row r="42" spans="1:61" ht="15" customHeight="1">
      <c r="A42" s="2"/>
      <c r="B42" s="401" t="str">
        <f>IF(Roster!$N$5=0&amp;"+","",Roster!$N$5)</f>
        <v>6+</v>
      </c>
      <c r="C42" s="213"/>
      <c r="D42" s="222" t="str">
        <f>IF(Roster!$AD$5=0,"",Roster!$AD$5)</f>
        <v/>
      </c>
      <c r="E42" s="223"/>
      <c r="F42" s="222" t="str">
        <f>IF(Roster!$AE$5=0,"",Roster!$AE$5)</f>
        <v/>
      </c>
      <c r="G42" s="223"/>
      <c r="H42" s="222" t="str">
        <f>IF(Roster!$AA$5=0,"",Roster!$AA$5)</f>
        <v/>
      </c>
      <c r="I42" s="223"/>
      <c r="J42" s="222" t="str">
        <f>IF(Roster!$AI$5=0,"",Roster!$AI$5)</f>
        <v/>
      </c>
      <c r="K42" s="223"/>
      <c r="L42" s="222">
        <f>IF(Roster!$AJ$5=0,"",Roster!$AJ$5)</f>
        <v>2</v>
      </c>
      <c r="M42" s="223"/>
      <c r="N42" s="222" t="str">
        <f>IF(Roster!$Z$5=0,"",Roster!$Z$5)</f>
        <v/>
      </c>
      <c r="O42" s="226"/>
      <c r="P42" s="2"/>
      <c r="Q42" s="401" t="str">
        <f>IF(Roster!$N$6=0&amp;"+","",Roster!$N$6)</f>
        <v>6+</v>
      </c>
      <c r="R42" s="213"/>
      <c r="S42" s="222" t="str">
        <f>IF(Roster!$AD$6=0,"",Roster!$AD$6)</f>
        <v/>
      </c>
      <c r="T42" s="223"/>
      <c r="U42" s="222" t="str">
        <f>IF(Roster!$AE$6=0,"",Roster!$AE$6)</f>
        <v/>
      </c>
      <c r="V42" s="223"/>
      <c r="W42" s="222" t="str">
        <f>IF(Roster!$AA$6=0,"",Roster!$AA$6)</f>
        <v/>
      </c>
      <c r="X42" s="223"/>
      <c r="Y42" s="222" t="str">
        <f>IF(Roster!$AI$6=0,"",Roster!$AI$6)</f>
        <v/>
      </c>
      <c r="Z42" s="223"/>
      <c r="AA42" s="222" t="str">
        <f>IF(Roster!$AJ$6=0,"",Roster!$AJ$6)</f>
        <v/>
      </c>
      <c r="AB42" s="223"/>
      <c r="AC42" s="222" t="str">
        <f>IF(Roster!$Z$6=0,"",Roster!$Z$6)</f>
        <v/>
      </c>
      <c r="AD42" s="226"/>
      <c r="AE42" s="2"/>
      <c r="AF42" s="401" t="str">
        <f>IF(Roster!$N$7=0&amp;"+","",Roster!$N$7)</f>
        <v>6+</v>
      </c>
      <c r="AG42" s="213"/>
      <c r="AH42" s="222" t="str">
        <f>IF(Roster!$AD$7=0,"",Roster!$AD$7)</f>
        <v/>
      </c>
      <c r="AI42" s="223"/>
      <c r="AJ42" s="222" t="str">
        <f>IF(Roster!$AE$7=0,"",Roster!$AE$7)</f>
        <v/>
      </c>
      <c r="AK42" s="223"/>
      <c r="AL42" s="222" t="str">
        <f>IF(Roster!$AA$7=0,"",Roster!$AA$7)</f>
        <v/>
      </c>
      <c r="AM42" s="223"/>
      <c r="AN42" s="222" t="str">
        <f>IF(Roster!$AI$7=0,"",Roster!$AI$7)</f>
        <v/>
      </c>
      <c r="AO42" s="223"/>
      <c r="AP42" s="222" t="str">
        <f>IF(Roster!$AJ$7=0,"",Roster!$AJ$7)</f>
        <v/>
      </c>
      <c r="AQ42" s="223"/>
      <c r="AR42" s="222" t="str">
        <f>IF(Roster!$Z$7=0,"",Roster!$Z$7)</f>
        <v/>
      </c>
      <c r="AS42" s="226"/>
      <c r="AT42" s="2"/>
      <c r="AU42" s="401" t="str">
        <f>IF(Roster!$N$8=0&amp;"+","",Roster!$N$8)</f>
        <v>9+</v>
      </c>
      <c r="AV42" s="213"/>
      <c r="AW42" s="222" t="str">
        <f>IF(Roster!$AD$8=0,"",Roster!$AD$8)</f>
        <v/>
      </c>
      <c r="AX42" s="223"/>
      <c r="AY42" s="222" t="str">
        <f>IF(Roster!$AE$8=0,"",Roster!$AE$8)</f>
        <v/>
      </c>
      <c r="AZ42" s="223"/>
      <c r="BA42" s="222" t="str">
        <f>IF(Roster!$AA$8=0,"",Roster!$AA$8)</f>
        <v/>
      </c>
      <c r="BB42" s="223"/>
      <c r="BC42" s="222" t="str">
        <f>IF(Roster!$AI$8=0,"",Roster!$AI$8)</f>
        <v/>
      </c>
      <c r="BD42" s="223"/>
      <c r="BE42" s="222" t="str">
        <f>IF(Roster!$AJ$8=0,"",Roster!$AJ$8)</f>
        <v/>
      </c>
      <c r="BF42" s="223"/>
      <c r="BG42" s="222" t="str">
        <f>IF(Roster!$Z$8=0,"",Roster!$Z$8)</f>
        <v/>
      </c>
      <c r="BH42" s="226"/>
      <c r="BI42" s="2"/>
    </row>
    <row r="43" spans="1:61" ht="4.5" customHeight="1">
      <c r="A43" s="2"/>
      <c r="B43" s="402"/>
      <c r="C43" s="213"/>
      <c r="D43" s="223"/>
      <c r="E43" s="223"/>
      <c r="F43" s="223"/>
      <c r="G43" s="223"/>
      <c r="H43" s="223"/>
      <c r="I43" s="223"/>
      <c r="J43" s="223"/>
      <c r="K43" s="223"/>
      <c r="L43" s="223"/>
      <c r="M43" s="223"/>
      <c r="N43" s="227"/>
      <c r="O43" s="226"/>
      <c r="P43" s="2"/>
      <c r="Q43" s="402"/>
      <c r="R43" s="213"/>
      <c r="S43" s="223"/>
      <c r="T43" s="223"/>
      <c r="U43" s="223"/>
      <c r="V43" s="223"/>
      <c r="W43" s="223"/>
      <c r="X43" s="223"/>
      <c r="Y43" s="223"/>
      <c r="Z43" s="223"/>
      <c r="AA43" s="223"/>
      <c r="AB43" s="223"/>
      <c r="AC43" s="227"/>
      <c r="AD43" s="226"/>
      <c r="AE43" s="2"/>
      <c r="AF43" s="402"/>
      <c r="AG43" s="213"/>
      <c r="AH43" s="223"/>
      <c r="AI43" s="223"/>
      <c r="AJ43" s="223"/>
      <c r="AK43" s="223"/>
      <c r="AL43" s="223"/>
      <c r="AM43" s="223"/>
      <c r="AN43" s="223"/>
      <c r="AO43" s="223"/>
      <c r="AP43" s="223"/>
      <c r="AQ43" s="223"/>
      <c r="AR43" s="227"/>
      <c r="AS43" s="226"/>
      <c r="AT43" s="2"/>
      <c r="AU43" s="402"/>
      <c r="AV43" s="213"/>
      <c r="AW43" s="223"/>
      <c r="AX43" s="223"/>
      <c r="AY43" s="223"/>
      <c r="AZ43" s="223"/>
      <c r="BA43" s="223"/>
      <c r="BB43" s="223"/>
      <c r="BC43" s="223"/>
      <c r="BD43" s="223"/>
      <c r="BE43" s="223"/>
      <c r="BF43" s="223"/>
      <c r="BG43" s="227"/>
      <c r="BH43" s="226"/>
      <c r="BI43" s="2"/>
    </row>
    <row r="44" spans="1:61" ht="11.25" customHeight="1">
      <c r="A44" s="2"/>
      <c r="B44" s="402"/>
      <c r="C44" s="213"/>
      <c r="D44" s="378" t="str">
        <f>IF(Roster!$J$25="Italiano","ABILITÀ &amp; TRATTI",(IF(Roster!$J$25="Español","HABILIDADES Y RASGOS","SKILLS &amp; TRAITS")))</f>
        <v>ABILITÀ &amp; TRATTI</v>
      </c>
      <c r="E44" s="313"/>
      <c r="F44" s="313"/>
      <c r="G44" s="313"/>
      <c r="H44" s="313"/>
      <c r="I44" s="313"/>
      <c r="J44" s="313"/>
      <c r="K44" s="313"/>
      <c r="L44" s="313"/>
      <c r="M44" s="313"/>
      <c r="N44" s="379"/>
      <c r="O44" s="226"/>
      <c r="P44" s="2"/>
      <c r="Q44" s="402"/>
      <c r="R44" s="213"/>
      <c r="S44" s="378" t="str">
        <f>IF(Roster!$J$25="Italiano","ABILITÀ &amp; TRATTI",(IF(Roster!$J$25="Español","HABILIDADES Y RASGOS","SKILLS &amp; TRAITS")))</f>
        <v>ABILITÀ &amp; TRATTI</v>
      </c>
      <c r="T44" s="313"/>
      <c r="U44" s="313"/>
      <c r="V44" s="313"/>
      <c r="W44" s="313"/>
      <c r="X44" s="313"/>
      <c r="Y44" s="313"/>
      <c r="Z44" s="313"/>
      <c r="AA44" s="313"/>
      <c r="AB44" s="313"/>
      <c r="AC44" s="379"/>
      <c r="AD44" s="226"/>
      <c r="AE44" s="2"/>
      <c r="AF44" s="402"/>
      <c r="AG44" s="213"/>
      <c r="AH44" s="378" t="str">
        <f>IF(Roster!$J$25="Italiano","ABILITÀ &amp; TRATTI",(IF(Roster!$J$25="Español","HABILIDADES Y RASGOS","SKILLS &amp; TRAITS")))</f>
        <v>ABILITÀ &amp; TRATTI</v>
      </c>
      <c r="AI44" s="313"/>
      <c r="AJ44" s="313"/>
      <c r="AK44" s="313"/>
      <c r="AL44" s="313"/>
      <c r="AM44" s="313"/>
      <c r="AN44" s="313"/>
      <c r="AO44" s="313"/>
      <c r="AP44" s="313"/>
      <c r="AQ44" s="313"/>
      <c r="AR44" s="379"/>
      <c r="AS44" s="226"/>
      <c r="AT44" s="2"/>
      <c r="AU44" s="402"/>
      <c r="AV44" s="213"/>
      <c r="AW44" s="378" t="str">
        <f>IF(Roster!$J$25="Italiano","ABILITÀ &amp; TRATTI",(IF(Roster!$J$25="Español","HABILIDADES Y RASGOS","SKILLS &amp; TRAITS")))</f>
        <v>ABILITÀ &amp; TRATTI</v>
      </c>
      <c r="AX44" s="313"/>
      <c r="AY44" s="313"/>
      <c r="AZ44" s="313"/>
      <c r="BA44" s="313"/>
      <c r="BB44" s="313"/>
      <c r="BC44" s="313"/>
      <c r="BD44" s="313"/>
      <c r="BE44" s="313"/>
      <c r="BF44" s="313"/>
      <c r="BG44" s="379"/>
      <c r="BH44" s="226"/>
      <c r="BI44" s="2"/>
    </row>
    <row r="45" spans="1:61" ht="6.75" customHeight="1">
      <c r="A45" s="2"/>
      <c r="B45" s="307"/>
      <c r="C45" s="213"/>
      <c r="D45" s="392" t="str">
        <f>IF(Roster!$O$5=0&amp;AQ56,"",Roster!$O$5)</f>
        <v>Dodge, Pogo Stick, Right Stuff, Side Step, Stunty</v>
      </c>
      <c r="E45" s="356"/>
      <c r="F45" s="356"/>
      <c r="G45" s="356"/>
      <c r="H45" s="356"/>
      <c r="I45" s="356"/>
      <c r="J45" s="356"/>
      <c r="K45" s="356"/>
      <c r="L45" s="356"/>
      <c r="M45" s="356"/>
      <c r="N45" s="381"/>
      <c r="O45" s="226"/>
      <c r="P45" s="2"/>
      <c r="Q45" s="307"/>
      <c r="R45" s="213"/>
      <c r="S45" s="392" t="str">
        <f>IF(Roster!$O$6=0&amp;BF66,"",Roster!$O$6)</f>
        <v>Dodge, Right Stuff, Side Step, Sprint, Stunty</v>
      </c>
      <c r="T45" s="356"/>
      <c r="U45" s="356"/>
      <c r="V45" s="356"/>
      <c r="W45" s="356"/>
      <c r="X45" s="356"/>
      <c r="Y45" s="356"/>
      <c r="Z45" s="356"/>
      <c r="AA45" s="356"/>
      <c r="AB45" s="356"/>
      <c r="AC45" s="381"/>
      <c r="AD45" s="226"/>
      <c r="AE45" s="2"/>
      <c r="AF45" s="307"/>
      <c r="AG45" s="213"/>
      <c r="AH45" s="392" t="str">
        <f>IF(Roster!$O$7=0&amp;BU76,"",Roster!$O$7)</f>
        <v>Dodge, Right Stuff, Side Step, Sprint, Stunty</v>
      </c>
      <c r="AI45" s="356"/>
      <c r="AJ45" s="356"/>
      <c r="AK45" s="356"/>
      <c r="AL45" s="356"/>
      <c r="AM45" s="356"/>
      <c r="AN45" s="356"/>
      <c r="AO45" s="356"/>
      <c r="AP45" s="356"/>
      <c r="AQ45" s="356"/>
      <c r="AR45" s="381"/>
      <c r="AS45" s="226"/>
      <c r="AT45" s="2"/>
      <c r="AU45" s="307"/>
      <c r="AV45" s="213"/>
      <c r="AW45" s="392" t="str">
        <f>IF(Roster!$O$8=0&amp;CJ86,"",Roster!$O$8)</f>
        <v>Dirty Player (+1), Juggernaut, Mighty Blow (+1), Really Stupid, Secret Weapon, Stand Firm</v>
      </c>
      <c r="AX45" s="356"/>
      <c r="AY45" s="356"/>
      <c r="AZ45" s="356"/>
      <c r="BA45" s="356"/>
      <c r="BB45" s="356"/>
      <c r="BC45" s="356"/>
      <c r="BD45" s="356"/>
      <c r="BE45" s="356"/>
      <c r="BF45" s="356"/>
      <c r="BG45" s="381"/>
      <c r="BH45" s="226"/>
      <c r="BI45" s="2"/>
    </row>
    <row r="46" spans="1:61" ht="11.25" customHeight="1">
      <c r="A46" s="2"/>
      <c r="B46" s="211" t="str">
        <f>IF(Roster!$AN$1=0,"",Roster!$AN$1)</f>
        <v>COSTO</v>
      </c>
      <c r="C46" s="212"/>
      <c r="D46" s="310"/>
      <c r="E46" s="277"/>
      <c r="F46" s="277"/>
      <c r="G46" s="277"/>
      <c r="H46" s="277"/>
      <c r="I46" s="277"/>
      <c r="J46" s="277"/>
      <c r="K46" s="277"/>
      <c r="L46" s="277"/>
      <c r="M46" s="277"/>
      <c r="N46" s="311"/>
      <c r="O46" s="230"/>
      <c r="P46" s="2"/>
      <c r="Q46" s="211" t="str">
        <f>IF(Roster!$AN$1=0,"",Roster!$AN$1)</f>
        <v>COSTO</v>
      </c>
      <c r="R46" s="212"/>
      <c r="S46" s="310"/>
      <c r="T46" s="277"/>
      <c r="U46" s="277"/>
      <c r="V46" s="277"/>
      <c r="W46" s="277"/>
      <c r="X46" s="277"/>
      <c r="Y46" s="277"/>
      <c r="Z46" s="277"/>
      <c r="AA46" s="277"/>
      <c r="AB46" s="277"/>
      <c r="AC46" s="311"/>
      <c r="AD46" s="230"/>
      <c r="AE46" s="2"/>
      <c r="AF46" s="211" t="str">
        <f>IF(Roster!$AN$1=0,"",Roster!$AN$1)</f>
        <v>COSTO</v>
      </c>
      <c r="AG46" s="212"/>
      <c r="AH46" s="310"/>
      <c r="AI46" s="277"/>
      <c r="AJ46" s="277"/>
      <c r="AK46" s="277"/>
      <c r="AL46" s="277"/>
      <c r="AM46" s="277"/>
      <c r="AN46" s="277"/>
      <c r="AO46" s="277"/>
      <c r="AP46" s="277"/>
      <c r="AQ46" s="277"/>
      <c r="AR46" s="311"/>
      <c r="AS46" s="230"/>
      <c r="AT46" s="2"/>
      <c r="AU46" s="211" t="str">
        <f>IF(Roster!$AN$1=0,"",Roster!$AN$1)</f>
        <v>COSTO</v>
      </c>
      <c r="AV46" s="212"/>
      <c r="AW46" s="310"/>
      <c r="AX46" s="277"/>
      <c r="AY46" s="277"/>
      <c r="AZ46" s="277"/>
      <c r="BA46" s="277"/>
      <c r="BB46" s="277"/>
      <c r="BC46" s="277"/>
      <c r="BD46" s="277"/>
      <c r="BE46" s="277"/>
      <c r="BF46" s="277"/>
      <c r="BG46" s="311"/>
      <c r="BH46" s="230"/>
      <c r="BI46" s="2"/>
    </row>
    <row r="47" spans="1:61" ht="34.5" customHeight="1">
      <c r="A47" s="2"/>
      <c r="B47" s="232">
        <f>IF(Roster!$AN$5=0,"",Roster!$AN$5)</f>
        <v>20000</v>
      </c>
      <c r="C47" s="233"/>
      <c r="D47" s="286"/>
      <c r="E47" s="287"/>
      <c r="F47" s="287"/>
      <c r="G47" s="287"/>
      <c r="H47" s="287"/>
      <c r="I47" s="287"/>
      <c r="J47" s="287"/>
      <c r="K47" s="287"/>
      <c r="L47" s="287"/>
      <c r="M47" s="287"/>
      <c r="N47" s="288"/>
      <c r="O47" s="230"/>
      <c r="P47" s="2"/>
      <c r="Q47" s="232">
        <f>IF(Roster!$AN$6=0,"",Roster!$AN$6)</f>
        <v>20000</v>
      </c>
      <c r="R47" s="233"/>
      <c r="S47" s="286"/>
      <c r="T47" s="287"/>
      <c r="U47" s="287"/>
      <c r="V47" s="287"/>
      <c r="W47" s="287"/>
      <c r="X47" s="287"/>
      <c r="Y47" s="287"/>
      <c r="Z47" s="287"/>
      <c r="AA47" s="287"/>
      <c r="AB47" s="287"/>
      <c r="AC47" s="288"/>
      <c r="AD47" s="230"/>
      <c r="AE47" s="2"/>
      <c r="AF47" s="232">
        <f>IF(Roster!$AN$7=0,"",Roster!$AN$7)</f>
        <v>20000</v>
      </c>
      <c r="AG47" s="233"/>
      <c r="AH47" s="286"/>
      <c r="AI47" s="287"/>
      <c r="AJ47" s="287"/>
      <c r="AK47" s="287"/>
      <c r="AL47" s="287"/>
      <c r="AM47" s="287"/>
      <c r="AN47" s="287"/>
      <c r="AO47" s="287"/>
      <c r="AP47" s="287"/>
      <c r="AQ47" s="287"/>
      <c r="AR47" s="288"/>
      <c r="AS47" s="230"/>
      <c r="AT47" s="2"/>
      <c r="AU47" s="232">
        <f>IF(Roster!$AN$8=0,"",Roster!$AN$8)</f>
        <v>105000</v>
      </c>
      <c r="AV47" s="233"/>
      <c r="AW47" s="286"/>
      <c r="AX47" s="287"/>
      <c r="AY47" s="287"/>
      <c r="AZ47" s="287"/>
      <c r="BA47" s="287"/>
      <c r="BB47" s="287"/>
      <c r="BC47" s="287"/>
      <c r="BD47" s="287"/>
      <c r="BE47" s="287"/>
      <c r="BF47" s="287"/>
      <c r="BG47" s="288"/>
      <c r="BH47" s="230"/>
      <c r="BI47" s="2"/>
    </row>
    <row r="48" spans="1:61" ht="4.5" customHeight="1">
      <c r="A48" s="2"/>
      <c r="B48" s="385"/>
      <c r="C48" s="252"/>
      <c r="D48" s="252"/>
      <c r="E48" s="252"/>
      <c r="F48" s="252"/>
      <c r="G48" s="252"/>
      <c r="H48" s="252"/>
      <c r="I48" s="252"/>
      <c r="J48" s="252"/>
      <c r="K48" s="252"/>
      <c r="L48" s="252"/>
      <c r="M48" s="252"/>
      <c r="N48" s="253"/>
      <c r="O48" s="234"/>
      <c r="P48" s="2"/>
      <c r="Q48" s="385"/>
      <c r="R48" s="252"/>
      <c r="S48" s="252"/>
      <c r="T48" s="252"/>
      <c r="U48" s="252"/>
      <c r="V48" s="252"/>
      <c r="W48" s="252"/>
      <c r="X48" s="252"/>
      <c r="Y48" s="252"/>
      <c r="Z48" s="252"/>
      <c r="AA48" s="252"/>
      <c r="AB48" s="252"/>
      <c r="AC48" s="253"/>
      <c r="AD48" s="234"/>
      <c r="AE48" s="2"/>
      <c r="AF48" s="385"/>
      <c r="AG48" s="252"/>
      <c r="AH48" s="252"/>
      <c r="AI48" s="252"/>
      <c r="AJ48" s="252"/>
      <c r="AK48" s="252"/>
      <c r="AL48" s="252"/>
      <c r="AM48" s="252"/>
      <c r="AN48" s="252"/>
      <c r="AO48" s="252"/>
      <c r="AP48" s="252"/>
      <c r="AQ48" s="252"/>
      <c r="AR48" s="253"/>
      <c r="AS48" s="234"/>
      <c r="AT48" s="2"/>
      <c r="AU48" s="385"/>
      <c r="AV48" s="252"/>
      <c r="AW48" s="252"/>
      <c r="AX48" s="252"/>
      <c r="AY48" s="252"/>
      <c r="AZ48" s="252"/>
      <c r="BA48" s="252"/>
      <c r="BB48" s="252"/>
      <c r="BC48" s="252"/>
      <c r="BD48" s="252"/>
      <c r="BE48" s="252"/>
      <c r="BF48" s="252"/>
      <c r="BG48" s="253"/>
      <c r="BH48" s="234"/>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393" t="str">
        <f>IF(Roster!$A$9=0,"","#"&amp;Roster!$A$9)</f>
        <v>#8</v>
      </c>
      <c r="C50" s="205"/>
      <c r="D50" s="205"/>
      <c r="E50" s="205"/>
      <c r="F50" s="205"/>
      <c r="G50" s="205"/>
      <c r="H50" s="205"/>
      <c r="I50" s="205"/>
      <c r="J50" s="205"/>
      <c r="K50" s="205"/>
      <c r="L50" s="205"/>
      <c r="M50" s="205"/>
      <c r="N50" s="205"/>
      <c r="O50" s="206"/>
      <c r="P50" s="2"/>
      <c r="Q50" s="393" t="str">
        <f>IF(Roster!$A$10=0,"","#"&amp;Roster!$A$10)</f>
        <v>#9</v>
      </c>
      <c r="R50" s="205"/>
      <c r="S50" s="205"/>
      <c r="T50" s="205"/>
      <c r="U50" s="205"/>
      <c r="V50" s="205"/>
      <c r="W50" s="205"/>
      <c r="X50" s="205"/>
      <c r="Y50" s="205"/>
      <c r="Z50" s="205"/>
      <c r="AA50" s="205"/>
      <c r="AB50" s="205"/>
      <c r="AC50" s="205"/>
      <c r="AD50" s="206"/>
      <c r="AE50" s="2"/>
      <c r="AF50" s="393" t="str">
        <f>IF(Roster!$A$11=0,"","#"&amp;Roster!$A$11)</f>
        <v>#10</v>
      </c>
      <c r="AG50" s="205"/>
      <c r="AH50" s="205"/>
      <c r="AI50" s="205"/>
      <c r="AJ50" s="205"/>
      <c r="AK50" s="205"/>
      <c r="AL50" s="205"/>
      <c r="AM50" s="205"/>
      <c r="AN50" s="205"/>
      <c r="AO50" s="205"/>
      <c r="AP50" s="205"/>
      <c r="AQ50" s="205"/>
      <c r="AR50" s="205"/>
      <c r="AS50" s="206"/>
      <c r="AT50" s="2"/>
      <c r="AU50" s="393" t="str">
        <f>IF(Roster!$A$12=0,"","#"&amp;Roster!$A$12)</f>
        <v>#11</v>
      </c>
      <c r="AV50" s="205"/>
      <c r="AW50" s="205"/>
      <c r="AX50" s="205"/>
      <c r="AY50" s="205"/>
      <c r="AZ50" s="205"/>
      <c r="BA50" s="205"/>
      <c r="BB50" s="205"/>
      <c r="BC50" s="205"/>
      <c r="BD50" s="205"/>
      <c r="BE50" s="205"/>
      <c r="BF50" s="205"/>
      <c r="BG50" s="205"/>
      <c r="BH50" s="206"/>
      <c r="BI50" s="2"/>
    </row>
    <row r="51" spans="1:61" ht="15" customHeight="1">
      <c r="A51" s="2"/>
      <c r="B51" s="394"/>
      <c r="C51" s="396" t="str">
        <f>IF(Roster!$B$9=0,"",Roster!$B$9)</f>
        <v>Ultramegabloodcutter</v>
      </c>
      <c r="D51" s="243"/>
      <c r="E51" s="243"/>
      <c r="F51" s="243"/>
      <c r="G51" s="243"/>
      <c r="H51" s="243"/>
      <c r="I51" s="243"/>
      <c r="J51" s="243"/>
      <c r="K51" s="243"/>
      <c r="L51" s="243"/>
      <c r="M51" s="243"/>
      <c r="N51" s="244"/>
      <c r="O51" s="207"/>
      <c r="P51" s="2"/>
      <c r="Q51" s="394"/>
      <c r="R51" s="396" t="str">
        <f>IF(Roster!$B$10=0,"",Roster!$B$10)</f>
        <v>Boh</v>
      </c>
      <c r="S51" s="243"/>
      <c r="T51" s="243"/>
      <c r="U51" s="243"/>
      <c r="V51" s="243"/>
      <c r="W51" s="243"/>
      <c r="X51" s="243"/>
      <c r="Y51" s="243"/>
      <c r="Z51" s="243"/>
      <c r="AA51" s="243"/>
      <c r="AB51" s="243"/>
      <c r="AC51" s="244"/>
      <c r="AD51" s="207"/>
      <c r="AE51" s="2"/>
      <c r="AF51" s="394"/>
      <c r="AG51" s="396" t="str">
        <f>IF(Roster!$B$11=0,"",Roster!$B$11)</f>
        <v>Embè</v>
      </c>
      <c r="AH51" s="243"/>
      <c r="AI51" s="243"/>
      <c r="AJ51" s="243"/>
      <c r="AK51" s="243"/>
      <c r="AL51" s="243"/>
      <c r="AM51" s="243"/>
      <c r="AN51" s="243"/>
      <c r="AO51" s="243"/>
      <c r="AP51" s="243"/>
      <c r="AQ51" s="243"/>
      <c r="AR51" s="244"/>
      <c r="AS51" s="207"/>
      <c r="AT51" s="2"/>
      <c r="AU51" s="394"/>
      <c r="AV51" s="396" t="str">
        <f>IF(Roster!$B$12=0,"",Roster!$B$12)</f>
        <v>Gulp</v>
      </c>
      <c r="AW51" s="243"/>
      <c r="AX51" s="243"/>
      <c r="AY51" s="243"/>
      <c r="AZ51" s="243"/>
      <c r="BA51" s="243"/>
      <c r="BB51" s="243"/>
      <c r="BC51" s="243"/>
      <c r="BD51" s="243"/>
      <c r="BE51" s="243"/>
      <c r="BF51" s="243"/>
      <c r="BG51" s="244"/>
      <c r="BH51" s="207"/>
      <c r="BI51" s="2"/>
    </row>
    <row r="52" spans="1:61" ht="11.25" customHeight="1">
      <c r="A52" s="2"/>
      <c r="B52" s="395"/>
      <c r="C52" s="386" t="str">
        <f>IF(Roster!$C$9=0,"",Roster!$C$9)</f>
        <v>Pump Wagon</v>
      </c>
      <c r="D52" s="243"/>
      <c r="E52" s="243"/>
      <c r="F52" s="243"/>
      <c r="G52" s="243"/>
      <c r="H52" s="243"/>
      <c r="I52" s="243"/>
      <c r="J52" s="243"/>
      <c r="K52" s="243"/>
      <c r="L52" s="243"/>
      <c r="M52" s="243"/>
      <c r="N52" s="244"/>
      <c r="O52" s="208"/>
      <c r="P52" s="2"/>
      <c r="Q52" s="395"/>
      <c r="R52" s="386" t="str">
        <f>IF(Roster!$C$10=0,"",Roster!$C$10)</f>
        <v>Trained Troll</v>
      </c>
      <c r="S52" s="243"/>
      <c r="T52" s="243"/>
      <c r="U52" s="243"/>
      <c r="V52" s="243"/>
      <c r="W52" s="243"/>
      <c r="X52" s="243"/>
      <c r="Y52" s="243"/>
      <c r="Z52" s="243"/>
      <c r="AA52" s="243"/>
      <c r="AB52" s="243"/>
      <c r="AC52" s="244"/>
      <c r="AD52" s="208"/>
      <c r="AE52" s="2"/>
      <c r="AF52" s="395"/>
      <c r="AG52" s="386" t="str">
        <f>IF(Roster!$C$11=0,"",Roster!$C$11)</f>
        <v>Trained Troll</v>
      </c>
      <c r="AH52" s="243"/>
      <c r="AI52" s="243"/>
      <c r="AJ52" s="243"/>
      <c r="AK52" s="243"/>
      <c r="AL52" s="243"/>
      <c r="AM52" s="243"/>
      <c r="AN52" s="243"/>
      <c r="AO52" s="243"/>
      <c r="AP52" s="243"/>
      <c r="AQ52" s="243"/>
      <c r="AR52" s="244"/>
      <c r="AS52" s="208"/>
      <c r="AT52" s="2"/>
      <c r="AU52" s="395"/>
      <c r="AV52" s="386" t="str">
        <f>IF(Roster!$C$12=0,"",Roster!$C$12)</f>
        <v>Snotling</v>
      </c>
      <c r="AW52" s="243"/>
      <c r="AX52" s="243"/>
      <c r="AY52" s="243"/>
      <c r="AZ52" s="243"/>
      <c r="BA52" s="243"/>
      <c r="BB52" s="243"/>
      <c r="BC52" s="243"/>
      <c r="BD52" s="243"/>
      <c r="BE52" s="243"/>
      <c r="BF52" s="243"/>
      <c r="BG52" s="244"/>
      <c r="BH52" s="208"/>
      <c r="BI52" s="2"/>
    </row>
    <row r="53" spans="1:61" ht="11.25" customHeight="1">
      <c r="A53" s="2"/>
      <c r="B53" s="211" t="str">
        <f>IF(Roster!$J$1=0,"",Roster!$J$1)</f>
        <v>MA</v>
      </c>
      <c r="C53" s="212"/>
      <c r="D53" s="212"/>
      <c r="E53" s="212"/>
      <c r="F53" s="212"/>
      <c r="G53" s="212"/>
      <c r="H53" s="212"/>
      <c r="I53" s="212"/>
      <c r="J53" s="212"/>
      <c r="K53" s="212"/>
      <c r="L53" s="212"/>
      <c r="M53" s="212"/>
      <c r="N53" s="212"/>
      <c r="O53" s="207"/>
      <c r="P53" s="2"/>
      <c r="Q53" s="211" t="str">
        <f>IF(Roster!$J$1=0,"",Roster!$J$1)</f>
        <v>MA</v>
      </c>
      <c r="R53" s="212"/>
      <c r="S53" s="212"/>
      <c r="T53" s="212"/>
      <c r="U53" s="212"/>
      <c r="V53" s="212"/>
      <c r="W53" s="212"/>
      <c r="X53" s="212"/>
      <c r="Y53" s="212"/>
      <c r="Z53" s="212"/>
      <c r="AA53" s="212"/>
      <c r="AB53" s="212"/>
      <c r="AC53" s="212"/>
      <c r="AD53" s="207"/>
      <c r="AE53" s="2"/>
      <c r="AF53" s="211" t="str">
        <f>IF(Roster!$J$1=0,"",Roster!$J$1)</f>
        <v>MA</v>
      </c>
      <c r="AG53" s="212"/>
      <c r="AH53" s="212"/>
      <c r="AI53" s="212"/>
      <c r="AJ53" s="212"/>
      <c r="AK53" s="212"/>
      <c r="AL53" s="212"/>
      <c r="AM53" s="212"/>
      <c r="AN53" s="212"/>
      <c r="AO53" s="212"/>
      <c r="AP53" s="212"/>
      <c r="AQ53" s="212"/>
      <c r="AR53" s="212"/>
      <c r="AS53" s="207"/>
      <c r="AT53" s="2"/>
      <c r="AU53" s="211" t="str">
        <f>IF(Roster!$J$1=0,"",Roster!$J$1)</f>
        <v>MA</v>
      </c>
      <c r="AV53" s="212"/>
      <c r="AW53" s="212"/>
      <c r="AX53" s="212"/>
      <c r="AY53" s="212"/>
      <c r="AZ53" s="212"/>
      <c r="BA53" s="212"/>
      <c r="BB53" s="212"/>
      <c r="BC53" s="212"/>
      <c r="BD53" s="212"/>
      <c r="BE53" s="212"/>
      <c r="BF53" s="212"/>
      <c r="BG53" s="212"/>
      <c r="BH53" s="207"/>
      <c r="BI53" s="2"/>
    </row>
    <row r="54" spans="1:61" ht="37.5" customHeight="1">
      <c r="A54" s="2"/>
      <c r="B54" s="214">
        <f>IF(Roster!$J$9=0,"",Roster!$J$9)</f>
        <v>4</v>
      </c>
      <c r="C54" s="212"/>
      <c r="D54" s="397"/>
      <c r="E54" s="284"/>
      <c r="F54" s="284"/>
      <c r="G54" s="284"/>
      <c r="H54" s="284"/>
      <c r="I54" s="284"/>
      <c r="J54" s="284"/>
      <c r="K54" s="284"/>
      <c r="L54" s="284"/>
      <c r="M54" s="284"/>
      <c r="N54" s="285"/>
      <c r="O54" s="207"/>
      <c r="P54" s="2"/>
      <c r="Q54" s="214">
        <f>IF(Roster!$J$10=0,"",Roster!$J$10)</f>
        <v>4</v>
      </c>
      <c r="R54" s="212"/>
      <c r="S54" s="397"/>
      <c r="T54" s="284"/>
      <c r="U54" s="284"/>
      <c r="V54" s="284"/>
      <c r="W54" s="284"/>
      <c r="X54" s="284"/>
      <c r="Y54" s="284"/>
      <c r="Z54" s="284"/>
      <c r="AA54" s="284"/>
      <c r="AB54" s="284"/>
      <c r="AC54" s="285"/>
      <c r="AD54" s="207"/>
      <c r="AE54" s="2"/>
      <c r="AF54" s="214">
        <f>IF(Roster!$J$11=0,"",Roster!$J$11)</f>
        <v>4</v>
      </c>
      <c r="AG54" s="212"/>
      <c r="AH54" s="397"/>
      <c r="AI54" s="284"/>
      <c r="AJ54" s="284"/>
      <c r="AK54" s="284"/>
      <c r="AL54" s="284"/>
      <c r="AM54" s="284"/>
      <c r="AN54" s="284"/>
      <c r="AO54" s="284"/>
      <c r="AP54" s="284"/>
      <c r="AQ54" s="284"/>
      <c r="AR54" s="285"/>
      <c r="AS54" s="207"/>
      <c r="AT54" s="2"/>
      <c r="AU54" s="214">
        <f>IF(Roster!$J$12=0,"",Roster!$J$12)</f>
        <v>5</v>
      </c>
      <c r="AV54" s="212"/>
      <c r="AW54" s="397"/>
      <c r="AX54" s="284"/>
      <c r="AY54" s="284"/>
      <c r="AZ54" s="284"/>
      <c r="BA54" s="284"/>
      <c r="BB54" s="284"/>
      <c r="BC54" s="284"/>
      <c r="BD54" s="284"/>
      <c r="BE54" s="284"/>
      <c r="BF54" s="284"/>
      <c r="BG54" s="285"/>
      <c r="BH54" s="207"/>
      <c r="BI54" s="2"/>
    </row>
    <row r="55" spans="1:61" ht="11.25" customHeight="1">
      <c r="A55" s="2"/>
      <c r="B55" s="211" t="str">
        <f>IF(Roster!$K$1=0,"",Roster!$K$1)</f>
        <v>ST</v>
      </c>
      <c r="C55" s="212"/>
      <c r="D55" s="310"/>
      <c r="E55" s="277"/>
      <c r="F55" s="277"/>
      <c r="G55" s="277"/>
      <c r="H55" s="277"/>
      <c r="I55" s="277"/>
      <c r="J55" s="277"/>
      <c r="K55" s="277"/>
      <c r="L55" s="277"/>
      <c r="M55" s="277"/>
      <c r="N55" s="311"/>
      <c r="O55" s="207"/>
      <c r="P55" s="2"/>
      <c r="Q55" s="211" t="str">
        <f>IF(Roster!$K$1=0,"",Roster!$K$1)</f>
        <v>ST</v>
      </c>
      <c r="R55" s="212"/>
      <c r="S55" s="310"/>
      <c r="T55" s="277"/>
      <c r="U55" s="277"/>
      <c r="V55" s="277"/>
      <c r="W55" s="277"/>
      <c r="X55" s="277"/>
      <c r="Y55" s="277"/>
      <c r="Z55" s="277"/>
      <c r="AA55" s="277"/>
      <c r="AB55" s="277"/>
      <c r="AC55" s="311"/>
      <c r="AD55" s="207"/>
      <c r="AE55" s="2"/>
      <c r="AF55" s="211" t="str">
        <f>IF(Roster!$K$1=0,"",Roster!$K$1)</f>
        <v>ST</v>
      </c>
      <c r="AG55" s="212"/>
      <c r="AH55" s="310"/>
      <c r="AI55" s="277"/>
      <c r="AJ55" s="277"/>
      <c r="AK55" s="277"/>
      <c r="AL55" s="277"/>
      <c r="AM55" s="277"/>
      <c r="AN55" s="277"/>
      <c r="AO55" s="277"/>
      <c r="AP55" s="277"/>
      <c r="AQ55" s="277"/>
      <c r="AR55" s="311"/>
      <c r="AS55" s="207"/>
      <c r="AT55" s="2"/>
      <c r="AU55" s="211" t="str">
        <f>IF(Roster!$K$1=0,"",Roster!$K$1)</f>
        <v>ST</v>
      </c>
      <c r="AV55" s="212"/>
      <c r="AW55" s="310"/>
      <c r="AX55" s="277"/>
      <c r="AY55" s="277"/>
      <c r="AZ55" s="277"/>
      <c r="BA55" s="277"/>
      <c r="BB55" s="277"/>
      <c r="BC55" s="277"/>
      <c r="BD55" s="277"/>
      <c r="BE55" s="277"/>
      <c r="BF55" s="277"/>
      <c r="BG55" s="311"/>
      <c r="BH55" s="207"/>
      <c r="BI55" s="2"/>
    </row>
    <row r="56" spans="1:61" ht="37.5" customHeight="1">
      <c r="A56" s="2"/>
      <c r="B56" s="214">
        <f>IF(Roster!$K$9=0,"",Roster!$K$9)</f>
        <v>5</v>
      </c>
      <c r="C56" s="212"/>
      <c r="D56" s="310"/>
      <c r="E56" s="277"/>
      <c r="F56" s="277"/>
      <c r="G56" s="277"/>
      <c r="H56" s="277"/>
      <c r="I56" s="277"/>
      <c r="J56" s="277"/>
      <c r="K56" s="277"/>
      <c r="L56" s="277"/>
      <c r="M56" s="277"/>
      <c r="N56" s="311"/>
      <c r="O56" s="207"/>
      <c r="P56" s="2"/>
      <c r="Q56" s="214">
        <f>IF(Roster!$K$10=0,"",Roster!$K$10)</f>
        <v>5</v>
      </c>
      <c r="R56" s="212"/>
      <c r="S56" s="310"/>
      <c r="T56" s="277"/>
      <c r="U56" s="277"/>
      <c r="V56" s="277"/>
      <c r="W56" s="277"/>
      <c r="X56" s="277"/>
      <c r="Y56" s="277"/>
      <c r="Z56" s="277"/>
      <c r="AA56" s="277"/>
      <c r="AB56" s="277"/>
      <c r="AC56" s="311"/>
      <c r="AD56" s="207"/>
      <c r="AE56" s="2"/>
      <c r="AF56" s="214">
        <f>IF(Roster!$K$11=0,"",Roster!$K$11)</f>
        <v>5</v>
      </c>
      <c r="AG56" s="212"/>
      <c r="AH56" s="310"/>
      <c r="AI56" s="277"/>
      <c r="AJ56" s="277"/>
      <c r="AK56" s="277"/>
      <c r="AL56" s="277"/>
      <c r="AM56" s="277"/>
      <c r="AN56" s="277"/>
      <c r="AO56" s="277"/>
      <c r="AP56" s="277"/>
      <c r="AQ56" s="277"/>
      <c r="AR56" s="311"/>
      <c r="AS56" s="207"/>
      <c r="AT56" s="2"/>
      <c r="AU56" s="214">
        <f>IF(Roster!$K$12=0,"",Roster!$K$12)</f>
        <v>1</v>
      </c>
      <c r="AV56" s="212"/>
      <c r="AW56" s="310"/>
      <c r="AX56" s="277"/>
      <c r="AY56" s="277"/>
      <c r="AZ56" s="277"/>
      <c r="BA56" s="277"/>
      <c r="BB56" s="277"/>
      <c r="BC56" s="277"/>
      <c r="BD56" s="277"/>
      <c r="BE56" s="277"/>
      <c r="BF56" s="277"/>
      <c r="BG56" s="311"/>
      <c r="BH56" s="207"/>
      <c r="BI56" s="2"/>
    </row>
    <row r="57" spans="1:61" ht="11.25" customHeight="1">
      <c r="A57" s="2"/>
      <c r="B57" s="211" t="str">
        <f>IF(Roster!$L$1=0,"",Roster!$L$1)</f>
        <v>AG</v>
      </c>
      <c r="C57" s="212"/>
      <c r="D57" s="310"/>
      <c r="E57" s="277"/>
      <c r="F57" s="277"/>
      <c r="G57" s="277"/>
      <c r="H57" s="277"/>
      <c r="I57" s="277"/>
      <c r="J57" s="277"/>
      <c r="K57" s="277"/>
      <c r="L57" s="277"/>
      <c r="M57" s="277"/>
      <c r="N57" s="311"/>
      <c r="O57" s="207"/>
      <c r="P57" s="2"/>
      <c r="Q57" s="211" t="str">
        <f>IF(Roster!$L$1=0,"",Roster!$L$1)</f>
        <v>AG</v>
      </c>
      <c r="R57" s="212"/>
      <c r="S57" s="310"/>
      <c r="T57" s="277"/>
      <c r="U57" s="277"/>
      <c r="V57" s="277"/>
      <c r="W57" s="277"/>
      <c r="X57" s="277"/>
      <c r="Y57" s="277"/>
      <c r="Z57" s="277"/>
      <c r="AA57" s="277"/>
      <c r="AB57" s="277"/>
      <c r="AC57" s="311"/>
      <c r="AD57" s="207"/>
      <c r="AE57" s="2"/>
      <c r="AF57" s="211" t="str">
        <f>IF(Roster!$L$1=0,"",Roster!$L$1)</f>
        <v>AG</v>
      </c>
      <c r="AG57" s="212"/>
      <c r="AH57" s="310"/>
      <c r="AI57" s="277"/>
      <c r="AJ57" s="277"/>
      <c r="AK57" s="277"/>
      <c r="AL57" s="277"/>
      <c r="AM57" s="277"/>
      <c r="AN57" s="277"/>
      <c r="AO57" s="277"/>
      <c r="AP57" s="277"/>
      <c r="AQ57" s="277"/>
      <c r="AR57" s="311"/>
      <c r="AS57" s="207"/>
      <c r="AT57" s="2"/>
      <c r="AU57" s="211" t="str">
        <f>IF(Roster!$L$1=0,"",Roster!$L$1)</f>
        <v>AG</v>
      </c>
      <c r="AV57" s="212"/>
      <c r="AW57" s="310"/>
      <c r="AX57" s="277"/>
      <c r="AY57" s="277"/>
      <c r="AZ57" s="277"/>
      <c r="BA57" s="277"/>
      <c r="BB57" s="277"/>
      <c r="BC57" s="277"/>
      <c r="BD57" s="277"/>
      <c r="BE57" s="277"/>
      <c r="BF57" s="277"/>
      <c r="BG57" s="311"/>
      <c r="BH57" s="207"/>
      <c r="BI57" s="2"/>
    </row>
    <row r="58" spans="1:61" ht="37.5" customHeight="1">
      <c r="A58" s="2"/>
      <c r="B58" s="214" t="str">
        <f>IF(Roster!$L$9=0&amp;"+","",Roster!$L$9)</f>
        <v>5+</v>
      </c>
      <c r="C58" s="212"/>
      <c r="D58" s="310"/>
      <c r="E58" s="277"/>
      <c r="F58" s="277"/>
      <c r="G58" s="277"/>
      <c r="H58" s="277"/>
      <c r="I58" s="277"/>
      <c r="J58" s="277"/>
      <c r="K58" s="277"/>
      <c r="L58" s="277"/>
      <c r="M58" s="277"/>
      <c r="N58" s="311"/>
      <c r="O58" s="207"/>
      <c r="P58" s="2"/>
      <c r="Q58" s="214" t="str">
        <f>IF(Roster!$L$10=0&amp;"+","",Roster!$L$10)</f>
        <v>5+</v>
      </c>
      <c r="R58" s="212"/>
      <c r="S58" s="310"/>
      <c r="T58" s="277"/>
      <c r="U58" s="277"/>
      <c r="V58" s="277"/>
      <c r="W58" s="277"/>
      <c r="X58" s="277"/>
      <c r="Y58" s="277"/>
      <c r="Z58" s="277"/>
      <c r="AA58" s="277"/>
      <c r="AB58" s="277"/>
      <c r="AC58" s="311"/>
      <c r="AD58" s="207"/>
      <c r="AE58" s="2"/>
      <c r="AF58" s="214" t="str">
        <f>IF(Roster!$L$11=0&amp;"+","",Roster!$L$11)</f>
        <v>5+</v>
      </c>
      <c r="AG58" s="212"/>
      <c r="AH58" s="310"/>
      <c r="AI58" s="277"/>
      <c r="AJ58" s="277"/>
      <c r="AK58" s="277"/>
      <c r="AL58" s="277"/>
      <c r="AM58" s="277"/>
      <c r="AN58" s="277"/>
      <c r="AO58" s="277"/>
      <c r="AP58" s="277"/>
      <c r="AQ58" s="277"/>
      <c r="AR58" s="311"/>
      <c r="AS58" s="207"/>
      <c r="AT58" s="2"/>
      <c r="AU58" s="214" t="str">
        <f>IF(Roster!$L$12=0&amp;"+","",Roster!$L$12)</f>
        <v>3+</v>
      </c>
      <c r="AV58" s="212"/>
      <c r="AW58" s="310"/>
      <c r="AX58" s="277"/>
      <c r="AY58" s="277"/>
      <c r="AZ58" s="277"/>
      <c r="BA58" s="277"/>
      <c r="BB58" s="277"/>
      <c r="BC58" s="277"/>
      <c r="BD58" s="277"/>
      <c r="BE58" s="277"/>
      <c r="BF58" s="277"/>
      <c r="BG58" s="311"/>
      <c r="BH58" s="207"/>
      <c r="BI58" s="2"/>
    </row>
    <row r="59" spans="1:61" ht="11.25" customHeight="1">
      <c r="A59" s="2"/>
      <c r="B59" s="211" t="str">
        <f>IF(Roster!$M$1=0,"",Roster!$M$1)</f>
        <v>PA</v>
      </c>
      <c r="C59" s="212"/>
      <c r="D59" s="310"/>
      <c r="E59" s="277"/>
      <c r="F59" s="277"/>
      <c r="G59" s="277"/>
      <c r="H59" s="277"/>
      <c r="I59" s="277"/>
      <c r="J59" s="277"/>
      <c r="K59" s="277"/>
      <c r="L59" s="277"/>
      <c r="M59" s="277"/>
      <c r="N59" s="311"/>
      <c r="O59" s="216"/>
      <c r="P59" s="2"/>
      <c r="Q59" s="211" t="str">
        <f>IF(Roster!$M$1=0,"",Roster!$M$1)</f>
        <v>PA</v>
      </c>
      <c r="R59" s="212"/>
      <c r="S59" s="310"/>
      <c r="T59" s="277"/>
      <c r="U59" s="277"/>
      <c r="V59" s="277"/>
      <c r="W59" s="277"/>
      <c r="X59" s="277"/>
      <c r="Y59" s="277"/>
      <c r="Z59" s="277"/>
      <c r="AA59" s="277"/>
      <c r="AB59" s="277"/>
      <c r="AC59" s="311"/>
      <c r="AD59" s="216"/>
      <c r="AE59" s="2"/>
      <c r="AF59" s="211" t="str">
        <f>IF(Roster!$M$1=0,"",Roster!$M$1)</f>
        <v>PA</v>
      </c>
      <c r="AG59" s="212"/>
      <c r="AH59" s="310"/>
      <c r="AI59" s="277"/>
      <c r="AJ59" s="277"/>
      <c r="AK59" s="277"/>
      <c r="AL59" s="277"/>
      <c r="AM59" s="277"/>
      <c r="AN59" s="277"/>
      <c r="AO59" s="277"/>
      <c r="AP59" s="277"/>
      <c r="AQ59" s="277"/>
      <c r="AR59" s="311"/>
      <c r="AS59" s="216"/>
      <c r="AT59" s="2"/>
      <c r="AU59" s="211" t="str">
        <f>IF(Roster!$M$1=0,"",Roster!$M$1)</f>
        <v>PA</v>
      </c>
      <c r="AV59" s="212"/>
      <c r="AW59" s="310"/>
      <c r="AX59" s="277"/>
      <c r="AY59" s="277"/>
      <c r="AZ59" s="277"/>
      <c r="BA59" s="277"/>
      <c r="BB59" s="277"/>
      <c r="BC59" s="277"/>
      <c r="BD59" s="277"/>
      <c r="BE59" s="277"/>
      <c r="BF59" s="277"/>
      <c r="BG59" s="311"/>
      <c r="BH59" s="216"/>
      <c r="BI59" s="2"/>
    </row>
    <row r="60" spans="1:61" ht="6" customHeight="1">
      <c r="A60" s="2"/>
      <c r="B60" s="401" t="str">
        <f>IF(Roster!$M$9=0&amp;"+","",Roster!$M$9)</f>
        <v/>
      </c>
      <c r="C60" s="212"/>
      <c r="D60" s="286"/>
      <c r="E60" s="287"/>
      <c r="F60" s="287"/>
      <c r="G60" s="287"/>
      <c r="H60" s="287"/>
      <c r="I60" s="287"/>
      <c r="J60" s="287"/>
      <c r="K60" s="287"/>
      <c r="L60" s="287"/>
      <c r="M60" s="287"/>
      <c r="N60" s="288"/>
      <c r="O60" s="218"/>
      <c r="P60" s="2"/>
      <c r="Q60" s="401" t="str">
        <f>IF(Roster!$M$10=0&amp;"+","",Roster!$M$10)</f>
        <v>5+</v>
      </c>
      <c r="R60" s="212"/>
      <c r="S60" s="286"/>
      <c r="T60" s="287"/>
      <c r="U60" s="287"/>
      <c r="V60" s="287"/>
      <c r="W60" s="287"/>
      <c r="X60" s="287"/>
      <c r="Y60" s="287"/>
      <c r="Z60" s="287"/>
      <c r="AA60" s="287"/>
      <c r="AB60" s="287"/>
      <c r="AC60" s="288"/>
      <c r="AD60" s="218"/>
      <c r="AE60" s="2"/>
      <c r="AF60" s="401" t="str">
        <f>IF(Roster!$M$11=0&amp;"+","",Roster!$M$11)</f>
        <v>5+</v>
      </c>
      <c r="AG60" s="212"/>
      <c r="AH60" s="286"/>
      <c r="AI60" s="287"/>
      <c r="AJ60" s="287"/>
      <c r="AK60" s="287"/>
      <c r="AL60" s="287"/>
      <c r="AM60" s="287"/>
      <c r="AN60" s="287"/>
      <c r="AO60" s="287"/>
      <c r="AP60" s="287"/>
      <c r="AQ60" s="287"/>
      <c r="AR60" s="288"/>
      <c r="AS60" s="218"/>
      <c r="AT60" s="2"/>
      <c r="AU60" s="401" t="str">
        <f>IF(Roster!$M$12=0&amp;"+","",Roster!$M$12)</f>
        <v>5+</v>
      </c>
      <c r="AV60" s="212"/>
      <c r="AW60" s="286"/>
      <c r="AX60" s="287"/>
      <c r="AY60" s="287"/>
      <c r="AZ60" s="287"/>
      <c r="BA60" s="287"/>
      <c r="BB60" s="287"/>
      <c r="BC60" s="287"/>
      <c r="BD60" s="287"/>
      <c r="BE60" s="287"/>
      <c r="BF60" s="287"/>
      <c r="BG60" s="288"/>
      <c r="BH60" s="218"/>
      <c r="BI60" s="2"/>
    </row>
    <row r="61" spans="1:61" ht="4.5" customHeight="1">
      <c r="A61" s="2"/>
      <c r="B61" s="402"/>
      <c r="C61" s="210"/>
      <c r="D61" s="219"/>
      <c r="E61" s="217"/>
      <c r="F61" s="219"/>
      <c r="G61" s="217"/>
      <c r="H61" s="219"/>
      <c r="I61" s="217"/>
      <c r="J61" s="219"/>
      <c r="K61" s="217"/>
      <c r="L61" s="219"/>
      <c r="M61" s="217"/>
      <c r="N61" s="219"/>
      <c r="O61" s="218"/>
      <c r="P61" s="2"/>
      <c r="Q61" s="402"/>
      <c r="R61" s="210"/>
      <c r="S61" s="219"/>
      <c r="T61" s="217"/>
      <c r="U61" s="219"/>
      <c r="V61" s="217"/>
      <c r="W61" s="219"/>
      <c r="X61" s="217"/>
      <c r="Y61" s="219"/>
      <c r="Z61" s="217"/>
      <c r="AA61" s="219"/>
      <c r="AB61" s="217"/>
      <c r="AC61" s="219"/>
      <c r="AD61" s="218"/>
      <c r="AE61" s="2"/>
      <c r="AF61" s="402"/>
      <c r="AG61" s="210"/>
      <c r="AH61" s="219"/>
      <c r="AI61" s="217"/>
      <c r="AJ61" s="219"/>
      <c r="AK61" s="217"/>
      <c r="AL61" s="219"/>
      <c r="AM61" s="217"/>
      <c r="AN61" s="219"/>
      <c r="AO61" s="217"/>
      <c r="AP61" s="219"/>
      <c r="AQ61" s="217"/>
      <c r="AR61" s="219"/>
      <c r="AS61" s="218"/>
      <c r="AT61" s="2"/>
      <c r="AU61" s="402"/>
      <c r="AV61" s="210"/>
      <c r="AW61" s="219"/>
      <c r="AX61" s="217"/>
      <c r="AY61" s="219"/>
      <c r="AZ61" s="217"/>
      <c r="BA61" s="219"/>
      <c r="BB61" s="217"/>
      <c r="BC61" s="219"/>
      <c r="BD61" s="217"/>
      <c r="BE61" s="219"/>
      <c r="BF61" s="217"/>
      <c r="BG61" s="219"/>
      <c r="BH61" s="218"/>
      <c r="BI61" s="2"/>
    </row>
    <row r="62" spans="1:61" ht="11.25" customHeight="1">
      <c r="A62" s="2"/>
      <c r="B62" s="402"/>
      <c r="C62" s="210"/>
      <c r="D62" s="220" t="str">
        <f>IF(Roster!$AC$1=0,"",Roster!$AC$1)</f>
        <v>TD</v>
      </c>
      <c r="E62" s="221"/>
      <c r="F62" s="220" t="str">
        <f>IF(Roster!$J$25="Español","HER",(IF(Roster!$J$25="Deutsch","VER",(IF(Roster!$J$25="Français","BLES","CAS")))))</f>
        <v>CAS</v>
      </c>
      <c r="G62" s="221"/>
      <c r="H62" s="220" t="str">
        <f>IF(Roster!$AF$1=0,"",Roster!$AF$1)</f>
        <v>BH</v>
      </c>
      <c r="I62" s="221"/>
      <c r="J62" s="220" t="str">
        <f>IF(Roster!$AG$1=0,"",Roster!$AG$1)</f>
        <v>SI</v>
      </c>
      <c r="K62" s="221"/>
      <c r="L62" s="220" t="str">
        <f>IF(Roster!$AH$1=0,"",Roster!$AH$1)</f>
        <v>KILL</v>
      </c>
      <c r="M62" s="221"/>
      <c r="N62" s="220" t="str">
        <f>IF(Roster!$AB$1=0,"",Roster!$AB$1)</f>
        <v>CP</v>
      </c>
      <c r="O62" s="218"/>
      <c r="P62" s="2"/>
      <c r="Q62" s="402"/>
      <c r="R62" s="210"/>
      <c r="S62" s="220" t="str">
        <f>IF(Roster!$AC$1=0,"",Roster!$AC$1)</f>
        <v>TD</v>
      </c>
      <c r="T62" s="221"/>
      <c r="U62" s="220" t="str">
        <f>IF(Roster!$J$25="Español","HER",(IF(Roster!$J$25="Deutsch","VER",(IF(Roster!$J$25="Français","BLES","CAS")))))</f>
        <v>CAS</v>
      </c>
      <c r="V62" s="221"/>
      <c r="W62" s="220" t="str">
        <f>IF(Roster!$AF$1=0,"",Roster!$AF$1)</f>
        <v>BH</v>
      </c>
      <c r="X62" s="221"/>
      <c r="Y62" s="220" t="str">
        <f>IF(Roster!$AG$1=0,"",Roster!$AG$1)</f>
        <v>SI</v>
      </c>
      <c r="Z62" s="221"/>
      <c r="AA62" s="220" t="str">
        <f>IF(Roster!$AH$1=0,"",Roster!$AH$1)</f>
        <v>KILL</v>
      </c>
      <c r="AB62" s="221"/>
      <c r="AC62" s="220" t="str">
        <f>IF(Roster!$AB$1=0,"",Roster!$AB$1)</f>
        <v>CP</v>
      </c>
      <c r="AD62" s="218"/>
      <c r="AE62" s="2"/>
      <c r="AF62" s="402"/>
      <c r="AG62" s="210"/>
      <c r="AH62" s="220" t="str">
        <f>IF(Roster!$AC$1=0,"",Roster!$AC$1)</f>
        <v>TD</v>
      </c>
      <c r="AI62" s="221"/>
      <c r="AJ62" s="220" t="str">
        <f>IF(Roster!$J$25="Español","HER",(IF(Roster!$J$25="Deutsch","VER",(IF(Roster!$J$25="Français","BLES","CAS")))))</f>
        <v>CAS</v>
      </c>
      <c r="AK62" s="221"/>
      <c r="AL62" s="220" t="str">
        <f>IF(Roster!$AF$1=0,"",Roster!$AF$1)</f>
        <v>BH</v>
      </c>
      <c r="AM62" s="221"/>
      <c r="AN62" s="220" t="str">
        <f>IF(Roster!$AG$1=0,"",Roster!$AG$1)</f>
        <v>SI</v>
      </c>
      <c r="AO62" s="221"/>
      <c r="AP62" s="220" t="str">
        <f>IF(Roster!$AH$1=0,"",Roster!$AH$1)</f>
        <v>KILL</v>
      </c>
      <c r="AQ62" s="221"/>
      <c r="AR62" s="220" t="str">
        <f>IF(Roster!$AB$1=0,"",Roster!$AB$1)</f>
        <v>CP</v>
      </c>
      <c r="AS62" s="218"/>
      <c r="AT62" s="2"/>
      <c r="AU62" s="402"/>
      <c r="AV62" s="210"/>
      <c r="AW62" s="220" t="str">
        <f>IF(Roster!$AC$1=0,"",Roster!$AC$1)</f>
        <v>TD</v>
      </c>
      <c r="AX62" s="221"/>
      <c r="AY62" s="220" t="str">
        <f>IF(Roster!$J$25="Español","HER",(IF(Roster!$J$25="Deutsch","VER",(IF(Roster!$J$25="Français","BLES","CAS")))))</f>
        <v>CAS</v>
      </c>
      <c r="AZ62" s="221"/>
      <c r="BA62" s="220" t="str">
        <f>IF(Roster!$AF$1=0,"",Roster!$AF$1)</f>
        <v>BH</v>
      </c>
      <c r="BB62" s="221"/>
      <c r="BC62" s="220" t="str">
        <f>IF(Roster!$AG$1=0,"",Roster!$AG$1)</f>
        <v>SI</v>
      </c>
      <c r="BD62" s="221"/>
      <c r="BE62" s="220" t="str">
        <f>IF(Roster!$AH$1=0,"",Roster!$AH$1)</f>
        <v>KILL</v>
      </c>
      <c r="BF62" s="221"/>
      <c r="BG62" s="220" t="str">
        <f>IF(Roster!$AB$1=0,"",Roster!$AB$1)</f>
        <v>CP</v>
      </c>
      <c r="BH62" s="218"/>
      <c r="BI62" s="2"/>
    </row>
    <row r="63" spans="1:61" ht="15" customHeight="1">
      <c r="A63" s="2"/>
      <c r="B63" s="402"/>
      <c r="C63" s="213"/>
      <c r="D63" s="222" t="str">
        <f>IF(Roster!$AC$9=0,"",Roster!$AC$9)</f>
        <v/>
      </c>
      <c r="E63" s="223"/>
      <c r="F63" s="222">
        <f>IF((SUM(H63,J63,L63))=0,"",(SUM(H63,J63,L63)))</f>
        <v>3</v>
      </c>
      <c r="G63" s="223"/>
      <c r="H63" s="222">
        <f>IF(Roster!$AF$9=0,"",Roster!$AF$9)</f>
        <v>1</v>
      </c>
      <c r="I63" s="223"/>
      <c r="J63" s="222">
        <f>IF(Roster!$AG$9=0,"",Roster!$AG$9)</f>
        <v>1</v>
      </c>
      <c r="K63" s="223"/>
      <c r="L63" s="222">
        <f>IF(Roster!$AH$9=0,"",Roster!$AH$9)</f>
        <v>1</v>
      </c>
      <c r="M63" s="223"/>
      <c r="N63" s="222" t="str">
        <f>IF(Roster!$AB$9=0,"",Roster!$AB$9)</f>
        <v/>
      </c>
      <c r="O63" s="218"/>
      <c r="P63" s="2"/>
      <c r="Q63" s="402"/>
      <c r="R63" s="213"/>
      <c r="S63" s="222" t="str">
        <f>IF(Roster!$AC$10=0,"",Roster!$AC$10)</f>
        <v/>
      </c>
      <c r="T63" s="223"/>
      <c r="U63" s="222">
        <f>IF((SUM(W63,Y63,AA63))=0,"",(SUM(W63,Y63,AA63)))</f>
        <v>3</v>
      </c>
      <c r="V63" s="223"/>
      <c r="W63" s="222">
        <f>IF(Roster!$AF$10=0,"",Roster!$AF$10)</f>
        <v>1</v>
      </c>
      <c r="X63" s="223"/>
      <c r="Y63" s="222">
        <f>IF(Roster!$AG$10=0,"",Roster!$AG$10)</f>
        <v>1</v>
      </c>
      <c r="Z63" s="223"/>
      <c r="AA63" s="222">
        <f>IF(Roster!$AH$10=0,"",Roster!$AH$10)</f>
        <v>1</v>
      </c>
      <c r="AB63" s="223"/>
      <c r="AC63" s="222" t="str">
        <f>IF(Roster!$AB$10=0,"",Roster!$AB$10)</f>
        <v/>
      </c>
      <c r="AD63" s="218"/>
      <c r="AE63" s="2"/>
      <c r="AF63" s="402"/>
      <c r="AG63" s="213"/>
      <c r="AH63" s="222" t="str">
        <f>IF(Roster!$AC$11=0,"",Roster!$AC$11)</f>
        <v/>
      </c>
      <c r="AI63" s="223"/>
      <c r="AJ63" s="222">
        <f>IF((SUM(AL63,AN63,AP63))=0,"",(SUM(AL63,AN63,AP63)))</f>
        <v>1</v>
      </c>
      <c r="AK63" s="223"/>
      <c r="AL63" s="222" t="str">
        <f>IF(Roster!$AF$11=0,"",Roster!$AF$11)</f>
        <v/>
      </c>
      <c r="AM63" s="223"/>
      <c r="AN63" s="222" t="str">
        <f>IF(Roster!$AG$11=0,"",Roster!$AG$11)</f>
        <v/>
      </c>
      <c r="AO63" s="223"/>
      <c r="AP63" s="222">
        <f>IF(Roster!$AH$11=0,"",Roster!$AH$11)</f>
        <v>1</v>
      </c>
      <c r="AQ63" s="223"/>
      <c r="AR63" s="222" t="str">
        <f>IF(Roster!$AB$11=0,"",Roster!$AB$11)</f>
        <v/>
      </c>
      <c r="AS63" s="218"/>
      <c r="AT63" s="2"/>
      <c r="AU63" s="402"/>
      <c r="AV63" s="213"/>
      <c r="AW63" s="222">
        <f>IF(Roster!$AC$12=0,"",Roster!$AC$12)</f>
        <v>1</v>
      </c>
      <c r="AX63" s="223"/>
      <c r="AY63" s="222" t="str">
        <f>IF((SUM(BA63,BC63,BE63))=0,"",(SUM(BA63,BC63,BE63)))</f>
        <v/>
      </c>
      <c r="AZ63" s="223"/>
      <c r="BA63" s="222" t="str">
        <f>IF(Roster!$AF$12=0,"",Roster!$AF$12)</f>
        <v/>
      </c>
      <c r="BB63" s="223"/>
      <c r="BC63" s="222" t="str">
        <f>IF(Roster!$AG$12=0,"",Roster!$AG$12)</f>
        <v/>
      </c>
      <c r="BD63" s="223"/>
      <c r="BE63" s="222" t="str">
        <f>IF(Roster!$AH$12=0,"",Roster!$AH$12)</f>
        <v/>
      </c>
      <c r="BF63" s="223"/>
      <c r="BG63" s="222" t="str">
        <f>IF(Roster!$AB$12=0,"",Roster!$AB$12)</f>
        <v/>
      </c>
      <c r="BH63" s="218"/>
      <c r="BI63" s="2"/>
    </row>
    <row r="64" spans="1:61" ht="4.5" customHeight="1">
      <c r="A64" s="2"/>
      <c r="B64" s="307"/>
      <c r="C64" s="213"/>
      <c r="D64" s="45"/>
      <c r="E64" s="223"/>
      <c r="F64" s="45"/>
      <c r="G64" s="223"/>
      <c r="H64" s="45"/>
      <c r="I64" s="223"/>
      <c r="J64" s="45"/>
      <c r="K64" s="223"/>
      <c r="L64" s="45"/>
      <c r="M64" s="223"/>
      <c r="N64" s="45"/>
      <c r="O64" s="218"/>
      <c r="P64" s="2"/>
      <c r="Q64" s="307"/>
      <c r="R64" s="213"/>
      <c r="S64" s="45"/>
      <c r="T64" s="223"/>
      <c r="U64" s="45"/>
      <c r="V64" s="223"/>
      <c r="W64" s="45"/>
      <c r="X64" s="223"/>
      <c r="Y64" s="45"/>
      <c r="Z64" s="223"/>
      <c r="AA64" s="45"/>
      <c r="AB64" s="223"/>
      <c r="AC64" s="45"/>
      <c r="AD64" s="218"/>
      <c r="AE64" s="2"/>
      <c r="AF64" s="307"/>
      <c r="AG64" s="213"/>
      <c r="AH64" s="45"/>
      <c r="AI64" s="223"/>
      <c r="AJ64" s="45"/>
      <c r="AK64" s="223"/>
      <c r="AL64" s="45"/>
      <c r="AM64" s="223"/>
      <c r="AN64" s="45"/>
      <c r="AO64" s="223"/>
      <c r="AP64" s="45"/>
      <c r="AQ64" s="223"/>
      <c r="AR64" s="45"/>
      <c r="AS64" s="218"/>
      <c r="AT64" s="2"/>
      <c r="AU64" s="307"/>
      <c r="AV64" s="213"/>
      <c r="AW64" s="45"/>
      <c r="AX64" s="223"/>
      <c r="AY64" s="45"/>
      <c r="AZ64" s="223"/>
      <c r="BA64" s="45"/>
      <c r="BB64" s="223"/>
      <c r="BC64" s="45"/>
      <c r="BD64" s="223"/>
      <c r="BE64" s="45"/>
      <c r="BF64" s="223"/>
      <c r="BG64" s="45"/>
      <c r="BH64" s="218"/>
      <c r="BI64" s="2"/>
    </row>
    <row r="65" spans="1:61" ht="11.25" customHeight="1">
      <c r="A65" s="2"/>
      <c r="B65" s="211" t="str">
        <f>IF(Roster!$N$1=0,"",Roster!$N$1)</f>
        <v>AV</v>
      </c>
      <c r="C65" s="212"/>
      <c r="D65" s="220" t="str">
        <f>IF(Roster!$AD$1=0,"",Roster!$AD$1)</f>
        <v>DEF</v>
      </c>
      <c r="E65" s="224"/>
      <c r="F65" s="220" t="str">
        <f>IF(Roster!$AE$1=0,"",Roster!$AE$1)</f>
        <v>INT</v>
      </c>
      <c r="G65" s="224"/>
      <c r="H65" s="220" t="str">
        <f>IF(Roster!$AA$1=0,"",Roster!$AA$1)</f>
        <v>SPE</v>
      </c>
      <c r="I65" s="224"/>
      <c r="J65" s="220" t="str">
        <f>IF(Roster!$AI$1=0,"",Roster!$AI$1)</f>
        <v>MVP</v>
      </c>
      <c r="K65" s="224"/>
      <c r="L65" s="220" t="s">
        <v>392</v>
      </c>
      <c r="M65" s="224"/>
      <c r="N65" s="225" t="str">
        <f>IF(Roster!$J$25="Español","LPP/RT",(IF(Roster!$J$25="Deutsch","VNS/AD",(IF(Roster!$J$25="Français","RPM/RT","MNG/TR")))))</f>
        <v>MNG/TR</v>
      </c>
      <c r="O65" s="207"/>
      <c r="P65" s="2"/>
      <c r="Q65" s="211" t="str">
        <f>IF(Roster!$N$1=0,"",Roster!$N$1)</f>
        <v>AV</v>
      </c>
      <c r="R65" s="212"/>
      <c r="S65" s="220" t="str">
        <f>IF(Roster!$AD$1=0,"",Roster!$AD$1)</f>
        <v>DEF</v>
      </c>
      <c r="T65" s="224"/>
      <c r="U65" s="220" t="str">
        <f>IF(Roster!$AE$1=0,"",Roster!$AE$1)</f>
        <v>INT</v>
      </c>
      <c r="V65" s="224"/>
      <c r="W65" s="220" t="str">
        <f>IF(Roster!$AA$1=0,"",Roster!$AA$1)</f>
        <v>SPE</v>
      </c>
      <c r="X65" s="224"/>
      <c r="Y65" s="220" t="str">
        <f>IF(Roster!$AI$1=0,"",Roster!$AI$1)</f>
        <v>MVP</v>
      </c>
      <c r="Z65" s="224"/>
      <c r="AA65" s="220" t="s">
        <v>392</v>
      </c>
      <c r="AB65" s="224"/>
      <c r="AC65" s="225" t="str">
        <f>IF(Roster!$J$25="Español","LPP/RT",(IF(Roster!$J$25="Deutsch","VNS/AD",(IF(Roster!$J$25="Français","RPM/RT","MNG/TR")))))</f>
        <v>MNG/TR</v>
      </c>
      <c r="AD65" s="207"/>
      <c r="AE65" s="2"/>
      <c r="AF65" s="211" t="str">
        <f>IF(Roster!$N$1=0,"",Roster!$N$1)</f>
        <v>AV</v>
      </c>
      <c r="AG65" s="212"/>
      <c r="AH65" s="220" t="str">
        <f>IF(Roster!$AD$1=0,"",Roster!$AD$1)</f>
        <v>DEF</v>
      </c>
      <c r="AI65" s="224"/>
      <c r="AJ65" s="220" t="str">
        <f>IF(Roster!$AE$1=0,"",Roster!$AE$1)</f>
        <v>INT</v>
      </c>
      <c r="AK65" s="224"/>
      <c r="AL65" s="220" t="str">
        <f>IF(Roster!$AA$1=0,"",Roster!$AA$1)</f>
        <v>SPE</v>
      </c>
      <c r="AM65" s="224"/>
      <c r="AN65" s="220" t="str">
        <f>IF(Roster!$AI$1=0,"",Roster!$AI$1)</f>
        <v>MVP</v>
      </c>
      <c r="AO65" s="224"/>
      <c r="AP65" s="220" t="s">
        <v>392</v>
      </c>
      <c r="AQ65" s="224"/>
      <c r="AR65" s="225" t="str">
        <f>IF(Roster!$J$25="Español","LPP/RT",(IF(Roster!$J$25="Deutsch","VNS/AD",(IF(Roster!$J$25="Français","RPM/RT","MNG/TR")))))</f>
        <v>MNG/TR</v>
      </c>
      <c r="AS65" s="207"/>
      <c r="AT65" s="2"/>
      <c r="AU65" s="211" t="str">
        <f>IF(Roster!$N$1=0,"",Roster!$N$1)</f>
        <v>AV</v>
      </c>
      <c r="AV65" s="212"/>
      <c r="AW65" s="220" t="str">
        <f>IF(Roster!$AD$1=0,"",Roster!$AD$1)</f>
        <v>DEF</v>
      </c>
      <c r="AX65" s="224"/>
      <c r="AY65" s="220" t="str">
        <f>IF(Roster!$AE$1=0,"",Roster!$AE$1)</f>
        <v>INT</v>
      </c>
      <c r="AZ65" s="224"/>
      <c r="BA65" s="220" t="str">
        <f>IF(Roster!$AA$1=0,"",Roster!$AA$1)</f>
        <v>SPE</v>
      </c>
      <c r="BB65" s="224"/>
      <c r="BC65" s="220" t="str">
        <f>IF(Roster!$AI$1=0,"",Roster!$AI$1)</f>
        <v>MVP</v>
      </c>
      <c r="BD65" s="224"/>
      <c r="BE65" s="220" t="s">
        <v>392</v>
      </c>
      <c r="BF65" s="224"/>
      <c r="BG65" s="225" t="str">
        <f>IF(Roster!$J$25="Español","LPP/RT",(IF(Roster!$J$25="Deutsch","VNS/AD",(IF(Roster!$J$25="Français","RPM/RT","MNG/TR")))))</f>
        <v>MNG/TR</v>
      </c>
      <c r="BH65" s="207"/>
      <c r="BI65" s="2"/>
    </row>
    <row r="66" spans="1:61" ht="15" customHeight="1">
      <c r="A66" s="2"/>
      <c r="B66" s="401" t="str">
        <f>IF(Roster!$N$9=0&amp;"+","",Roster!$N$9)</f>
        <v>9+</v>
      </c>
      <c r="C66" s="213"/>
      <c r="D66" s="222" t="str">
        <f>IF(Roster!$AD$9=0,"",Roster!$AD$9)</f>
        <v/>
      </c>
      <c r="E66" s="223"/>
      <c r="F66" s="222" t="str">
        <f>IF(Roster!$AE$9=0,"",Roster!$AE$9)</f>
        <v/>
      </c>
      <c r="G66" s="223"/>
      <c r="H66" s="222" t="str">
        <f>IF(Roster!$AA$9=0,"",Roster!$AA$9)</f>
        <v/>
      </c>
      <c r="I66" s="223"/>
      <c r="J66" s="222">
        <f>IF(Roster!$AI$9=0,"",Roster!$AI$9)</f>
        <v>1</v>
      </c>
      <c r="K66" s="223"/>
      <c r="L66" s="222">
        <f>IF(Roster!$AJ$9=0,"",Roster!$AJ$9)</f>
        <v>10</v>
      </c>
      <c r="M66" s="223"/>
      <c r="N66" s="222" t="str">
        <f>IF(Roster!$Z$9=0,"",Roster!$Z$9)</f>
        <v/>
      </c>
      <c r="O66" s="226"/>
      <c r="P66" s="2"/>
      <c r="Q66" s="401" t="str">
        <f>IF(Roster!$N$10=0&amp;"+","",Roster!$N$10)</f>
        <v>10+</v>
      </c>
      <c r="R66" s="213"/>
      <c r="S66" s="222" t="str">
        <f>IF(Roster!$AD$10=0,"",Roster!$AD$10)</f>
        <v/>
      </c>
      <c r="T66" s="223"/>
      <c r="U66" s="222" t="str">
        <f>IF(Roster!$AE$10=0,"",Roster!$AE$10)</f>
        <v/>
      </c>
      <c r="V66" s="223"/>
      <c r="W66" s="222" t="str">
        <f>IF(Roster!$AA$10=0,"",Roster!$AA$10)</f>
        <v/>
      </c>
      <c r="X66" s="223"/>
      <c r="Y66" s="222" t="str">
        <f>IF(Roster!$AI$10=0,"",Roster!$AI$10)</f>
        <v/>
      </c>
      <c r="Z66" s="223"/>
      <c r="AA66" s="222">
        <f>IF(Roster!$AJ$10=0,"",Roster!$AJ$10)</f>
        <v>6</v>
      </c>
      <c r="AB66" s="223"/>
      <c r="AC66" s="222" t="str">
        <f>IF(Roster!$Z$10=0,"",Roster!$Z$10)</f>
        <v/>
      </c>
      <c r="AD66" s="226"/>
      <c r="AE66" s="2"/>
      <c r="AF66" s="401" t="str">
        <f>IF(Roster!$N$11=0&amp;"+","",Roster!$N$11)</f>
        <v>10+</v>
      </c>
      <c r="AG66" s="213"/>
      <c r="AH66" s="222" t="str">
        <f>IF(Roster!$AD$11=0,"",Roster!$AD$11)</f>
        <v/>
      </c>
      <c r="AI66" s="223"/>
      <c r="AJ66" s="222" t="str">
        <f>IF(Roster!$AE$11=0,"",Roster!$AE$11)</f>
        <v/>
      </c>
      <c r="AK66" s="223"/>
      <c r="AL66" s="222" t="str">
        <f>IF(Roster!$AA$11=0,"",Roster!$AA$11)</f>
        <v/>
      </c>
      <c r="AM66" s="223"/>
      <c r="AN66" s="222">
        <f>IF(Roster!$AI$11=0,"",Roster!$AI$11)</f>
        <v>1</v>
      </c>
      <c r="AO66" s="223"/>
      <c r="AP66" s="222">
        <f>IF(Roster!$AJ$11=0,"",Roster!$AJ$11)</f>
        <v>6</v>
      </c>
      <c r="AQ66" s="223"/>
      <c r="AR66" s="222" t="str">
        <f>IF(Roster!$Z$11=0,"",Roster!$Z$11)</f>
        <v/>
      </c>
      <c r="AS66" s="226"/>
      <c r="AT66" s="2"/>
      <c r="AU66" s="401" t="str">
        <f>IF(Roster!$N$12=0&amp;"+","",Roster!$N$12)</f>
        <v>6+</v>
      </c>
      <c r="AV66" s="213"/>
      <c r="AW66" s="222" t="str">
        <f>IF(Roster!$AD$12=0,"",Roster!$AD$12)</f>
        <v/>
      </c>
      <c r="AX66" s="223"/>
      <c r="AY66" s="222" t="str">
        <f>IF(Roster!$AE$12=0,"",Roster!$AE$12)</f>
        <v/>
      </c>
      <c r="AZ66" s="223"/>
      <c r="BA66" s="222" t="str">
        <f>IF(Roster!$AA$12=0,"",Roster!$AA$12)</f>
        <v/>
      </c>
      <c r="BB66" s="223"/>
      <c r="BC66" s="222" t="str">
        <f>IF(Roster!$AI$12=0,"",Roster!$AI$12)</f>
        <v/>
      </c>
      <c r="BD66" s="223"/>
      <c r="BE66" s="222">
        <f>IF(Roster!$AJ$12=0,"",Roster!$AJ$12)</f>
        <v>3</v>
      </c>
      <c r="BF66" s="223"/>
      <c r="BG66" s="222" t="str">
        <f>IF(Roster!$Z$12=0,"",Roster!$Z$12)</f>
        <v/>
      </c>
      <c r="BH66" s="226"/>
      <c r="BI66" s="2"/>
    </row>
    <row r="67" spans="1:61" ht="4.5" customHeight="1">
      <c r="A67" s="2"/>
      <c r="B67" s="402"/>
      <c r="C67" s="213"/>
      <c r="D67" s="223"/>
      <c r="E67" s="223"/>
      <c r="F67" s="223"/>
      <c r="G67" s="223"/>
      <c r="H67" s="223"/>
      <c r="I67" s="223"/>
      <c r="J67" s="223"/>
      <c r="K67" s="223"/>
      <c r="L67" s="223"/>
      <c r="M67" s="223"/>
      <c r="N67" s="227"/>
      <c r="O67" s="226"/>
      <c r="P67" s="2"/>
      <c r="Q67" s="402"/>
      <c r="R67" s="213"/>
      <c r="S67" s="223"/>
      <c r="T67" s="223"/>
      <c r="U67" s="223"/>
      <c r="V67" s="223"/>
      <c r="W67" s="223"/>
      <c r="X67" s="223"/>
      <c r="Y67" s="223"/>
      <c r="Z67" s="223"/>
      <c r="AA67" s="223"/>
      <c r="AB67" s="223"/>
      <c r="AC67" s="227"/>
      <c r="AD67" s="226"/>
      <c r="AE67" s="2"/>
      <c r="AF67" s="402"/>
      <c r="AG67" s="213"/>
      <c r="AH67" s="223"/>
      <c r="AI67" s="223"/>
      <c r="AJ67" s="223"/>
      <c r="AK67" s="223"/>
      <c r="AL67" s="223"/>
      <c r="AM67" s="223"/>
      <c r="AN67" s="223"/>
      <c r="AO67" s="223"/>
      <c r="AP67" s="223"/>
      <c r="AQ67" s="223"/>
      <c r="AR67" s="227"/>
      <c r="AS67" s="226"/>
      <c r="AT67" s="2"/>
      <c r="AU67" s="402"/>
      <c r="AV67" s="213"/>
      <c r="AW67" s="223"/>
      <c r="AX67" s="223"/>
      <c r="AY67" s="223"/>
      <c r="AZ67" s="223"/>
      <c r="BA67" s="223"/>
      <c r="BB67" s="223"/>
      <c r="BC67" s="223"/>
      <c r="BD67" s="223"/>
      <c r="BE67" s="223"/>
      <c r="BF67" s="223"/>
      <c r="BG67" s="227"/>
      <c r="BH67" s="226"/>
      <c r="BI67" s="2"/>
    </row>
    <row r="68" spans="1:61" ht="11.25" customHeight="1">
      <c r="A68" s="2"/>
      <c r="B68" s="402"/>
      <c r="C68" s="213"/>
      <c r="D68" s="378" t="str">
        <f>IF(Roster!$J$25="Italiano","ABILITÀ &amp; TRATTI",(IF(Roster!$J$25="Español","HABILIDADES Y RASGOS","SKILLS &amp; TRAITS")))</f>
        <v>ABILITÀ &amp; TRATTI</v>
      </c>
      <c r="E68" s="313"/>
      <c r="F68" s="313"/>
      <c r="G68" s="313"/>
      <c r="H68" s="313"/>
      <c r="I68" s="313"/>
      <c r="J68" s="313"/>
      <c r="K68" s="313"/>
      <c r="L68" s="313"/>
      <c r="M68" s="313"/>
      <c r="N68" s="379"/>
      <c r="O68" s="226"/>
      <c r="P68" s="2"/>
      <c r="Q68" s="402"/>
      <c r="R68" s="213"/>
      <c r="S68" s="378" t="str">
        <f>IF(Roster!$J$25="Italiano","ABILITÀ &amp; TRATTI",(IF(Roster!$J$25="Español","HABILIDADES Y RASGOS","SKILLS &amp; TRAITS")))</f>
        <v>ABILITÀ &amp; TRATTI</v>
      </c>
      <c r="T68" s="313"/>
      <c r="U68" s="313"/>
      <c r="V68" s="313"/>
      <c r="W68" s="313"/>
      <c r="X68" s="313"/>
      <c r="Y68" s="313"/>
      <c r="Z68" s="313"/>
      <c r="AA68" s="313"/>
      <c r="AB68" s="313"/>
      <c r="AC68" s="379"/>
      <c r="AD68" s="226"/>
      <c r="AE68" s="2"/>
      <c r="AF68" s="402"/>
      <c r="AG68" s="213"/>
      <c r="AH68" s="378" t="str">
        <f>IF(Roster!$J$25="Italiano","ABILITÀ &amp; TRATTI",(IF(Roster!$J$25="Español","HABILIDADES Y RASGOS","SKILLS &amp; TRAITS")))</f>
        <v>ABILITÀ &amp; TRATTI</v>
      </c>
      <c r="AI68" s="313"/>
      <c r="AJ68" s="313"/>
      <c r="AK68" s="313"/>
      <c r="AL68" s="313"/>
      <c r="AM68" s="313"/>
      <c r="AN68" s="313"/>
      <c r="AO68" s="313"/>
      <c r="AP68" s="313"/>
      <c r="AQ68" s="313"/>
      <c r="AR68" s="379"/>
      <c r="AS68" s="226"/>
      <c r="AT68" s="2"/>
      <c r="AU68" s="402"/>
      <c r="AV68" s="213"/>
      <c r="AW68" s="378" t="str">
        <f>IF(Roster!$J$25="Italiano","ABILITÀ &amp; TRATTI",(IF(Roster!$J$25="Español","HABILIDADES Y RASGOS","SKILLS &amp; TRAITS")))</f>
        <v>ABILITÀ &amp; TRATTI</v>
      </c>
      <c r="AX68" s="313"/>
      <c r="AY68" s="313"/>
      <c r="AZ68" s="313"/>
      <c r="BA68" s="313"/>
      <c r="BB68" s="313"/>
      <c r="BC68" s="313"/>
      <c r="BD68" s="313"/>
      <c r="BE68" s="313"/>
      <c r="BF68" s="313"/>
      <c r="BG68" s="379"/>
      <c r="BH68" s="226"/>
      <c r="BI68" s="2"/>
    </row>
    <row r="69" spans="1:61" ht="6.75" customHeight="1">
      <c r="A69" s="2"/>
      <c r="B69" s="307"/>
      <c r="C69" s="213"/>
      <c r="D69" s="392" t="str">
        <f>IF(Roster!$O$9=0&amp;AQ50,"",Roster!$O$9)</f>
        <v>Dirty Player (+1), Juggernaut, Mighty Blow (+1), Really Stupid, Secret Weapon, Stand Firm, Guard</v>
      </c>
      <c r="E69" s="356"/>
      <c r="F69" s="356"/>
      <c r="G69" s="356"/>
      <c r="H69" s="356"/>
      <c r="I69" s="356"/>
      <c r="J69" s="356"/>
      <c r="K69" s="356"/>
      <c r="L69" s="356"/>
      <c r="M69" s="356"/>
      <c r="N69" s="381"/>
      <c r="O69" s="226"/>
      <c r="P69" s="2"/>
      <c r="Q69" s="307"/>
      <c r="R69" s="213"/>
      <c r="S69" s="392" t="str">
        <f>IF(Roster!$O$10=0&amp;BF50,"",Roster!$O$10)</f>
        <v>Always Hungry, Loner (3+), Mighty Blow (+1), Projectile Vomit, Really Stupid, Regeneration, Throw Team-mate, Stand Firm</v>
      </c>
      <c r="T69" s="356"/>
      <c r="U69" s="356"/>
      <c r="V69" s="356"/>
      <c r="W69" s="356"/>
      <c r="X69" s="356"/>
      <c r="Y69" s="356"/>
      <c r="Z69" s="356"/>
      <c r="AA69" s="356"/>
      <c r="AB69" s="356"/>
      <c r="AC69" s="381"/>
      <c r="AD69" s="226"/>
      <c r="AE69" s="2"/>
      <c r="AF69" s="307"/>
      <c r="AG69" s="213"/>
      <c r="AH69" s="392" t="str">
        <f>IF(Roster!$O$11=0&amp;BU50,"",Roster!$O$11)</f>
        <v>Always Hungry, Loner (3+), Mighty Blow (+1), Projectile Vomit, Really Stupid, Regeneration, Throw Team-mate, Stand Firm - 1 NI</v>
      </c>
      <c r="AI69" s="356"/>
      <c r="AJ69" s="356"/>
      <c r="AK69" s="356"/>
      <c r="AL69" s="356"/>
      <c r="AM69" s="356"/>
      <c r="AN69" s="356"/>
      <c r="AO69" s="356"/>
      <c r="AP69" s="356"/>
      <c r="AQ69" s="356"/>
      <c r="AR69" s="381"/>
      <c r="AS69" s="226"/>
      <c r="AT69" s="2"/>
      <c r="AU69" s="307"/>
      <c r="AV69" s="213"/>
      <c r="AW69" s="392" t="str">
        <f>IF(Roster!$O$12=0&amp;CJ50,"",Roster!$O$12)</f>
        <v>Dodge, Right Stuff, Side Step, Stunty, Swarming, Titchy - 1 NI</v>
      </c>
      <c r="AX69" s="356"/>
      <c r="AY69" s="356"/>
      <c r="AZ69" s="356"/>
      <c r="BA69" s="356"/>
      <c r="BB69" s="356"/>
      <c r="BC69" s="356"/>
      <c r="BD69" s="356"/>
      <c r="BE69" s="356"/>
      <c r="BF69" s="356"/>
      <c r="BG69" s="381"/>
      <c r="BH69" s="226"/>
      <c r="BI69" s="2"/>
    </row>
    <row r="70" spans="1:61" ht="11.25" customHeight="1">
      <c r="A70" s="2"/>
      <c r="B70" s="211" t="str">
        <f>IF(Roster!$AN$1=0,"",Roster!$AN$1)</f>
        <v>COSTO</v>
      </c>
      <c r="C70" s="212"/>
      <c r="D70" s="310"/>
      <c r="E70" s="277"/>
      <c r="F70" s="277"/>
      <c r="G70" s="277"/>
      <c r="H70" s="277"/>
      <c r="I70" s="277"/>
      <c r="J70" s="277"/>
      <c r="K70" s="277"/>
      <c r="L70" s="277"/>
      <c r="M70" s="277"/>
      <c r="N70" s="311"/>
      <c r="O70" s="230"/>
      <c r="P70" s="2"/>
      <c r="Q70" s="211" t="str">
        <f>IF(Roster!$AN$1=0,"",Roster!$AN$1)</f>
        <v>COSTO</v>
      </c>
      <c r="R70" s="212"/>
      <c r="S70" s="310"/>
      <c r="T70" s="277"/>
      <c r="U70" s="277"/>
      <c r="V70" s="277"/>
      <c r="W70" s="277"/>
      <c r="X70" s="277"/>
      <c r="Y70" s="277"/>
      <c r="Z70" s="277"/>
      <c r="AA70" s="277"/>
      <c r="AB70" s="277"/>
      <c r="AC70" s="311"/>
      <c r="AD70" s="230"/>
      <c r="AE70" s="2"/>
      <c r="AF70" s="211" t="str">
        <f>IF(Roster!$AN$1=0,"",Roster!$AN$1)</f>
        <v>COSTO</v>
      </c>
      <c r="AG70" s="212"/>
      <c r="AH70" s="310"/>
      <c r="AI70" s="277"/>
      <c r="AJ70" s="277"/>
      <c r="AK70" s="277"/>
      <c r="AL70" s="277"/>
      <c r="AM70" s="277"/>
      <c r="AN70" s="277"/>
      <c r="AO70" s="277"/>
      <c r="AP70" s="277"/>
      <c r="AQ70" s="277"/>
      <c r="AR70" s="311"/>
      <c r="AS70" s="230"/>
      <c r="AT70" s="2"/>
      <c r="AU70" s="211" t="str">
        <f>IF(Roster!$AN$1=0,"",Roster!$AN$1)</f>
        <v>COSTO</v>
      </c>
      <c r="AV70" s="212"/>
      <c r="AW70" s="310"/>
      <c r="AX70" s="277"/>
      <c r="AY70" s="277"/>
      <c r="AZ70" s="277"/>
      <c r="BA70" s="277"/>
      <c r="BB70" s="277"/>
      <c r="BC70" s="277"/>
      <c r="BD70" s="277"/>
      <c r="BE70" s="277"/>
      <c r="BF70" s="277"/>
      <c r="BG70" s="311"/>
      <c r="BH70" s="230"/>
      <c r="BI70" s="2"/>
    </row>
    <row r="71" spans="1:61" ht="34.5" customHeight="1">
      <c r="A71" s="2"/>
      <c r="B71" s="232">
        <f>IF(Roster!$AN$9=0,"",Roster!$AN$9)</f>
        <v>125000</v>
      </c>
      <c r="C71" s="233"/>
      <c r="D71" s="286"/>
      <c r="E71" s="287"/>
      <c r="F71" s="287"/>
      <c r="G71" s="287"/>
      <c r="H71" s="287"/>
      <c r="I71" s="287"/>
      <c r="J71" s="287"/>
      <c r="K71" s="287"/>
      <c r="L71" s="287"/>
      <c r="M71" s="287"/>
      <c r="N71" s="288"/>
      <c r="O71" s="230"/>
      <c r="P71" s="2"/>
      <c r="Q71" s="232">
        <f>IF(Roster!$AN$10=0,"",Roster!$AN$10)</f>
        <v>135000</v>
      </c>
      <c r="R71" s="233"/>
      <c r="S71" s="286"/>
      <c r="T71" s="287"/>
      <c r="U71" s="287"/>
      <c r="V71" s="287"/>
      <c r="W71" s="287"/>
      <c r="X71" s="287"/>
      <c r="Y71" s="287"/>
      <c r="Z71" s="287"/>
      <c r="AA71" s="287"/>
      <c r="AB71" s="287"/>
      <c r="AC71" s="288"/>
      <c r="AD71" s="230"/>
      <c r="AE71" s="2"/>
      <c r="AF71" s="232">
        <f>IF(Roster!$AN$11=0,"",Roster!$AN$11)</f>
        <v>135000</v>
      </c>
      <c r="AG71" s="233"/>
      <c r="AH71" s="286"/>
      <c r="AI71" s="287"/>
      <c r="AJ71" s="287"/>
      <c r="AK71" s="287"/>
      <c r="AL71" s="287"/>
      <c r="AM71" s="287"/>
      <c r="AN71" s="287"/>
      <c r="AO71" s="287"/>
      <c r="AP71" s="287"/>
      <c r="AQ71" s="287"/>
      <c r="AR71" s="288"/>
      <c r="AS71" s="230"/>
      <c r="AT71" s="2"/>
      <c r="AU71" s="232">
        <f>IF(Roster!$AN$12=0,"",Roster!$AN$12)</f>
        <v>15000</v>
      </c>
      <c r="AV71" s="233"/>
      <c r="AW71" s="286"/>
      <c r="AX71" s="287"/>
      <c r="AY71" s="287"/>
      <c r="AZ71" s="287"/>
      <c r="BA71" s="287"/>
      <c r="BB71" s="287"/>
      <c r="BC71" s="287"/>
      <c r="BD71" s="287"/>
      <c r="BE71" s="287"/>
      <c r="BF71" s="287"/>
      <c r="BG71" s="288"/>
      <c r="BH71" s="230"/>
      <c r="BI71" s="2"/>
    </row>
    <row r="72" spans="1:61" ht="4.5" customHeight="1">
      <c r="A72" s="2"/>
      <c r="B72" s="385"/>
      <c r="C72" s="252"/>
      <c r="D72" s="252"/>
      <c r="E72" s="252"/>
      <c r="F72" s="252"/>
      <c r="G72" s="252"/>
      <c r="H72" s="252"/>
      <c r="I72" s="252"/>
      <c r="J72" s="252"/>
      <c r="K72" s="252"/>
      <c r="L72" s="252"/>
      <c r="M72" s="252"/>
      <c r="N72" s="253"/>
      <c r="O72" s="234"/>
      <c r="P72" s="2"/>
      <c r="Q72" s="385"/>
      <c r="R72" s="252"/>
      <c r="S72" s="252"/>
      <c r="T72" s="252"/>
      <c r="U72" s="252"/>
      <c r="V72" s="252"/>
      <c r="W72" s="252"/>
      <c r="X72" s="252"/>
      <c r="Y72" s="252"/>
      <c r="Z72" s="252"/>
      <c r="AA72" s="252"/>
      <c r="AB72" s="252"/>
      <c r="AC72" s="253"/>
      <c r="AD72" s="234"/>
      <c r="AE72" s="2"/>
      <c r="AF72" s="385"/>
      <c r="AG72" s="252"/>
      <c r="AH72" s="252"/>
      <c r="AI72" s="252"/>
      <c r="AJ72" s="252"/>
      <c r="AK72" s="252"/>
      <c r="AL72" s="252"/>
      <c r="AM72" s="252"/>
      <c r="AN72" s="252"/>
      <c r="AO72" s="252"/>
      <c r="AP72" s="252"/>
      <c r="AQ72" s="252"/>
      <c r="AR72" s="253"/>
      <c r="AS72" s="234"/>
      <c r="AT72" s="2"/>
      <c r="AU72" s="385"/>
      <c r="AV72" s="252"/>
      <c r="AW72" s="252"/>
      <c r="AX72" s="252"/>
      <c r="AY72" s="252"/>
      <c r="AZ72" s="252"/>
      <c r="BA72" s="252"/>
      <c r="BB72" s="252"/>
      <c r="BC72" s="252"/>
      <c r="BD72" s="252"/>
      <c r="BE72" s="252"/>
      <c r="BF72" s="252"/>
      <c r="BG72" s="253"/>
      <c r="BH72" s="234"/>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393" t="str">
        <f>IF(Roster!$A$13=0,"","#"&amp;Roster!$A$13)</f>
        <v>#12</v>
      </c>
      <c r="C74" s="205"/>
      <c r="D74" s="205"/>
      <c r="E74" s="205"/>
      <c r="F74" s="205"/>
      <c r="G74" s="205"/>
      <c r="H74" s="205"/>
      <c r="I74" s="205"/>
      <c r="J74" s="205"/>
      <c r="K74" s="205"/>
      <c r="L74" s="205"/>
      <c r="M74" s="205"/>
      <c r="N74" s="205"/>
      <c r="O74" s="206"/>
      <c r="P74" s="2"/>
      <c r="Q74" s="393" t="str">
        <f>IF(Roster!$A$14=0,"","#"&amp;Roster!$A$14)</f>
        <v>#13</v>
      </c>
      <c r="R74" s="205"/>
      <c r="S74" s="205"/>
      <c r="T74" s="205"/>
      <c r="U74" s="205"/>
      <c r="V74" s="205"/>
      <c r="W74" s="205"/>
      <c r="X74" s="205"/>
      <c r="Y74" s="205"/>
      <c r="Z74" s="205"/>
      <c r="AA74" s="205"/>
      <c r="AB74" s="205"/>
      <c r="AC74" s="205"/>
      <c r="AD74" s="206"/>
      <c r="AE74" s="2"/>
      <c r="AF74" s="393" t="str">
        <f>IF(Roster!$A$15=0,"","#"&amp;Roster!$A$15)</f>
        <v>#14</v>
      </c>
      <c r="AG74" s="205"/>
      <c r="AH74" s="205"/>
      <c r="AI74" s="205"/>
      <c r="AJ74" s="205"/>
      <c r="AK74" s="205"/>
      <c r="AL74" s="205"/>
      <c r="AM74" s="205"/>
      <c r="AN74" s="205"/>
      <c r="AO74" s="205"/>
      <c r="AP74" s="205"/>
      <c r="AQ74" s="205"/>
      <c r="AR74" s="205"/>
      <c r="AS74" s="206"/>
      <c r="AT74" s="2"/>
      <c r="AU74" s="393" t="str">
        <f>IF(Roster!$A$16=0,"","#"&amp;Roster!$A$16)</f>
        <v>#15</v>
      </c>
      <c r="AV74" s="205"/>
      <c r="AW74" s="205"/>
      <c r="AX74" s="205"/>
      <c r="AY74" s="205"/>
      <c r="AZ74" s="205"/>
      <c r="BA74" s="205"/>
      <c r="BB74" s="205"/>
      <c r="BC74" s="205"/>
      <c r="BD74" s="205"/>
      <c r="BE74" s="205"/>
      <c r="BF74" s="205"/>
      <c r="BG74" s="205"/>
      <c r="BH74" s="206"/>
      <c r="BI74" s="2"/>
    </row>
    <row r="75" spans="1:61" ht="15" customHeight="1">
      <c r="A75" s="2"/>
      <c r="B75" s="394"/>
      <c r="C75" s="396" t="str">
        <f>IF(Roster!$B$13=0,"",Roster!$B$13)</f>
        <v>Uff</v>
      </c>
      <c r="D75" s="243"/>
      <c r="E75" s="243"/>
      <c r="F75" s="243"/>
      <c r="G75" s="243"/>
      <c r="H75" s="243"/>
      <c r="I75" s="243"/>
      <c r="J75" s="243"/>
      <c r="K75" s="243"/>
      <c r="L75" s="243"/>
      <c r="M75" s="243"/>
      <c r="N75" s="244"/>
      <c r="O75" s="207"/>
      <c r="P75" s="2"/>
      <c r="Q75" s="394"/>
      <c r="R75" s="396" t="str">
        <f>IF(Roster!$B$14=0,"",Roster!$B$14)</f>
        <v>Bleah</v>
      </c>
      <c r="S75" s="243"/>
      <c r="T75" s="243"/>
      <c r="U75" s="243"/>
      <c r="V75" s="243"/>
      <c r="W75" s="243"/>
      <c r="X75" s="243"/>
      <c r="Y75" s="243"/>
      <c r="Z75" s="243"/>
      <c r="AA75" s="243"/>
      <c r="AB75" s="243"/>
      <c r="AC75" s="244"/>
      <c r="AD75" s="207"/>
      <c r="AE75" s="2"/>
      <c r="AF75" s="394"/>
      <c r="AG75" s="396" t="str">
        <f>IF(Roster!$B$15=0,"",Roster!$B$15)</f>
        <v>Gosh</v>
      </c>
      <c r="AH75" s="243"/>
      <c r="AI75" s="243"/>
      <c r="AJ75" s="243"/>
      <c r="AK75" s="243"/>
      <c r="AL75" s="243"/>
      <c r="AM75" s="243"/>
      <c r="AN75" s="243"/>
      <c r="AO75" s="243"/>
      <c r="AP75" s="243"/>
      <c r="AQ75" s="243"/>
      <c r="AR75" s="244"/>
      <c r="AS75" s="207"/>
      <c r="AT75" s="2"/>
      <c r="AU75" s="394"/>
      <c r="AV75" s="396" t="str">
        <f>IF(Roster!$B$16=0,"",Roster!$B$16)</f>
        <v>Pif</v>
      </c>
      <c r="AW75" s="243"/>
      <c r="AX75" s="243"/>
      <c r="AY75" s="243"/>
      <c r="AZ75" s="243"/>
      <c r="BA75" s="243"/>
      <c r="BB75" s="243"/>
      <c r="BC75" s="243"/>
      <c r="BD75" s="243"/>
      <c r="BE75" s="243"/>
      <c r="BF75" s="243"/>
      <c r="BG75" s="244"/>
      <c r="BH75" s="207"/>
      <c r="BI75" s="2"/>
    </row>
    <row r="76" spans="1:61" ht="11.25" customHeight="1">
      <c r="A76" s="2"/>
      <c r="B76" s="395"/>
      <c r="C76" s="386" t="str">
        <f>IF(Roster!$C$13=0,"",Roster!$C$13)</f>
        <v>Snotling</v>
      </c>
      <c r="D76" s="243"/>
      <c r="E76" s="243"/>
      <c r="F76" s="243"/>
      <c r="G76" s="243"/>
      <c r="H76" s="243"/>
      <c r="I76" s="243"/>
      <c r="J76" s="243"/>
      <c r="K76" s="243"/>
      <c r="L76" s="243"/>
      <c r="M76" s="243"/>
      <c r="N76" s="244"/>
      <c r="O76" s="208"/>
      <c r="P76" s="2"/>
      <c r="Q76" s="395"/>
      <c r="R76" s="386" t="str">
        <f>IF(Roster!$C$14=0,"",Roster!$C$14)</f>
        <v>Snotling</v>
      </c>
      <c r="S76" s="243"/>
      <c r="T76" s="243"/>
      <c r="U76" s="243"/>
      <c r="V76" s="243"/>
      <c r="W76" s="243"/>
      <c r="X76" s="243"/>
      <c r="Y76" s="243"/>
      <c r="Z76" s="243"/>
      <c r="AA76" s="243"/>
      <c r="AB76" s="243"/>
      <c r="AC76" s="244"/>
      <c r="AD76" s="208"/>
      <c r="AE76" s="2"/>
      <c r="AF76" s="395"/>
      <c r="AG76" s="386" t="str">
        <f>IF(Roster!$C$15=0,"",Roster!$C$15)</f>
        <v>Snotling</v>
      </c>
      <c r="AH76" s="243"/>
      <c r="AI76" s="243"/>
      <c r="AJ76" s="243"/>
      <c r="AK76" s="243"/>
      <c r="AL76" s="243"/>
      <c r="AM76" s="243"/>
      <c r="AN76" s="243"/>
      <c r="AO76" s="243"/>
      <c r="AP76" s="243"/>
      <c r="AQ76" s="243"/>
      <c r="AR76" s="244"/>
      <c r="AS76" s="208"/>
      <c r="AT76" s="2"/>
      <c r="AU76" s="395"/>
      <c r="AV76" s="386" t="str">
        <f>IF(Roster!$C$16=0,"",Roster!$C$16)</f>
        <v>Snotling</v>
      </c>
      <c r="AW76" s="243"/>
      <c r="AX76" s="243"/>
      <c r="AY76" s="243"/>
      <c r="AZ76" s="243"/>
      <c r="BA76" s="243"/>
      <c r="BB76" s="243"/>
      <c r="BC76" s="243"/>
      <c r="BD76" s="243"/>
      <c r="BE76" s="243"/>
      <c r="BF76" s="243"/>
      <c r="BG76" s="244"/>
      <c r="BH76" s="208"/>
      <c r="BI76" s="2"/>
    </row>
    <row r="77" spans="1:61" ht="11.25" customHeight="1">
      <c r="A77" s="2"/>
      <c r="B77" s="211" t="str">
        <f>IF(Roster!$J$1=0,"",Roster!$J$1)</f>
        <v>MA</v>
      </c>
      <c r="C77" s="212"/>
      <c r="D77" s="212"/>
      <c r="E77" s="212"/>
      <c r="F77" s="212"/>
      <c r="G77" s="212"/>
      <c r="H77" s="212"/>
      <c r="I77" s="212"/>
      <c r="J77" s="212"/>
      <c r="K77" s="212"/>
      <c r="L77" s="212"/>
      <c r="M77" s="212"/>
      <c r="N77" s="212"/>
      <c r="O77" s="207"/>
      <c r="P77" s="2"/>
      <c r="Q77" s="211" t="str">
        <f>IF(Roster!$J$1=0,"",Roster!$J$1)</f>
        <v>MA</v>
      </c>
      <c r="R77" s="212"/>
      <c r="S77" s="212"/>
      <c r="T77" s="212"/>
      <c r="U77" s="212"/>
      <c r="V77" s="212"/>
      <c r="W77" s="212"/>
      <c r="X77" s="212"/>
      <c r="Y77" s="212"/>
      <c r="Z77" s="212"/>
      <c r="AA77" s="212"/>
      <c r="AB77" s="212"/>
      <c r="AC77" s="212"/>
      <c r="AD77" s="207"/>
      <c r="AE77" s="2"/>
      <c r="AF77" s="211" t="str">
        <f>IF(Roster!$J$1=0,"",Roster!$J$1)</f>
        <v>MA</v>
      </c>
      <c r="AG77" s="212"/>
      <c r="AH77" s="212"/>
      <c r="AI77" s="212"/>
      <c r="AJ77" s="212"/>
      <c r="AK77" s="212"/>
      <c r="AL77" s="212"/>
      <c r="AM77" s="212"/>
      <c r="AN77" s="212"/>
      <c r="AO77" s="212"/>
      <c r="AP77" s="212"/>
      <c r="AQ77" s="212"/>
      <c r="AR77" s="212"/>
      <c r="AS77" s="207"/>
      <c r="AT77" s="2"/>
      <c r="AU77" s="211" t="str">
        <f>IF(Roster!$J$1=0,"",Roster!$J$1)</f>
        <v>MA</v>
      </c>
      <c r="AV77" s="212"/>
      <c r="AW77" s="212"/>
      <c r="AX77" s="212"/>
      <c r="AY77" s="212"/>
      <c r="AZ77" s="212"/>
      <c r="BA77" s="212"/>
      <c r="BB77" s="212"/>
      <c r="BC77" s="212"/>
      <c r="BD77" s="212"/>
      <c r="BE77" s="212"/>
      <c r="BF77" s="212"/>
      <c r="BG77" s="212"/>
      <c r="BH77" s="207"/>
      <c r="BI77" s="2"/>
    </row>
    <row r="78" spans="1:61" ht="37.5" customHeight="1">
      <c r="A78" s="2"/>
      <c r="B78" s="214">
        <f>IF(Roster!$J$13=0,"",Roster!$J$13)</f>
        <v>5</v>
      </c>
      <c r="C78" s="212"/>
      <c r="D78" s="397"/>
      <c r="E78" s="284"/>
      <c r="F78" s="284"/>
      <c r="G78" s="284"/>
      <c r="H78" s="284"/>
      <c r="I78" s="284"/>
      <c r="J78" s="284"/>
      <c r="K78" s="284"/>
      <c r="L78" s="284"/>
      <c r="M78" s="284"/>
      <c r="N78" s="285"/>
      <c r="O78" s="207"/>
      <c r="P78" s="2"/>
      <c r="Q78" s="214">
        <f>IF(Roster!$J$14=0,"",Roster!$J$14)</f>
        <v>5</v>
      </c>
      <c r="R78" s="212"/>
      <c r="S78" s="397"/>
      <c r="T78" s="284"/>
      <c r="U78" s="284"/>
      <c r="V78" s="284"/>
      <c r="W78" s="284"/>
      <c r="X78" s="284"/>
      <c r="Y78" s="284"/>
      <c r="Z78" s="284"/>
      <c r="AA78" s="284"/>
      <c r="AB78" s="284"/>
      <c r="AC78" s="285"/>
      <c r="AD78" s="207"/>
      <c r="AE78" s="2"/>
      <c r="AF78" s="214">
        <f>IF(Roster!$J$15=0,"",Roster!$J$15)</f>
        <v>5</v>
      </c>
      <c r="AG78" s="212"/>
      <c r="AH78" s="397"/>
      <c r="AI78" s="284"/>
      <c r="AJ78" s="284"/>
      <c r="AK78" s="284"/>
      <c r="AL78" s="284"/>
      <c r="AM78" s="284"/>
      <c r="AN78" s="284"/>
      <c r="AO78" s="284"/>
      <c r="AP78" s="284"/>
      <c r="AQ78" s="284"/>
      <c r="AR78" s="285"/>
      <c r="AS78" s="207"/>
      <c r="AT78" s="2"/>
      <c r="AU78" s="214">
        <f>IF(Roster!$J$16=0,"",Roster!$J$16)</f>
        <v>5</v>
      </c>
      <c r="AV78" s="212"/>
      <c r="AW78" s="397"/>
      <c r="AX78" s="284"/>
      <c r="AY78" s="284"/>
      <c r="AZ78" s="284"/>
      <c r="BA78" s="284"/>
      <c r="BB78" s="284"/>
      <c r="BC78" s="284"/>
      <c r="BD78" s="284"/>
      <c r="BE78" s="284"/>
      <c r="BF78" s="284"/>
      <c r="BG78" s="285"/>
      <c r="BH78" s="207"/>
      <c r="BI78" s="2"/>
    </row>
    <row r="79" spans="1:61" ht="11.25" customHeight="1">
      <c r="A79" s="2"/>
      <c r="B79" s="211" t="str">
        <f>IF(Roster!$K$1=0,"",Roster!$K$1)</f>
        <v>ST</v>
      </c>
      <c r="C79" s="212"/>
      <c r="D79" s="310"/>
      <c r="E79" s="277"/>
      <c r="F79" s="277"/>
      <c r="G79" s="277"/>
      <c r="H79" s="277"/>
      <c r="I79" s="277"/>
      <c r="J79" s="277"/>
      <c r="K79" s="277"/>
      <c r="L79" s="277"/>
      <c r="M79" s="277"/>
      <c r="N79" s="311"/>
      <c r="O79" s="207"/>
      <c r="P79" s="2"/>
      <c r="Q79" s="211" t="str">
        <f>IF(Roster!$K$1=0,"",Roster!$K$1)</f>
        <v>ST</v>
      </c>
      <c r="R79" s="212"/>
      <c r="S79" s="310"/>
      <c r="T79" s="277"/>
      <c r="U79" s="277"/>
      <c r="V79" s="277"/>
      <c r="W79" s="277"/>
      <c r="X79" s="277"/>
      <c r="Y79" s="277"/>
      <c r="Z79" s="277"/>
      <c r="AA79" s="277"/>
      <c r="AB79" s="277"/>
      <c r="AC79" s="311"/>
      <c r="AD79" s="207"/>
      <c r="AE79" s="2"/>
      <c r="AF79" s="211" t="str">
        <f>IF(Roster!$K$1=0,"",Roster!$K$1)</f>
        <v>ST</v>
      </c>
      <c r="AG79" s="212"/>
      <c r="AH79" s="310"/>
      <c r="AI79" s="277"/>
      <c r="AJ79" s="277"/>
      <c r="AK79" s="277"/>
      <c r="AL79" s="277"/>
      <c r="AM79" s="277"/>
      <c r="AN79" s="277"/>
      <c r="AO79" s="277"/>
      <c r="AP79" s="277"/>
      <c r="AQ79" s="277"/>
      <c r="AR79" s="311"/>
      <c r="AS79" s="207"/>
      <c r="AT79" s="2"/>
      <c r="AU79" s="211" t="str">
        <f>IF(Roster!$K$1=0,"",Roster!$K$1)</f>
        <v>ST</v>
      </c>
      <c r="AV79" s="212"/>
      <c r="AW79" s="310"/>
      <c r="AX79" s="277"/>
      <c r="AY79" s="277"/>
      <c r="AZ79" s="277"/>
      <c r="BA79" s="277"/>
      <c r="BB79" s="277"/>
      <c r="BC79" s="277"/>
      <c r="BD79" s="277"/>
      <c r="BE79" s="277"/>
      <c r="BF79" s="277"/>
      <c r="BG79" s="311"/>
      <c r="BH79" s="207"/>
      <c r="BI79" s="2"/>
    </row>
    <row r="80" spans="1:61" ht="37.5" customHeight="1">
      <c r="A80" s="2"/>
      <c r="B80" s="214">
        <f>IF(Roster!$K$13=0,"",Roster!$K$13)</f>
        <v>1</v>
      </c>
      <c r="C80" s="212"/>
      <c r="D80" s="310"/>
      <c r="E80" s="277"/>
      <c r="F80" s="277"/>
      <c r="G80" s="277"/>
      <c r="H80" s="277"/>
      <c r="I80" s="277"/>
      <c r="J80" s="277"/>
      <c r="K80" s="277"/>
      <c r="L80" s="277"/>
      <c r="M80" s="277"/>
      <c r="N80" s="311"/>
      <c r="O80" s="207"/>
      <c r="P80" s="2"/>
      <c r="Q80" s="214">
        <f>IF(Roster!$K$14=0,"",Roster!$K$14)</f>
        <v>1</v>
      </c>
      <c r="R80" s="212"/>
      <c r="S80" s="310"/>
      <c r="T80" s="277"/>
      <c r="U80" s="277"/>
      <c r="V80" s="277"/>
      <c r="W80" s="277"/>
      <c r="X80" s="277"/>
      <c r="Y80" s="277"/>
      <c r="Z80" s="277"/>
      <c r="AA80" s="277"/>
      <c r="AB80" s="277"/>
      <c r="AC80" s="311"/>
      <c r="AD80" s="207"/>
      <c r="AE80" s="2"/>
      <c r="AF80" s="214">
        <f>IF(Roster!$K$15=0,"",Roster!$K$15)</f>
        <v>1</v>
      </c>
      <c r="AG80" s="212"/>
      <c r="AH80" s="310"/>
      <c r="AI80" s="277"/>
      <c r="AJ80" s="277"/>
      <c r="AK80" s="277"/>
      <c r="AL80" s="277"/>
      <c r="AM80" s="277"/>
      <c r="AN80" s="277"/>
      <c r="AO80" s="277"/>
      <c r="AP80" s="277"/>
      <c r="AQ80" s="277"/>
      <c r="AR80" s="311"/>
      <c r="AS80" s="207"/>
      <c r="AT80" s="2"/>
      <c r="AU80" s="214">
        <f>IF(Roster!$K$16=0,"",Roster!$K$16)</f>
        <v>1</v>
      </c>
      <c r="AV80" s="212"/>
      <c r="AW80" s="310"/>
      <c r="AX80" s="277"/>
      <c r="AY80" s="277"/>
      <c r="AZ80" s="277"/>
      <c r="BA80" s="277"/>
      <c r="BB80" s="277"/>
      <c r="BC80" s="277"/>
      <c r="BD80" s="277"/>
      <c r="BE80" s="277"/>
      <c r="BF80" s="277"/>
      <c r="BG80" s="311"/>
      <c r="BH80" s="207"/>
      <c r="BI80" s="2"/>
    </row>
    <row r="81" spans="1:61" ht="11.25" customHeight="1">
      <c r="A81" s="2"/>
      <c r="B81" s="211" t="str">
        <f>IF(Roster!$L$1=0,"",Roster!$L$1)</f>
        <v>AG</v>
      </c>
      <c r="C81" s="212"/>
      <c r="D81" s="310"/>
      <c r="E81" s="277"/>
      <c r="F81" s="277"/>
      <c r="G81" s="277"/>
      <c r="H81" s="277"/>
      <c r="I81" s="277"/>
      <c r="J81" s="277"/>
      <c r="K81" s="277"/>
      <c r="L81" s="277"/>
      <c r="M81" s="277"/>
      <c r="N81" s="311"/>
      <c r="O81" s="207"/>
      <c r="P81" s="2"/>
      <c r="Q81" s="211" t="str">
        <f>IF(Roster!$L$1=0,"",Roster!$L$1)</f>
        <v>AG</v>
      </c>
      <c r="R81" s="212"/>
      <c r="S81" s="310"/>
      <c r="T81" s="277"/>
      <c r="U81" s="277"/>
      <c r="V81" s="277"/>
      <c r="W81" s="277"/>
      <c r="X81" s="277"/>
      <c r="Y81" s="277"/>
      <c r="Z81" s="277"/>
      <c r="AA81" s="277"/>
      <c r="AB81" s="277"/>
      <c r="AC81" s="311"/>
      <c r="AD81" s="207"/>
      <c r="AE81" s="2"/>
      <c r="AF81" s="211" t="str">
        <f>IF(Roster!$L$1=0,"",Roster!$L$1)</f>
        <v>AG</v>
      </c>
      <c r="AG81" s="212"/>
      <c r="AH81" s="310"/>
      <c r="AI81" s="277"/>
      <c r="AJ81" s="277"/>
      <c r="AK81" s="277"/>
      <c r="AL81" s="277"/>
      <c r="AM81" s="277"/>
      <c r="AN81" s="277"/>
      <c r="AO81" s="277"/>
      <c r="AP81" s="277"/>
      <c r="AQ81" s="277"/>
      <c r="AR81" s="311"/>
      <c r="AS81" s="207"/>
      <c r="AT81" s="2"/>
      <c r="AU81" s="211" t="str">
        <f>IF(Roster!$L$1=0,"",Roster!$L$1)</f>
        <v>AG</v>
      </c>
      <c r="AV81" s="212"/>
      <c r="AW81" s="310"/>
      <c r="AX81" s="277"/>
      <c r="AY81" s="277"/>
      <c r="AZ81" s="277"/>
      <c r="BA81" s="277"/>
      <c r="BB81" s="277"/>
      <c r="BC81" s="277"/>
      <c r="BD81" s="277"/>
      <c r="BE81" s="277"/>
      <c r="BF81" s="277"/>
      <c r="BG81" s="311"/>
      <c r="BH81" s="207"/>
      <c r="BI81" s="2"/>
    </row>
    <row r="82" spans="1:61" ht="37.5" customHeight="1">
      <c r="A82" s="2"/>
      <c r="B82" s="214" t="str">
        <f>IF(Roster!$L$13=0&amp;"+","",Roster!$L$13)</f>
        <v>3+</v>
      </c>
      <c r="C82" s="212"/>
      <c r="D82" s="310"/>
      <c r="E82" s="277"/>
      <c r="F82" s="277"/>
      <c r="G82" s="277"/>
      <c r="H82" s="277"/>
      <c r="I82" s="277"/>
      <c r="J82" s="277"/>
      <c r="K82" s="277"/>
      <c r="L82" s="277"/>
      <c r="M82" s="277"/>
      <c r="N82" s="311"/>
      <c r="O82" s="207"/>
      <c r="P82" s="2"/>
      <c r="Q82" s="214" t="str">
        <f>IF(Roster!$L$14=0&amp;"+","",Roster!$L$14)</f>
        <v>3+</v>
      </c>
      <c r="R82" s="212"/>
      <c r="S82" s="310"/>
      <c r="T82" s="277"/>
      <c r="U82" s="277"/>
      <c r="V82" s="277"/>
      <c r="W82" s="277"/>
      <c r="X82" s="277"/>
      <c r="Y82" s="277"/>
      <c r="Z82" s="277"/>
      <c r="AA82" s="277"/>
      <c r="AB82" s="277"/>
      <c r="AC82" s="311"/>
      <c r="AD82" s="207"/>
      <c r="AE82" s="2"/>
      <c r="AF82" s="214" t="str">
        <f>IF(Roster!$L$15=0&amp;"+","",Roster!$L$15)</f>
        <v>3+</v>
      </c>
      <c r="AG82" s="212"/>
      <c r="AH82" s="310"/>
      <c r="AI82" s="277"/>
      <c r="AJ82" s="277"/>
      <c r="AK82" s="277"/>
      <c r="AL82" s="277"/>
      <c r="AM82" s="277"/>
      <c r="AN82" s="277"/>
      <c r="AO82" s="277"/>
      <c r="AP82" s="277"/>
      <c r="AQ82" s="277"/>
      <c r="AR82" s="311"/>
      <c r="AS82" s="207"/>
      <c r="AT82" s="2"/>
      <c r="AU82" s="214" t="str">
        <f>IF(Roster!$L$16=0&amp;"+","",Roster!$L$16)</f>
        <v>3+</v>
      </c>
      <c r="AV82" s="212"/>
      <c r="AW82" s="310"/>
      <c r="AX82" s="277"/>
      <c r="AY82" s="277"/>
      <c r="AZ82" s="277"/>
      <c r="BA82" s="277"/>
      <c r="BB82" s="277"/>
      <c r="BC82" s="277"/>
      <c r="BD82" s="277"/>
      <c r="BE82" s="277"/>
      <c r="BF82" s="277"/>
      <c r="BG82" s="311"/>
      <c r="BH82" s="207"/>
      <c r="BI82" s="2"/>
    </row>
    <row r="83" spans="1:61" ht="11.25" customHeight="1">
      <c r="A83" s="2"/>
      <c r="B83" s="211" t="str">
        <f>IF(Roster!$M$1=0,"",Roster!$M$1)</f>
        <v>PA</v>
      </c>
      <c r="C83" s="212"/>
      <c r="D83" s="310"/>
      <c r="E83" s="277"/>
      <c r="F83" s="277"/>
      <c r="G83" s="277"/>
      <c r="H83" s="277"/>
      <c r="I83" s="277"/>
      <c r="J83" s="277"/>
      <c r="K83" s="277"/>
      <c r="L83" s="277"/>
      <c r="M83" s="277"/>
      <c r="N83" s="311"/>
      <c r="O83" s="216"/>
      <c r="P83" s="2"/>
      <c r="Q83" s="211" t="str">
        <f>IF(Roster!$M$1=0,"",Roster!$M$1)</f>
        <v>PA</v>
      </c>
      <c r="R83" s="212"/>
      <c r="S83" s="310"/>
      <c r="T83" s="277"/>
      <c r="U83" s="277"/>
      <c r="V83" s="277"/>
      <c r="W83" s="277"/>
      <c r="X83" s="277"/>
      <c r="Y83" s="277"/>
      <c r="Z83" s="277"/>
      <c r="AA83" s="277"/>
      <c r="AB83" s="277"/>
      <c r="AC83" s="311"/>
      <c r="AD83" s="216"/>
      <c r="AE83" s="2"/>
      <c r="AF83" s="211" t="str">
        <f>IF(Roster!$M$1=0,"",Roster!$M$1)</f>
        <v>PA</v>
      </c>
      <c r="AG83" s="212"/>
      <c r="AH83" s="310"/>
      <c r="AI83" s="277"/>
      <c r="AJ83" s="277"/>
      <c r="AK83" s="277"/>
      <c r="AL83" s="277"/>
      <c r="AM83" s="277"/>
      <c r="AN83" s="277"/>
      <c r="AO83" s="277"/>
      <c r="AP83" s="277"/>
      <c r="AQ83" s="277"/>
      <c r="AR83" s="311"/>
      <c r="AS83" s="216"/>
      <c r="AT83" s="2"/>
      <c r="AU83" s="211" t="str">
        <f>IF(Roster!$M$1=0,"",Roster!$M$1)</f>
        <v>PA</v>
      </c>
      <c r="AV83" s="212"/>
      <c r="AW83" s="310"/>
      <c r="AX83" s="277"/>
      <c r="AY83" s="277"/>
      <c r="AZ83" s="277"/>
      <c r="BA83" s="277"/>
      <c r="BB83" s="277"/>
      <c r="BC83" s="277"/>
      <c r="BD83" s="277"/>
      <c r="BE83" s="277"/>
      <c r="BF83" s="277"/>
      <c r="BG83" s="311"/>
      <c r="BH83" s="216"/>
      <c r="BI83" s="2"/>
    </row>
    <row r="84" spans="1:61" ht="6" customHeight="1">
      <c r="A84" s="2"/>
      <c r="B84" s="401" t="str">
        <f>IF(Roster!$M$13=0&amp;"+","",Roster!$M$13)</f>
        <v>5+</v>
      </c>
      <c r="C84" s="212"/>
      <c r="D84" s="286"/>
      <c r="E84" s="287"/>
      <c r="F84" s="287"/>
      <c r="G84" s="287"/>
      <c r="H84" s="287"/>
      <c r="I84" s="287"/>
      <c r="J84" s="287"/>
      <c r="K84" s="287"/>
      <c r="L84" s="287"/>
      <c r="M84" s="287"/>
      <c r="N84" s="288"/>
      <c r="O84" s="218"/>
      <c r="P84" s="2"/>
      <c r="Q84" s="401" t="str">
        <f>IF(Roster!$M$14=0&amp;"+","",Roster!$M$14)</f>
        <v>5+</v>
      </c>
      <c r="R84" s="212"/>
      <c r="S84" s="286"/>
      <c r="T84" s="287"/>
      <c r="U84" s="287"/>
      <c r="V84" s="287"/>
      <c r="W84" s="287"/>
      <c r="X84" s="287"/>
      <c r="Y84" s="287"/>
      <c r="Z84" s="287"/>
      <c r="AA84" s="287"/>
      <c r="AB84" s="287"/>
      <c r="AC84" s="288"/>
      <c r="AD84" s="218"/>
      <c r="AE84" s="2"/>
      <c r="AF84" s="401" t="str">
        <f>IF(Roster!$M$15=0&amp;"+","",Roster!$M$15)</f>
        <v>5+</v>
      </c>
      <c r="AG84" s="212"/>
      <c r="AH84" s="286"/>
      <c r="AI84" s="287"/>
      <c r="AJ84" s="287"/>
      <c r="AK84" s="287"/>
      <c r="AL84" s="287"/>
      <c r="AM84" s="287"/>
      <c r="AN84" s="287"/>
      <c r="AO84" s="287"/>
      <c r="AP84" s="287"/>
      <c r="AQ84" s="287"/>
      <c r="AR84" s="288"/>
      <c r="AS84" s="218"/>
      <c r="AT84" s="2"/>
      <c r="AU84" s="401" t="str">
        <f>IF(Roster!$M$16=0&amp;"+","",Roster!$M$16)</f>
        <v>5+</v>
      </c>
      <c r="AV84" s="212"/>
      <c r="AW84" s="286"/>
      <c r="AX84" s="287"/>
      <c r="AY84" s="287"/>
      <c r="AZ84" s="287"/>
      <c r="BA84" s="287"/>
      <c r="BB84" s="287"/>
      <c r="BC84" s="287"/>
      <c r="BD84" s="287"/>
      <c r="BE84" s="287"/>
      <c r="BF84" s="287"/>
      <c r="BG84" s="288"/>
      <c r="BH84" s="218"/>
      <c r="BI84" s="2"/>
    </row>
    <row r="85" spans="1:61" ht="4.5" customHeight="1">
      <c r="A85" s="2"/>
      <c r="B85" s="402"/>
      <c r="C85" s="210"/>
      <c r="D85" s="219"/>
      <c r="E85" s="217"/>
      <c r="F85" s="219"/>
      <c r="G85" s="217"/>
      <c r="H85" s="219"/>
      <c r="I85" s="217"/>
      <c r="J85" s="219"/>
      <c r="K85" s="217"/>
      <c r="L85" s="219"/>
      <c r="M85" s="217"/>
      <c r="N85" s="219"/>
      <c r="O85" s="218"/>
      <c r="P85" s="2"/>
      <c r="Q85" s="402"/>
      <c r="R85" s="210"/>
      <c r="S85" s="219"/>
      <c r="T85" s="217"/>
      <c r="U85" s="219"/>
      <c r="V85" s="217"/>
      <c r="W85" s="219"/>
      <c r="X85" s="217"/>
      <c r="Y85" s="219"/>
      <c r="Z85" s="217"/>
      <c r="AA85" s="219"/>
      <c r="AB85" s="217"/>
      <c r="AC85" s="219"/>
      <c r="AD85" s="218"/>
      <c r="AE85" s="2"/>
      <c r="AF85" s="402"/>
      <c r="AG85" s="210"/>
      <c r="AH85" s="219"/>
      <c r="AI85" s="217"/>
      <c r="AJ85" s="219"/>
      <c r="AK85" s="217"/>
      <c r="AL85" s="219"/>
      <c r="AM85" s="217"/>
      <c r="AN85" s="219"/>
      <c r="AO85" s="217"/>
      <c r="AP85" s="219"/>
      <c r="AQ85" s="217"/>
      <c r="AR85" s="219"/>
      <c r="AS85" s="218"/>
      <c r="AT85" s="2"/>
      <c r="AU85" s="402"/>
      <c r="AV85" s="210"/>
      <c r="AW85" s="219"/>
      <c r="AX85" s="217"/>
      <c r="AY85" s="219"/>
      <c r="AZ85" s="217"/>
      <c r="BA85" s="219"/>
      <c r="BB85" s="217"/>
      <c r="BC85" s="219"/>
      <c r="BD85" s="217"/>
      <c r="BE85" s="219"/>
      <c r="BF85" s="217"/>
      <c r="BG85" s="219"/>
      <c r="BH85" s="218"/>
      <c r="BI85" s="2"/>
    </row>
    <row r="86" spans="1:61" ht="11.25" customHeight="1">
      <c r="A86" s="2"/>
      <c r="B86" s="402"/>
      <c r="C86" s="210"/>
      <c r="D86" s="220" t="str">
        <f>IF(Roster!$AC$1=0,"",Roster!$AC$1)</f>
        <v>TD</v>
      </c>
      <c r="E86" s="221"/>
      <c r="F86" s="220" t="str">
        <f>IF(Roster!$J$25="Español","HER",(IF(Roster!$J$25="Deutsch","VER",(IF(Roster!$J$25="Français","BLES","CAS")))))</f>
        <v>CAS</v>
      </c>
      <c r="G86" s="221"/>
      <c r="H86" s="220" t="str">
        <f>IF(Roster!$AF$1=0,"",Roster!$AF$1)</f>
        <v>BH</v>
      </c>
      <c r="I86" s="221"/>
      <c r="J86" s="220" t="str">
        <f>IF(Roster!$AG$1=0,"",Roster!$AG$1)</f>
        <v>SI</v>
      </c>
      <c r="K86" s="221"/>
      <c r="L86" s="220" t="str">
        <f>IF(Roster!$AH$1=0,"",Roster!$AH$1)</f>
        <v>KILL</v>
      </c>
      <c r="M86" s="221"/>
      <c r="N86" s="220" t="str">
        <f>IF(Roster!$AB$1=0,"",Roster!$AB$1)</f>
        <v>CP</v>
      </c>
      <c r="O86" s="218"/>
      <c r="P86" s="2"/>
      <c r="Q86" s="402"/>
      <c r="R86" s="210"/>
      <c r="S86" s="220" t="str">
        <f>IF(Roster!$AC$1=0,"",Roster!$AC$1)</f>
        <v>TD</v>
      </c>
      <c r="T86" s="221"/>
      <c r="U86" s="220" t="str">
        <f>IF(Roster!$J$25="Español","HER",(IF(Roster!$J$25="Deutsch","VER",(IF(Roster!$J$25="Français","BLES","CAS")))))</f>
        <v>CAS</v>
      </c>
      <c r="V86" s="221"/>
      <c r="W86" s="220" t="str">
        <f>IF(Roster!$AF$1=0,"",Roster!$AF$1)</f>
        <v>BH</v>
      </c>
      <c r="X86" s="221"/>
      <c r="Y86" s="220" t="str">
        <f>IF(Roster!$AG$1=0,"",Roster!$AG$1)</f>
        <v>SI</v>
      </c>
      <c r="Z86" s="221"/>
      <c r="AA86" s="220" t="str">
        <f>IF(Roster!$AH$1=0,"",Roster!$AH$1)</f>
        <v>KILL</v>
      </c>
      <c r="AB86" s="221"/>
      <c r="AC86" s="220" t="str">
        <f>IF(Roster!$AB$1=0,"",Roster!$AB$1)</f>
        <v>CP</v>
      </c>
      <c r="AD86" s="218"/>
      <c r="AE86" s="2"/>
      <c r="AF86" s="402"/>
      <c r="AG86" s="210"/>
      <c r="AH86" s="220" t="str">
        <f>IF(Roster!$AC$1=0,"",Roster!$AC$1)</f>
        <v>TD</v>
      </c>
      <c r="AI86" s="221"/>
      <c r="AJ86" s="220" t="str">
        <f>IF(Roster!$J$25="Español","HER",(IF(Roster!$J$25="Deutsch","VER",(IF(Roster!$J$25="Français","BLES","CAS")))))</f>
        <v>CAS</v>
      </c>
      <c r="AK86" s="221"/>
      <c r="AL86" s="220" t="str">
        <f>IF(Roster!$AF$1=0,"",Roster!$AF$1)</f>
        <v>BH</v>
      </c>
      <c r="AM86" s="221"/>
      <c r="AN86" s="220" t="str">
        <f>IF(Roster!$AG$1=0,"",Roster!$AG$1)</f>
        <v>SI</v>
      </c>
      <c r="AO86" s="221"/>
      <c r="AP86" s="220" t="str">
        <f>IF(Roster!$AH$1=0,"",Roster!$AH$1)</f>
        <v>KILL</v>
      </c>
      <c r="AQ86" s="221"/>
      <c r="AR86" s="220" t="str">
        <f>IF(Roster!$AB$1=0,"",Roster!$AB$1)</f>
        <v>CP</v>
      </c>
      <c r="AS86" s="218"/>
      <c r="AT86" s="2"/>
      <c r="AU86" s="402"/>
      <c r="AV86" s="210"/>
      <c r="AW86" s="220" t="str">
        <f>IF(Roster!$AC$1=0,"",Roster!$AC$1)</f>
        <v>TD</v>
      </c>
      <c r="AX86" s="221"/>
      <c r="AY86" s="220" t="str">
        <f>IF(Roster!$J$25="Español","HER",(IF(Roster!$J$25="Deutsch","VER",(IF(Roster!$J$25="Français","BLES","CAS")))))</f>
        <v>CAS</v>
      </c>
      <c r="AZ86" s="221"/>
      <c r="BA86" s="220" t="str">
        <f>IF(Roster!$AF$1=0,"",Roster!$AF$1)</f>
        <v>BH</v>
      </c>
      <c r="BB86" s="221"/>
      <c r="BC86" s="220" t="str">
        <f>IF(Roster!$AG$1=0,"",Roster!$AG$1)</f>
        <v>SI</v>
      </c>
      <c r="BD86" s="221"/>
      <c r="BE86" s="220" t="str">
        <f>IF(Roster!$AH$1=0,"",Roster!$AH$1)</f>
        <v>KILL</v>
      </c>
      <c r="BF86" s="221"/>
      <c r="BG86" s="220" t="str">
        <f>IF(Roster!$AB$1=0,"",Roster!$AB$1)</f>
        <v>CP</v>
      </c>
      <c r="BH86" s="218"/>
      <c r="BI86" s="2"/>
    </row>
    <row r="87" spans="1:61" ht="15" customHeight="1">
      <c r="A87" s="2"/>
      <c r="B87" s="402"/>
      <c r="C87" s="213"/>
      <c r="D87" s="222" t="str">
        <f>IF(Roster!$AC$13=0,"",Roster!$AC$13)</f>
        <v/>
      </c>
      <c r="E87" s="223"/>
      <c r="F87" s="222" t="str">
        <f>IF((SUM(H87,J87,L87))=0,"",(SUM(H87,J87,L87)))</f>
        <v/>
      </c>
      <c r="G87" s="223"/>
      <c r="H87" s="222" t="str">
        <f>IF(Roster!$AF$13=0,"",Roster!$AF$13)</f>
        <v/>
      </c>
      <c r="I87" s="223"/>
      <c r="J87" s="222" t="str">
        <f>IF(Roster!$AG$13=0,"",Roster!$AG$13)</f>
        <v/>
      </c>
      <c r="K87" s="223"/>
      <c r="L87" s="222" t="str">
        <f>IF(Roster!$AH$13=0,"",Roster!$AH$13)</f>
        <v/>
      </c>
      <c r="M87" s="223"/>
      <c r="N87" s="222" t="str">
        <f>IF(Roster!$AB$13=0,"",Roster!$AB$13)</f>
        <v/>
      </c>
      <c r="O87" s="218"/>
      <c r="P87" s="2"/>
      <c r="Q87" s="402"/>
      <c r="R87" s="213"/>
      <c r="S87" s="222" t="str">
        <f>IF(Roster!$AC$14=0,"",Roster!$AC$14)</f>
        <v/>
      </c>
      <c r="T87" s="223"/>
      <c r="U87" s="222">
        <f>IF((SUM(W87,Y87,AA87))=0,"",(SUM(W87,Y87,AA87)))</f>
        <v>1</v>
      </c>
      <c r="V87" s="223"/>
      <c r="W87" s="222">
        <f>IF(Roster!$AF$14=0,"",Roster!$AF$14)</f>
        <v>1</v>
      </c>
      <c r="X87" s="223"/>
      <c r="Y87" s="222" t="str">
        <f>IF(Roster!$AG$14=0,"",Roster!$AG$14)</f>
        <v/>
      </c>
      <c r="Z87" s="223"/>
      <c r="AA87" s="222" t="str">
        <f>IF(Roster!$AH$14=0,"",Roster!$AH$14)</f>
        <v/>
      </c>
      <c r="AB87" s="223"/>
      <c r="AC87" s="222" t="str">
        <f>IF(Roster!$AB$14=0,"",Roster!$AB$14)</f>
        <v/>
      </c>
      <c r="AD87" s="218"/>
      <c r="AE87" s="2"/>
      <c r="AF87" s="402"/>
      <c r="AG87" s="213"/>
      <c r="AH87" s="222">
        <f>IF(Roster!$AC$15=0,"",Roster!$AC$15)</f>
        <v>1</v>
      </c>
      <c r="AI87" s="223"/>
      <c r="AJ87" s="222" t="str">
        <f>IF((SUM(AL87,AN87,AP87))=0,"",(SUM(AL87,AN87,AP87)))</f>
        <v/>
      </c>
      <c r="AK87" s="223"/>
      <c r="AL87" s="222" t="str">
        <f>IF(Roster!$AF$15=0,"",Roster!$AF$15)</f>
        <v/>
      </c>
      <c r="AM87" s="223"/>
      <c r="AN87" s="222" t="str">
        <f>IF(Roster!$AG$15=0,"",Roster!$AG$15)</f>
        <v/>
      </c>
      <c r="AO87" s="223"/>
      <c r="AP87" s="222" t="str">
        <f>IF(Roster!$AH$15=0,"",Roster!$AH$15)</f>
        <v/>
      </c>
      <c r="AQ87" s="223"/>
      <c r="AR87" s="222" t="str">
        <f>IF(Roster!$AB$15=0,"",Roster!$AB$15)</f>
        <v/>
      </c>
      <c r="AS87" s="218"/>
      <c r="AT87" s="2"/>
      <c r="AU87" s="402"/>
      <c r="AV87" s="213"/>
      <c r="AW87" s="222" t="str">
        <f>IF(Roster!$AC$16=0,"",Roster!$AC$16)</f>
        <v/>
      </c>
      <c r="AX87" s="223"/>
      <c r="AY87" s="222" t="str">
        <f>IF((SUM(BA87,BC87,BE87))=0,"",(SUM(BA87,BC87,BE87)))</f>
        <v/>
      </c>
      <c r="AZ87" s="223"/>
      <c r="BA87" s="222" t="str">
        <f>IF(Roster!$AF$16=0,"",Roster!$AF$16)</f>
        <v/>
      </c>
      <c r="BB87" s="223"/>
      <c r="BC87" s="222" t="str">
        <f>IF(Roster!$AG$16=0,"",Roster!$AG$16)</f>
        <v/>
      </c>
      <c r="BD87" s="223"/>
      <c r="BE87" s="222" t="str">
        <f>IF(Roster!$AH$16=0,"",Roster!$AH$16)</f>
        <v/>
      </c>
      <c r="BF87" s="223"/>
      <c r="BG87" s="222" t="str">
        <f>IF(Roster!$AB$16=0,"",Roster!$AB$16)</f>
        <v/>
      </c>
      <c r="BH87" s="218"/>
      <c r="BI87" s="2"/>
    </row>
    <row r="88" spans="1:61" ht="4.5" customHeight="1">
      <c r="A88" s="2"/>
      <c r="B88" s="307"/>
      <c r="C88" s="213"/>
      <c r="D88" s="45"/>
      <c r="E88" s="223"/>
      <c r="F88" s="45"/>
      <c r="G88" s="223"/>
      <c r="H88" s="45"/>
      <c r="I88" s="223"/>
      <c r="J88" s="45"/>
      <c r="K88" s="223"/>
      <c r="L88" s="45"/>
      <c r="M88" s="223"/>
      <c r="N88" s="45"/>
      <c r="O88" s="218"/>
      <c r="P88" s="2"/>
      <c r="Q88" s="307"/>
      <c r="R88" s="213"/>
      <c r="S88" s="45"/>
      <c r="T88" s="223"/>
      <c r="U88" s="45"/>
      <c r="V88" s="223"/>
      <c r="W88" s="45"/>
      <c r="X88" s="223"/>
      <c r="Y88" s="45"/>
      <c r="Z88" s="223"/>
      <c r="AA88" s="45"/>
      <c r="AB88" s="223"/>
      <c r="AC88" s="45"/>
      <c r="AD88" s="218"/>
      <c r="AE88" s="2"/>
      <c r="AF88" s="307"/>
      <c r="AG88" s="213"/>
      <c r="AH88" s="45"/>
      <c r="AI88" s="223"/>
      <c r="AJ88" s="45"/>
      <c r="AK88" s="223"/>
      <c r="AL88" s="45"/>
      <c r="AM88" s="223"/>
      <c r="AN88" s="45"/>
      <c r="AO88" s="223"/>
      <c r="AP88" s="45"/>
      <c r="AQ88" s="223"/>
      <c r="AR88" s="45"/>
      <c r="AS88" s="218"/>
      <c r="AT88" s="2"/>
      <c r="AU88" s="307"/>
      <c r="AV88" s="213"/>
      <c r="AW88" s="45"/>
      <c r="AX88" s="223"/>
      <c r="AY88" s="45"/>
      <c r="AZ88" s="223"/>
      <c r="BA88" s="45"/>
      <c r="BB88" s="223"/>
      <c r="BC88" s="45"/>
      <c r="BD88" s="223"/>
      <c r="BE88" s="45"/>
      <c r="BF88" s="223"/>
      <c r="BG88" s="45"/>
      <c r="BH88" s="218"/>
      <c r="BI88" s="2"/>
    </row>
    <row r="89" spans="1:61" ht="11.25" customHeight="1">
      <c r="A89" s="2"/>
      <c r="B89" s="211" t="str">
        <f>IF(Roster!$N$1=0,"",Roster!$N$1)</f>
        <v>AV</v>
      </c>
      <c r="C89" s="212"/>
      <c r="D89" s="220" t="str">
        <f>IF(Roster!$AD$1=0,"",Roster!$AD$1)</f>
        <v>DEF</v>
      </c>
      <c r="E89" s="224"/>
      <c r="F89" s="220" t="str">
        <f>IF(Roster!$AE$1=0,"",Roster!$AE$1)</f>
        <v>INT</v>
      </c>
      <c r="G89" s="224"/>
      <c r="H89" s="220" t="str">
        <f>IF(Roster!$AA$1=0,"",Roster!$AA$1)</f>
        <v>SPE</v>
      </c>
      <c r="I89" s="224"/>
      <c r="J89" s="220" t="str">
        <f>IF(Roster!$AI$1=0,"",Roster!$AI$1)</f>
        <v>MVP</v>
      </c>
      <c r="K89" s="224"/>
      <c r="L89" s="220" t="s">
        <v>392</v>
      </c>
      <c r="M89" s="224"/>
      <c r="N89" s="225" t="str">
        <f>IF(Roster!$J$25="Español","LPP/RT",(IF(Roster!$J$25="Deutsch","VNS/AD",(IF(Roster!$J$25="Français","RPM/RT","MNG/TR")))))</f>
        <v>MNG/TR</v>
      </c>
      <c r="O89" s="207"/>
      <c r="P89" s="2"/>
      <c r="Q89" s="211" t="str">
        <f>IF(Roster!$N$1=0,"",Roster!$N$1)</f>
        <v>AV</v>
      </c>
      <c r="R89" s="212"/>
      <c r="S89" s="220" t="str">
        <f>IF(Roster!$AD$1=0,"",Roster!$AD$1)</f>
        <v>DEF</v>
      </c>
      <c r="T89" s="224"/>
      <c r="U89" s="220" t="str">
        <f>IF(Roster!$AE$1=0,"",Roster!$AE$1)</f>
        <v>INT</v>
      </c>
      <c r="V89" s="224"/>
      <c r="W89" s="220" t="str">
        <f>IF(Roster!$AA$1=0,"",Roster!$AA$1)</f>
        <v>SPE</v>
      </c>
      <c r="X89" s="224"/>
      <c r="Y89" s="220" t="str">
        <f>IF(Roster!$AI$1=0,"",Roster!$AI$1)</f>
        <v>MVP</v>
      </c>
      <c r="Z89" s="224"/>
      <c r="AA89" s="220" t="s">
        <v>392</v>
      </c>
      <c r="AB89" s="224"/>
      <c r="AC89" s="225" t="str">
        <f>IF(Roster!$J$25="Español","LPP/RT",(IF(Roster!$J$25="Deutsch","VNS/AD",(IF(Roster!$J$25="Français","RPM/RT","MNG/TR")))))</f>
        <v>MNG/TR</v>
      </c>
      <c r="AD89" s="207"/>
      <c r="AE89" s="2"/>
      <c r="AF89" s="211" t="str">
        <f>IF(Roster!$N$1=0,"",Roster!$N$1)</f>
        <v>AV</v>
      </c>
      <c r="AG89" s="212"/>
      <c r="AH89" s="220" t="str">
        <f>IF(Roster!$AD$1=0,"",Roster!$AD$1)</f>
        <v>DEF</v>
      </c>
      <c r="AI89" s="224"/>
      <c r="AJ89" s="220" t="str">
        <f>IF(Roster!$AE$1=0,"",Roster!$AE$1)</f>
        <v>INT</v>
      </c>
      <c r="AK89" s="224"/>
      <c r="AL89" s="220" t="str">
        <f>IF(Roster!$AA$1=0,"",Roster!$AA$1)</f>
        <v>SPE</v>
      </c>
      <c r="AM89" s="224"/>
      <c r="AN89" s="220" t="str">
        <f>IF(Roster!$AI$1=0,"",Roster!$AI$1)</f>
        <v>MVP</v>
      </c>
      <c r="AO89" s="224"/>
      <c r="AP89" s="220" t="s">
        <v>392</v>
      </c>
      <c r="AQ89" s="224"/>
      <c r="AR89" s="225" t="str">
        <f>IF(Roster!$J$25="Español","LPP/RT",(IF(Roster!$J$25="Deutsch","VNS/AD",(IF(Roster!$J$25="Français","RPM/RT","MNG/TR")))))</f>
        <v>MNG/TR</v>
      </c>
      <c r="AS89" s="207"/>
      <c r="AT89" s="2"/>
      <c r="AU89" s="211" t="str">
        <f>IF(Roster!$N$1=0,"",Roster!$N$1)</f>
        <v>AV</v>
      </c>
      <c r="AV89" s="212"/>
      <c r="AW89" s="220" t="str">
        <f>IF(Roster!$AD$1=0,"",Roster!$AD$1)</f>
        <v>DEF</v>
      </c>
      <c r="AX89" s="224"/>
      <c r="AY89" s="220" t="str">
        <f>IF(Roster!$AE$1=0,"",Roster!$AE$1)</f>
        <v>INT</v>
      </c>
      <c r="AZ89" s="224"/>
      <c r="BA89" s="220" t="str">
        <f>IF(Roster!$AA$1=0,"",Roster!$AA$1)</f>
        <v>SPE</v>
      </c>
      <c r="BB89" s="224"/>
      <c r="BC89" s="220" t="str">
        <f>IF(Roster!$AI$1=0,"",Roster!$AI$1)</f>
        <v>MVP</v>
      </c>
      <c r="BD89" s="224"/>
      <c r="BE89" s="220" t="s">
        <v>392</v>
      </c>
      <c r="BF89" s="224"/>
      <c r="BG89" s="225" t="str">
        <f>IF(Roster!$J$25="Español","LPP/RT",(IF(Roster!$J$25="Deutsch","VNS/AD",(IF(Roster!$J$25="Français","RPM/RT","MNG/TR")))))</f>
        <v>MNG/TR</v>
      </c>
      <c r="BH89" s="207"/>
      <c r="BI89" s="2"/>
    </row>
    <row r="90" spans="1:61" ht="15" customHeight="1">
      <c r="A90" s="2"/>
      <c r="B90" s="401" t="str">
        <f>IF(Roster!$N$13=0&amp;"+","",Roster!$N$13)</f>
        <v>6+</v>
      </c>
      <c r="C90" s="213"/>
      <c r="D90" s="222" t="str">
        <f>IF(Roster!$AD$13=0,"",Roster!$AD$13)</f>
        <v/>
      </c>
      <c r="E90" s="223"/>
      <c r="F90" s="222" t="str">
        <f>IF(Roster!$AE$13=0,"",Roster!$AE$13)</f>
        <v/>
      </c>
      <c r="G90" s="223"/>
      <c r="H90" s="222" t="str">
        <f>IF(Roster!$AA$13=0,"",Roster!$AA$13)</f>
        <v/>
      </c>
      <c r="I90" s="223"/>
      <c r="J90" s="222" t="str">
        <f>IF(Roster!$AI$13=0,"",Roster!$AI$13)</f>
        <v/>
      </c>
      <c r="K90" s="223"/>
      <c r="L90" s="222" t="str">
        <f>IF(Roster!$AJ$13=0,"",Roster!$AJ$13)</f>
        <v/>
      </c>
      <c r="M90" s="223"/>
      <c r="N90" s="222" t="str">
        <f>IF(Roster!$Z$13=0,"",Roster!$Z$13)</f>
        <v/>
      </c>
      <c r="O90" s="226"/>
      <c r="P90" s="2"/>
      <c r="Q90" s="401" t="str">
        <f>IF(Roster!$N$14=0&amp;"+","",Roster!$N$14)</f>
        <v>6+</v>
      </c>
      <c r="R90" s="213"/>
      <c r="S90" s="222" t="str">
        <f>IF(Roster!$AD$14=0,"",Roster!$AD$14)</f>
        <v/>
      </c>
      <c r="T90" s="223"/>
      <c r="U90" s="222" t="str">
        <f>IF(Roster!$AE$14=0,"",Roster!$AE$14)</f>
        <v/>
      </c>
      <c r="V90" s="223"/>
      <c r="W90" s="222" t="str">
        <f>IF(Roster!$AA$14=0,"",Roster!$AA$14)</f>
        <v/>
      </c>
      <c r="X90" s="223"/>
      <c r="Y90" s="222">
        <f>IF(Roster!$AI$14=0,"",Roster!$AI$14)</f>
        <v>1</v>
      </c>
      <c r="Z90" s="223"/>
      <c r="AA90" s="222">
        <f>IF(Roster!$AJ$14=0,"",Roster!$AJ$14)</f>
        <v>6</v>
      </c>
      <c r="AB90" s="223"/>
      <c r="AC90" s="222" t="str">
        <f>IF(Roster!$Z$14=0,"",Roster!$Z$14)</f>
        <v/>
      </c>
      <c r="AD90" s="226"/>
      <c r="AE90" s="2"/>
      <c r="AF90" s="401" t="str">
        <f>IF(Roster!$N$15=0&amp;"+","",Roster!$N$15)</f>
        <v>6+</v>
      </c>
      <c r="AG90" s="213"/>
      <c r="AH90" s="222" t="str">
        <f>IF(Roster!$AD$15=0,"",Roster!$AD$15)</f>
        <v/>
      </c>
      <c r="AI90" s="223"/>
      <c r="AJ90" s="222" t="str">
        <f>IF(Roster!$AE$15=0,"",Roster!$AE$15)</f>
        <v/>
      </c>
      <c r="AK90" s="223"/>
      <c r="AL90" s="222" t="str">
        <f>IF(Roster!$AA$15=0,"",Roster!$AA$15)</f>
        <v/>
      </c>
      <c r="AM90" s="223"/>
      <c r="AN90" s="222" t="str">
        <f>IF(Roster!$AI$15=0,"",Roster!$AI$15)</f>
        <v/>
      </c>
      <c r="AO90" s="223"/>
      <c r="AP90" s="222">
        <f>IF(Roster!$AJ$15=0,"",Roster!$AJ$15)</f>
        <v>3</v>
      </c>
      <c r="AQ90" s="223"/>
      <c r="AR90" s="222" t="str">
        <f>IF(Roster!$Z$15=0,"",Roster!$Z$15)</f>
        <v/>
      </c>
      <c r="AS90" s="226"/>
      <c r="AT90" s="2"/>
      <c r="AU90" s="401" t="str">
        <f>IF(Roster!$N$16=0&amp;"+","",Roster!$N$16)</f>
        <v>6+</v>
      </c>
      <c r="AV90" s="213"/>
      <c r="AW90" s="222" t="str">
        <f>IF(Roster!$AD$16=0,"",Roster!$AD$16)</f>
        <v/>
      </c>
      <c r="AX90" s="223"/>
      <c r="AY90" s="222" t="str">
        <f>IF(Roster!$AE$16=0,"",Roster!$AE$16)</f>
        <v/>
      </c>
      <c r="AZ90" s="223"/>
      <c r="BA90" s="222" t="str">
        <f>IF(Roster!$AA$16=0,"",Roster!$AA$16)</f>
        <v/>
      </c>
      <c r="BB90" s="223"/>
      <c r="BC90" s="222" t="str">
        <f>IF(Roster!$AI$16=0,"",Roster!$AI$16)</f>
        <v/>
      </c>
      <c r="BD90" s="223"/>
      <c r="BE90" s="222" t="str">
        <f>IF(Roster!$AJ$16=0,"",Roster!$AJ$16)</f>
        <v/>
      </c>
      <c r="BF90" s="223"/>
      <c r="BG90" s="222" t="str">
        <f>IF(Roster!$Z$16=0,"",Roster!$Z$16)</f>
        <v/>
      </c>
      <c r="BH90" s="226"/>
      <c r="BI90" s="2"/>
    </row>
    <row r="91" spans="1:61" ht="4.5" customHeight="1">
      <c r="A91" s="2"/>
      <c r="B91" s="402"/>
      <c r="C91" s="213"/>
      <c r="D91" s="223"/>
      <c r="E91" s="223"/>
      <c r="F91" s="223"/>
      <c r="G91" s="223"/>
      <c r="H91" s="223"/>
      <c r="I91" s="223"/>
      <c r="J91" s="223"/>
      <c r="K91" s="223"/>
      <c r="L91" s="223"/>
      <c r="M91" s="223"/>
      <c r="N91" s="227"/>
      <c r="O91" s="226"/>
      <c r="P91" s="2"/>
      <c r="Q91" s="402"/>
      <c r="R91" s="213"/>
      <c r="S91" s="223"/>
      <c r="T91" s="223"/>
      <c r="U91" s="223"/>
      <c r="V91" s="223"/>
      <c r="W91" s="223"/>
      <c r="X91" s="223"/>
      <c r="Y91" s="223"/>
      <c r="Z91" s="223"/>
      <c r="AA91" s="223"/>
      <c r="AB91" s="223"/>
      <c r="AC91" s="227"/>
      <c r="AD91" s="226"/>
      <c r="AE91" s="2"/>
      <c r="AF91" s="402"/>
      <c r="AG91" s="213"/>
      <c r="AH91" s="223"/>
      <c r="AI91" s="223"/>
      <c r="AJ91" s="223"/>
      <c r="AK91" s="223"/>
      <c r="AL91" s="223"/>
      <c r="AM91" s="223"/>
      <c r="AN91" s="223"/>
      <c r="AO91" s="223"/>
      <c r="AP91" s="223"/>
      <c r="AQ91" s="223"/>
      <c r="AR91" s="227"/>
      <c r="AS91" s="226"/>
      <c r="AT91" s="2"/>
      <c r="AU91" s="402"/>
      <c r="AV91" s="213"/>
      <c r="AW91" s="223"/>
      <c r="AX91" s="223"/>
      <c r="AY91" s="223"/>
      <c r="AZ91" s="223"/>
      <c r="BA91" s="223"/>
      <c r="BB91" s="223"/>
      <c r="BC91" s="223"/>
      <c r="BD91" s="223"/>
      <c r="BE91" s="223"/>
      <c r="BF91" s="223"/>
      <c r="BG91" s="227"/>
      <c r="BH91" s="226"/>
      <c r="BI91" s="2"/>
    </row>
    <row r="92" spans="1:61" ht="11.25" customHeight="1">
      <c r="A92" s="2"/>
      <c r="B92" s="402"/>
      <c r="C92" s="213"/>
      <c r="D92" s="378" t="str">
        <f>IF(Roster!$J$25="Italiano","ABILITÀ &amp; TRATTI",(IF(Roster!$J$25="Español","HABILIDADES Y RASGOS","SKILLS &amp; TRAITS")))</f>
        <v>ABILITÀ &amp; TRATTI</v>
      </c>
      <c r="E92" s="313"/>
      <c r="F92" s="313"/>
      <c r="G92" s="313"/>
      <c r="H92" s="313"/>
      <c r="I92" s="313"/>
      <c r="J92" s="313"/>
      <c r="K92" s="313"/>
      <c r="L92" s="313"/>
      <c r="M92" s="313"/>
      <c r="N92" s="379"/>
      <c r="O92" s="226"/>
      <c r="P92" s="2"/>
      <c r="Q92" s="402"/>
      <c r="R92" s="213"/>
      <c r="S92" s="378" t="str">
        <f>IF(Roster!$J$25="Italiano","ABILITÀ &amp; TRATTI",(IF(Roster!$J$25="Español","HABILIDADES Y RASGOS","SKILLS &amp; TRAITS")))</f>
        <v>ABILITÀ &amp; TRATTI</v>
      </c>
      <c r="T92" s="313"/>
      <c r="U92" s="313"/>
      <c r="V92" s="313"/>
      <c r="W92" s="313"/>
      <c r="X92" s="313"/>
      <c r="Y92" s="313"/>
      <c r="Z92" s="313"/>
      <c r="AA92" s="313"/>
      <c r="AB92" s="313"/>
      <c r="AC92" s="379"/>
      <c r="AD92" s="226"/>
      <c r="AE92" s="2"/>
      <c r="AF92" s="402"/>
      <c r="AG92" s="213"/>
      <c r="AH92" s="378" t="str">
        <f>IF(Roster!$J$25="Italiano","ABILITÀ &amp; TRATTI",(IF(Roster!$J$25="Español","HABILIDADES Y RASGOS","SKILLS &amp; TRAITS")))</f>
        <v>ABILITÀ &amp; TRATTI</v>
      </c>
      <c r="AI92" s="313"/>
      <c r="AJ92" s="313"/>
      <c r="AK92" s="313"/>
      <c r="AL92" s="313"/>
      <c r="AM92" s="313"/>
      <c r="AN92" s="313"/>
      <c r="AO92" s="313"/>
      <c r="AP92" s="313"/>
      <c r="AQ92" s="313"/>
      <c r="AR92" s="379"/>
      <c r="AS92" s="226"/>
      <c r="AT92" s="2"/>
      <c r="AU92" s="402"/>
      <c r="AV92" s="213"/>
      <c r="AW92" s="378" t="str">
        <f>IF(Roster!$J$25="Italiano","ABILITÀ &amp; TRATTI",(IF(Roster!$J$25="Español","HABILIDADES Y RASGOS","SKILLS &amp; TRAITS")))</f>
        <v>ABILITÀ &amp; TRATTI</v>
      </c>
      <c r="AX92" s="313"/>
      <c r="AY92" s="313"/>
      <c r="AZ92" s="313"/>
      <c r="BA92" s="313"/>
      <c r="BB92" s="313"/>
      <c r="BC92" s="313"/>
      <c r="BD92" s="313"/>
      <c r="BE92" s="313"/>
      <c r="BF92" s="313"/>
      <c r="BG92" s="379"/>
      <c r="BH92" s="226"/>
      <c r="BI92" s="2"/>
    </row>
    <row r="93" spans="1:61" ht="6.75" customHeight="1">
      <c r="A93" s="2"/>
      <c r="B93" s="307"/>
      <c r="C93" s="213"/>
      <c r="D93" s="392" t="str">
        <f>IF(Roster!$O$13=0&amp;AQ74,"",Roster!$O$13)</f>
        <v>Dodge, Right Stuff, Side Step, Stunty, Swarming, Titchy</v>
      </c>
      <c r="E93" s="356"/>
      <c r="F93" s="356"/>
      <c r="G93" s="356"/>
      <c r="H93" s="356"/>
      <c r="I93" s="356"/>
      <c r="J93" s="356"/>
      <c r="K93" s="356"/>
      <c r="L93" s="356"/>
      <c r="M93" s="356"/>
      <c r="N93" s="381"/>
      <c r="O93" s="226"/>
      <c r="P93" s="2"/>
      <c r="Q93" s="307"/>
      <c r="R93" s="213"/>
      <c r="S93" s="392" t="str">
        <f>IF(Roster!$O$14=0&amp;BF74,"",Roster!$O$14)</f>
        <v>Dodge, Right Stuff, Side Step, Stunty, Swarming, Titchy, Sneaky Git</v>
      </c>
      <c r="T93" s="356"/>
      <c r="U93" s="356"/>
      <c r="V93" s="356"/>
      <c r="W93" s="356"/>
      <c r="X93" s="356"/>
      <c r="Y93" s="356"/>
      <c r="Z93" s="356"/>
      <c r="AA93" s="356"/>
      <c r="AB93" s="356"/>
      <c r="AC93" s="381"/>
      <c r="AD93" s="226"/>
      <c r="AE93" s="2"/>
      <c r="AF93" s="307"/>
      <c r="AG93" s="213"/>
      <c r="AH93" s="392" t="str">
        <f>IF(Roster!$O$15=0&amp;BU74,"",Roster!$O$15)</f>
        <v>Dodge, Right Stuff, Side Step, Stunty, Swarming, Titchy</v>
      </c>
      <c r="AI93" s="356"/>
      <c r="AJ93" s="356"/>
      <c r="AK93" s="356"/>
      <c r="AL93" s="356"/>
      <c r="AM93" s="356"/>
      <c r="AN93" s="356"/>
      <c r="AO93" s="356"/>
      <c r="AP93" s="356"/>
      <c r="AQ93" s="356"/>
      <c r="AR93" s="381"/>
      <c r="AS93" s="226"/>
      <c r="AT93" s="2"/>
      <c r="AU93" s="307"/>
      <c r="AV93" s="213"/>
      <c r="AW93" s="392" t="str">
        <f>IF(Roster!$O$16=0&amp;CJ74,"",Roster!$O$16)</f>
        <v>Dodge, Right Stuff, Side Step, Stunty, Swarming, Titchy</v>
      </c>
      <c r="AX93" s="356"/>
      <c r="AY93" s="356"/>
      <c r="AZ93" s="356"/>
      <c r="BA93" s="356"/>
      <c r="BB93" s="356"/>
      <c r="BC93" s="356"/>
      <c r="BD93" s="356"/>
      <c r="BE93" s="356"/>
      <c r="BF93" s="356"/>
      <c r="BG93" s="381"/>
      <c r="BH93" s="226"/>
      <c r="BI93" s="2"/>
    </row>
    <row r="94" spans="1:61" ht="11.25" customHeight="1">
      <c r="A94" s="2"/>
      <c r="B94" s="211" t="str">
        <f>IF(Roster!$AN$1=0,"",Roster!$AN$1)</f>
        <v>COSTO</v>
      </c>
      <c r="C94" s="212"/>
      <c r="D94" s="310"/>
      <c r="E94" s="277"/>
      <c r="F94" s="277"/>
      <c r="G94" s="277"/>
      <c r="H94" s="277"/>
      <c r="I94" s="277"/>
      <c r="J94" s="277"/>
      <c r="K94" s="277"/>
      <c r="L94" s="277"/>
      <c r="M94" s="277"/>
      <c r="N94" s="311"/>
      <c r="O94" s="230"/>
      <c r="P94" s="2"/>
      <c r="Q94" s="211" t="str">
        <f>IF(Roster!$AN$1=0,"",Roster!$AN$1)</f>
        <v>COSTO</v>
      </c>
      <c r="R94" s="212"/>
      <c r="S94" s="310"/>
      <c r="T94" s="277"/>
      <c r="U94" s="277"/>
      <c r="V94" s="277"/>
      <c r="W94" s="277"/>
      <c r="X94" s="277"/>
      <c r="Y94" s="277"/>
      <c r="Z94" s="277"/>
      <c r="AA94" s="277"/>
      <c r="AB94" s="277"/>
      <c r="AC94" s="311"/>
      <c r="AD94" s="230"/>
      <c r="AE94" s="2"/>
      <c r="AF94" s="211" t="str">
        <f>IF(Roster!$AN$1=0,"",Roster!$AN$1)</f>
        <v>COSTO</v>
      </c>
      <c r="AG94" s="212"/>
      <c r="AH94" s="310"/>
      <c r="AI94" s="277"/>
      <c r="AJ94" s="277"/>
      <c r="AK94" s="277"/>
      <c r="AL94" s="277"/>
      <c r="AM94" s="277"/>
      <c r="AN94" s="277"/>
      <c r="AO94" s="277"/>
      <c r="AP94" s="277"/>
      <c r="AQ94" s="277"/>
      <c r="AR94" s="311"/>
      <c r="AS94" s="230"/>
      <c r="AT94" s="2"/>
      <c r="AU94" s="211" t="str">
        <f>IF(Roster!$AN$1=0,"",Roster!$AN$1)</f>
        <v>COSTO</v>
      </c>
      <c r="AV94" s="212"/>
      <c r="AW94" s="310"/>
      <c r="AX94" s="277"/>
      <c r="AY94" s="277"/>
      <c r="AZ94" s="277"/>
      <c r="BA94" s="277"/>
      <c r="BB94" s="277"/>
      <c r="BC94" s="277"/>
      <c r="BD94" s="277"/>
      <c r="BE94" s="277"/>
      <c r="BF94" s="277"/>
      <c r="BG94" s="311"/>
      <c r="BH94" s="230"/>
      <c r="BI94" s="2"/>
    </row>
    <row r="95" spans="1:61" ht="34.5" customHeight="1">
      <c r="A95" s="2"/>
      <c r="B95" s="232">
        <f>IF(Roster!$AN$13=0,"",Roster!$AN$13)</f>
        <v>15000</v>
      </c>
      <c r="C95" s="233"/>
      <c r="D95" s="286"/>
      <c r="E95" s="287"/>
      <c r="F95" s="287"/>
      <c r="G95" s="287"/>
      <c r="H95" s="287"/>
      <c r="I95" s="287"/>
      <c r="J95" s="287"/>
      <c r="K95" s="287"/>
      <c r="L95" s="287"/>
      <c r="M95" s="287"/>
      <c r="N95" s="288"/>
      <c r="O95" s="230"/>
      <c r="P95" s="2"/>
      <c r="Q95" s="232">
        <f>IF(Roster!$AN$14=0,"",Roster!$AN$14)</f>
        <v>35000</v>
      </c>
      <c r="R95" s="233"/>
      <c r="S95" s="286"/>
      <c r="T95" s="287"/>
      <c r="U95" s="287"/>
      <c r="V95" s="287"/>
      <c r="W95" s="287"/>
      <c r="X95" s="287"/>
      <c r="Y95" s="287"/>
      <c r="Z95" s="287"/>
      <c r="AA95" s="287"/>
      <c r="AB95" s="287"/>
      <c r="AC95" s="288"/>
      <c r="AD95" s="230"/>
      <c r="AE95" s="2"/>
      <c r="AF95" s="232">
        <f>IF(Roster!$AN$15=0,"",Roster!$AN$15)</f>
        <v>15000</v>
      </c>
      <c r="AG95" s="233"/>
      <c r="AH95" s="286"/>
      <c r="AI95" s="287"/>
      <c r="AJ95" s="287"/>
      <c r="AK95" s="287"/>
      <c r="AL95" s="287"/>
      <c r="AM95" s="287"/>
      <c r="AN95" s="287"/>
      <c r="AO95" s="287"/>
      <c r="AP95" s="287"/>
      <c r="AQ95" s="287"/>
      <c r="AR95" s="288"/>
      <c r="AS95" s="230"/>
      <c r="AT95" s="2"/>
      <c r="AU95" s="232">
        <f>IF(Roster!$AN$16=0,"",Roster!$AN$16)</f>
        <v>15000</v>
      </c>
      <c r="AV95" s="233"/>
      <c r="AW95" s="286"/>
      <c r="AX95" s="287"/>
      <c r="AY95" s="287"/>
      <c r="AZ95" s="287"/>
      <c r="BA95" s="287"/>
      <c r="BB95" s="287"/>
      <c r="BC95" s="287"/>
      <c r="BD95" s="287"/>
      <c r="BE95" s="287"/>
      <c r="BF95" s="287"/>
      <c r="BG95" s="288"/>
      <c r="BH95" s="230"/>
      <c r="BI95" s="2"/>
    </row>
    <row r="96" spans="1:61" ht="4.5" customHeight="1">
      <c r="A96" s="2"/>
      <c r="B96" s="385"/>
      <c r="C96" s="252"/>
      <c r="D96" s="252"/>
      <c r="E96" s="252"/>
      <c r="F96" s="252"/>
      <c r="G96" s="252"/>
      <c r="H96" s="252"/>
      <c r="I96" s="252"/>
      <c r="J96" s="252"/>
      <c r="K96" s="252"/>
      <c r="L96" s="252"/>
      <c r="M96" s="252"/>
      <c r="N96" s="253"/>
      <c r="O96" s="234"/>
      <c r="P96" s="2"/>
      <c r="Q96" s="385"/>
      <c r="R96" s="252"/>
      <c r="S96" s="252"/>
      <c r="T96" s="252"/>
      <c r="U96" s="252"/>
      <c r="V96" s="252"/>
      <c r="W96" s="252"/>
      <c r="X96" s="252"/>
      <c r="Y96" s="252"/>
      <c r="Z96" s="252"/>
      <c r="AA96" s="252"/>
      <c r="AB96" s="252"/>
      <c r="AC96" s="253"/>
      <c r="AD96" s="234"/>
      <c r="AE96" s="2"/>
      <c r="AF96" s="385"/>
      <c r="AG96" s="252"/>
      <c r="AH96" s="252"/>
      <c r="AI96" s="252"/>
      <c r="AJ96" s="252"/>
      <c r="AK96" s="252"/>
      <c r="AL96" s="252"/>
      <c r="AM96" s="252"/>
      <c r="AN96" s="252"/>
      <c r="AO96" s="252"/>
      <c r="AP96" s="252"/>
      <c r="AQ96" s="252"/>
      <c r="AR96" s="253"/>
      <c r="AS96" s="234"/>
      <c r="AT96" s="2"/>
      <c r="AU96" s="385"/>
      <c r="AV96" s="252"/>
      <c r="AW96" s="252"/>
      <c r="AX96" s="252"/>
      <c r="AY96" s="252"/>
      <c r="AZ96" s="252"/>
      <c r="BA96" s="252"/>
      <c r="BB96" s="252"/>
      <c r="BC96" s="252"/>
      <c r="BD96" s="252"/>
      <c r="BE96" s="252"/>
      <c r="BF96" s="252"/>
      <c r="BG96" s="253"/>
      <c r="BH96" s="234"/>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393" t="str">
        <f>IF(Roster!$A$17=0,"","#"&amp;Roster!$A$17)</f>
        <v>#16</v>
      </c>
      <c r="C98" s="205"/>
      <c r="D98" s="205"/>
      <c r="E98" s="205"/>
      <c r="F98" s="205"/>
      <c r="G98" s="205"/>
      <c r="H98" s="205"/>
      <c r="I98" s="205"/>
      <c r="J98" s="205"/>
      <c r="K98" s="205"/>
      <c r="L98" s="205"/>
      <c r="M98" s="205"/>
      <c r="N98" s="205"/>
      <c r="O98" s="206"/>
      <c r="P98" s="2"/>
      <c r="Q98" s="393"/>
      <c r="R98" s="205"/>
      <c r="S98" s="205"/>
      <c r="T98" s="205"/>
      <c r="U98" s="205"/>
      <c r="V98" s="205"/>
      <c r="W98" s="205"/>
      <c r="X98" s="205"/>
      <c r="Y98" s="205"/>
      <c r="Z98" s="205"/>
      <c r="AA98" s="205"/>
      <c r="AB98" s="205"/>
      <c r="AC98" s="205"/>
      <c r="AD98" s="206"/>
      <c r="AE98" s="219"/>
      <c r="AF98" s="393"/>
      <c r="AG98" s="205"/>
      <c r="AH98" s="205"/>
      <c r="AI98" s="205"/>
      <c r="AJ98" s="205"/>
      <c r="AK98" s="205"/>
      <c r="AL98" s="205"/>
      <c r="AM98" s="205"/>
      <c r="AN98" s="205"/>
      <c r="AO98" s="205"/>
      <c r="AP98" s="205"/>
      <c r="AQ98" s="205"/>
      <c r="AR98" s="205"/>
      <c r="AS98" s="206"/>
      <c r="AT98" s="219"/>
      <c r="AU98" s="393"/>
      <c r="AV98" s="205"/>
      <c r="AW98" s="205"/>
      <c r="AX98" s="205"/>
      <c r="AY98" s="205"/>
      <c r="AZ98" s="205"/>
      <c r="BA98" s="205"/>
      <c r="BB98" s="205"/>
      <c r="BC98" s="205"/>
      <c r="BD98" s="205"/>
      <c r="BE98" s="205"/>
      <c r="BF98" s="205"/>
      <c r="BG98" s="205"/>
      <c r="BH98" s="206"/>
      <c r="BI98" s="235"/>
    </row>
    <row r="99" spans="1:61" ht="15" customHeight="1">
      <c r="A99" s="2"/>
      <c r="B99" s="394"/>
      <c r="C99" s="396" t="str">
        <f>IF(Roster!$B$17=0,"",Roster!$B$17)</f>
        <v>Hola</v>
      </c>
      <c r="D99" s="243"/>
      <c r="E99" s="243"/>
      <c r="F99" s="243"/>
      <c r="G99" s="243"/>
      <c r="H99" s="243"/>
      <c r="I99" s="243"/>
      <c r="J99" s="243"/>
      <c r="K99" s="243"/>
      <c r="L99" s="243"/>
      <c r="M99" s="243"/>
      <c r="N99" s="244"/>
      <c r="O99" s="207"/>
      <c r="P99" s="2"/>
      <c r="Q99" s="394"/>
      <c r="R99" s="386" t="str">
        <f>IF(Roster!$B$18=0,"","("&amp;Roster!$B$18&amp;")")</f>
        <v>(Star Player &amp; Mercenario)</v>
      </c>
      <c r="S99" s="243"/>
      <c r="T99" s="243"/>
      <c r="U99" s="243"/>
      <c r="V99" s="243"/>
      <c r="W99" s="243"/>
      <c r="X99" s="243"/>
      <c r="Y99" s="243"/>
      <c r="Z99" s="243"/>
      <c r="AA99" s="243"/>
      <c r="AB99" s="243"/>
      <c r="AC99" s="244"/>
      <c r="AD99" s="207"/>
      <c r="AE99" s="219"/>
      <c r="AF99" s="394"/>
      <c r="AG99" s="386" t="str">
        <f>IF(Roster!$B$18=0,"","("&amp;Roster!$B$18&amp;")")</f>
        <v>(Star Player &amp; Mercenario)</v>
      </c>
      <c r="AH99" s="243"/>
      <c r="AI99" s="243"/>
      <c r="AJ99" s="243"/>
      <c r="AK99" s="243"/>
      <c r="AL99" s="243"/>
      <c r="AM99" s="243"/>
      <c r="AN99" s="243"/>
      <c r="AO99" s="243"/>
      <c r="AP99" s="243"/>
      <c r="AQ99" s="243"/>
      <c r="AR99" s="244"/>
      <c r="AS99" s="207"/>
      <c r="AT99" s="219"/>
      <c r="AU99" s="394"/>
      <c r="AV99" s="386" t="str">
        <f>IF(Roster!$B$20=0,"","("&amp;Roster!$B$20&amp;")")</f>
        <v>(Mercenario)</v>
      </c>
      <c r="AW99" s="243"/>
      <c r="AX99" s="243"/>
      <c r="AY99" s="243"/>
      <c r="AZ99" s="243"/>
      <c r="BA99" s="243"/>
      <c r="BB99" s="243"/>
      <c r="BC99" s="243"/>
      <c r="BD99" s="243"/>
      <c r="BE99" s="243"/>
      <c r="BF99" s="243"/>
      <c r="BG99" s="244"/>
      <c r="BH99" s="207"/>
      <c r="BI99" s="235"/>
    </row>
    <row r="100" spans="1:61" ht="11.25" customHeight="1">
      <c r="A100" s="2"/>
      <c r="B100" s="395"/>
      <c r="C100" s="386" t="str">
        <f>IF(Roster!$C$17=0,"",Roster!$C$17)</f>
        <v>Snotling</v>
      </c>
      <c r="D100" s="243"/>
      <c r="E100" s="243"/>
      <c r="F100" s="243"/>
      <c r="G100" s="243"/>
      <c r="H100" s="243"/>
      <c r="I100" s="243"/>
      <c r="J100" s="243"/>
      <c r="K100" s="243"/>
      <c r="L100" s="243"/>
      <c r="M100" s="243"/>
      <c r="N100" s="244"/>
      <c r="O100" s="208"/>
      <c r="P100" s="2"/>
      <c r="Q100" s="395"/>
      <c r="R100" s="387" t="str">
        <f>IF(Roster!$C$18=0,"",Roster!$C$18)</f>
        <v/>
      </c>
      <c r="S100" s="356"/>
      <c r="T100" s="356"/>
      <c r="U100" s="356"/>
      <c r="V100" s="356"/>
      <c r="W100" s="356"/>
      <c r="X100" s="356"/>
      <c r="Y100" s="356"/>
      <c r="Z100" s="356"/>
      <c r="AA100" s="356"/>
      <c r="AB100" s="356"/>
      <c r="AC100" s="357"/>
      <c r="AD100" s="208"/>
      <c r="AE100" s="219"/>
      <c r="AF100" s="395"/>
      <c r="AG100" s="387" t="str">
        <f>IF(Roster!$C$19=0,"",Roster!$C$19)</f>
        <v/>
      </c>
      <c r="AH100" s="356"/>
      <c r="AI100" s="356"/>
      <c r="AJ100" s="356"/>
      <c r="AK100" s="356"/>
      <c r="AL100" s="356"/>
      <c r="AM100" s="356"/>
      <c r="AN100" s="356"/>
      <c r="AO100" s="356"/>
      <c r="AP100" s="356"/>
      <c r="AQ100" s="356"/>
      <c r="AR100" s="357"/>
      <c r="AS100" s="208"/>
      <c r="AT100" s="219"/>
      <c r="AU100" s="395"/>
      <c r="AV100" s="387" t="str">
        <f>IF(Roster!$C$20=0,"",Roster!$C$20)</f>
        <v/>
      </c>
      <c r="AW100" s="356"/>
      <c r="AX100" s="356"/>
      <c r="AY100" s="356"/>
      <c r="AZ100" s="356"/>
      <c r="BA100" s="356"/>
      <c r="BB100" s="356"/>
      <c r="BC100" s="356"/>
      <c r="BD100" s="356"/>
      <c r="BE100" s="356"/>
      <c r="BF100" s="356"/>
      <c r="BG100" s="357"/>
      <c r="BH100" s="208"/>
      <c r="BI100" s="235"/>
    </row>
    <row r="101" spans="1:61" ht="11.25" customHeight="1">
      <c r="A101" s="2"/>
      <c r="B101" s="211" t="str">
        <f>IF(Roster!$J$1=0,"",Roster!$J$1)</f>
        <v>MA</v>
      </c>
      <c r="C101" s="212"/>
      <c r="D101" s="212"/>
      <c r="E101" s="212"/>
      <c r="F101" s="212"/>
      <c r="G101" s="212"/>
      <c r="H101" s="212"/>
      <c r="I101" s="212"/>
      <c r="J101" s="212"/>
      <c r="K101" s="212"/>
      <c r="L101" s="212"/>
      <c r="M101" s="212"/>
      <c r="N101" s="212"/>
      <c r="O101" s="207"/>
      <c r="P101" s="2"/>
      <c r="Q101" s="211" t="str">
        <f>IF(Roster!$J$1=0,"",Roster!$J$1)</f>
        <v>MA</v>
      </c>
      <c r="R101" s="358"/>
      <c r="S101" s="277"/>
      <c r="T101" s="277"/>
      <c r="U101" s="277"/>
      <c r="V101" s="277"/>
      <c r="W101" s="277"/>
      <c r="X101" s="277"/>
      <c r="Y101" s="277"/>
      <c r="Z101" s="277"/>
      <c r="AA101" s="277"/>
      <c r="AB101" s="277"/>
      <c r="AC101" s="336"/>
      <c r="AD101" s="207"/>
      <c r="AE101" s="219"/>
      <c r="AF101" s="211" t="str">
        <f>IF(Roster!$J$1=0,"",Roster!$J$1)</f>
        <v>MA</v>
      </c>
      <c r="AG101" s="358"/>
      <c r="AH101" s="277"/>
      <c r="AI101" s="277"/>
      <c r="AJ101" s="277"/>
      <c r="AK101" s="277"/>
      <c r="AL101" s="277"/>
      <c r="AM101" s="277"/>
      <c r="AN101" s="277"/>
      <c r="AO101" s="277"/>
      <c r="AP101" s="277"/>
      <c r="AQ101" s="277"/>
      <c r="AR101" s="336"/>
      <c r="AS101" s="207"/>
      <c r="AT101" s="219"/>
      <c r="AU101" s="211" t="str">
        <f>IF(Roster!$J$1=0,"",Roster!$J$1)</f>
        <v>MA</v>
      </c>
      <c r="AV101" s="358"/>
      <c r="AW101" s="277"/>
      <c r="AX101" s="277"/>
      <c r="AY101" s="277"/>
      <c r="AZ101" s="277"/>
      <c r="BA101" s="277"/>
      <c r="BB101" s="277"/>
      <c r="BC101" s="277"/>
      <c r="BD101" s="277"/>
      <c r="BE101" s="277"/>
      <c r="BF101" s="277"/>
      <c r="BG101" s="336"/>
      <c r="BH101" s="207"/>
      <c r="BI101" s="235"/>
    </row>
    <row r="102" spans="1:61" ht="37.5" customHeight="1">
      <c r="A102" s="2"/>
      <c r="B102" s="214">
        <f>IF(Roster!$J$17=0,"",Roster!$J$17)</f>
        <v>5</v>
      </c>
      <c r="C102" s="212"/>
      <c r="D102" s="397"/>
      <c r="E102" s="284"/>
      <c r="F102" s="284"/>
      <c r="G102" s="284"/>
      <c r="H102" s="284"/>
      <c r="I102" s="284"/>
      <c r="J102" s="284"/>
      <c r="K102" s="284"/>
      <c r="L102" s="284"/>
      <c r="M102" s="284"/>
      <c r="N102" s="285"/>
      <c r="O102" s="207"/>
      <c r="P102" s="2"/>
      <c r="Q102" s="214" t="str">
        <f>IF(Roster!$J$18=0,"",Roster!$J$18)</f>
        <v/>
      </c>
      <c r="R102" s="359"/>
      <c r="S102" s="360"/>
      <c r="T102" s="360"/>
      <c r="U102" s="360"/>
      <c r="V102" s="360"/>
      <c r="W102" s="360"/>
      <c r="X102" s="360"/>
      <c r="Y102" s="360"/>
      <c r="Z102" s="360"/>
      <c r="AA102" s="360"/>
      <c r="AB102" s="360"/>
      <c r="AC102" s="361"/>
      <c r="AD102" s="388"/>
      <c r="AE102" s="219"/>
      <c r="AF102" s="214" t="str">
        <f>IF(Roster!$J$19=0,"",Roster!$J$19)</f>
        <v/>
      </c>
      <c r="AG102" s="359"/>
      <c r="AH102" s="360"/>
      <c r="AI102" s="360"/>
      <c r="AJ102" s="360"/>
      <c r="AK102" s="360"/>
      <c r="AL102" s="360"/>
      <c r="AM102" s="360"/>
      <c r="AN102" s="360"/>
      <c r="AO102" s="360"/>
      <c r="AP102" s="360"/>
      <c r="AQ102" s="360"/>
      <c r="AR102" s="361"/>
      <c r="AS102" s="388"/>
      <c r="AT102" s="219"/>
      <c r="AU102" s="214" t="str">
        <f>IF(Roster!$J$20=0,"",Roster!$J$20)</f>
        <v/>
      </c>
      <c r="AV102" s="359"/>
      <c r="AW102" s="360"/>
      <c r="AX102" s="360"/>
      <c r="AY102" s="360"/>
      <c r="AZ102" s="360"/>
      <c r="BA102" s="360"/>
      <c r="BB102" s="360"/>
      <c r="BC102" s="360"/>
      <c r="BD102" s="360"/>
      <c r="BE102" s="360"/>
      <c r="BF102" s="360"/>
      <c r="BG102" s="361"/>
      <c r="BH102" s="388"/>
      <c r="BI102" s="235"/>
    </row>
    <row r="103" spans="1:61" ht="11.25" customHeight="1">
      <c r="A103" s="2"/>
      <c r="B103" s="211" t="str">
        <f>IF(Roster!$K$1=0,"",Roster!$K$1)</f>
        <v>ST</v>
      </c>
      <c r="C103" s="212"/>
      <c r="D103" s="310"/>
      <c r="E103" s="277"/>
      <c r="F103" s="277"/>
      <c r="G103" s="277"/>
      <c r="H103" s="277"/>
      <c r="I103" s="277"/>
      <c r="J103" s="277"/>
      <c r="K103" s="277"/>
      <c r="L103" s="277"/>
      <c r="M103" s="277"/>
      <c r="N103" s="311"/>
      <c r="O103" s="207"/>
      <c r="P103" s="2"/>
      <c r="Q103" s="211" t="str">
        <f>IF(Roster!$K$1=0,"",Roster!$K$1)</f>
        <v>ST</v>
      </c>
      <c r="R103" s="391"/>
      <c r="S103" s="378" t="str">
        <f>IF(Roster!$J$25="Español","REGLA ESPECIAL","SPECIAL RULE")</f>
        <v>SPECIAL RULE</v>
      </c>
      <c r="T103" s="313"/>
      <c r="U103" s="313"/>
      <c r="V103" s="313"/>
      <c r="W103" s="313"/>
      <c r="X103" s="313"/>
      <c r="Y103" s="313"/>
      <c r="Z103" s="313"/>
      <c r="AA103" s="313"/>
      <c r="AB103" s="313"/>
      <c r="AC103" s="379"/>
      <c r="AD103" s="389"/>
      <c r="AE103" s="219"/>
      <c r="AF103" s="211" t="str">
        <f>IF(Roster!$K$1=0,"",Roster!$K$1)</f>
        <v>ST</v>
      </c>
      <c r="AG103" s="391"/>
      <c r="AH103" s="378" t="str">
        <f>IF(Roster!$J$25="Español","REGLA ESPECIAL","SPECIAL RULE")</f>
        <v>SPECIAL RULE</v>
      </c>
      <c r="AI103" s="313"/>
      <c r="AJ103" s="313"/>
      <c r="AK103" s="313"/>
      <c r="AL103" s="313"/>
      <c r="AM103" s="313"/>
      <c r="AN103" s="313"/>
      <c r="AO103" s="313"/>
      <c r="AP103" s="313"/>
      <c r="AQ103" s="313"/>
      <c r="AR103" s="379"/>
      <c r="AS103" s="389"/>
      <c r="AT103" s="219"/>
      <c r="AU103" s="211" t="str">
        <f>IF(Roster!$K$1=0,"",Roster!$K$1)</f>
        <v>ST</v>
      </c>
      <c r="AV103" s="391"/>
      <c r="AW103" s="378" t="str">
        <f>IF(Roster!$J$25="Italiano","REGOLE SPECIALI",(IF(Roster!$J$25="Español","REGLA ESPECIAL","SPECIAL RULE")))</f>
        <v>REGOLE SPECIALI</v>
      </c>
      <c r="AX103" s="313"/>
      <c r="AY103" s="313"/>
      <c r="AZ103" s="313"/>
      <c r="BA103" s="313"/>
      <c r="BB103" s="313"/>
      <c r="BC103" s="313"/>
      <c r="BD103" s="313"/>
      <c r="BE103" s="313"/>
      <c r="BF103" s="313"/>
      <c r="BG103" s="379"/>
      <c r="BH103" s="389"/>
      <c r="BI103" s="235"/>
    </row>
    <row r="104" spans="1:61" ht="37.5" customHeight="1">
      <c r="A104" s="2"/>
      <c r="B104" s="214">
        <f>IF(Roster!$K$17=0,"",Roster!$K$17)</f>
        <v>1</v>
      </c>
      <c r="C104" s="212"/>
      <c r="D104" s="310"/>
      <c r="E104" s="277"/>
      <c r="F104" s="277"/>
      <c r="G104" s="277"/>
      <c r="H104" s="277"/>
      <c r="I104" s="277"/>
      <c r="J104" s="277"/>
      <c r="K104" s="277"/>
      <c r="L104" s="277"/>
      <c r="M104" s="277"/>
      <c r="N104" s="311"/>
      <c r="O104" s="207"/>
      <c r="P104" s="2"/>
      <c r="Q104" s="214" t="str">
        <f>IF(Roster!$K$18=0,"",Roster!$K$18)</f>
        <v/>
      </c>
      <c r="R104" s="240"/>
      <c r="S104" s="380" t="str">
        <f>IF(Roster!$Z$18=0,"",Roster!$Z$18)</f>
        <v/>
      </c>
      <c r="T104" s="356"/>
      <c r="U104" s="356"/>
      <c r="V104" s="356"/>
      <c r="W104" s="356"/>
      <c r="X104" s="356"/>
      <c r="Y104" s="356"/>
      <c r="Z104" s="356"/>
      <c r="AA104" s="356"/>
      <c r="AB104" s="356"/>
      <c r="AC104" s="381"/>
      <c r="AD104" s="389"/>
      <c r="AE104" s="219"/>
      <c r="AF104" s="214" t="str">
        <f>IF(Roster!$K$19=0,"",Roster!$K$19)</f>
        <v/>
      </c>
      <c r="AG104" s="240"/>
      <c r="AH104" s="380" t="str">
        <f>IF(Roster!$Z$19=0,"",Roster!$Z$19)</f>
        <v/>
      </c>
      <c r="AI104" s="356"/>
      <c r="AJ104" s="356"/>
      <c r="AK104" s="356"/>
      <c r="AL104" s="356"/>
      <c r="AM104" s="356"/>
      <c r="AN104" s="356"/>
      <c r="AO104" s="356"/>
      <c r="AP104" s="356"/>
      <c r="AQ104" s="356"/>
      <c r="AR104" s="381"/>
      <c r="AS104" s="389"/>
      <c r="AT104" s="219"/>
      <c r="AU104" s="214" t="str">
        <f>IF(Roster!$K$20=0,"",Roster!$K$20)</f>
        <v/>
      </c>
      <c r="AV104" s="240"/>
      <c r="AW104" s="380" t="str">
        <f>IF(Roster!$Z$20=0,"",Roster!$Z$20)</f>
        <v/>
      </c>
      <c r="AX104" s="356"/>
      <c r="AY104" s="356"/>
      <c r="AZ104" s="356"/>
      <c r="BA104" s="356"/>
      <c r="BB104" s="356"/>
      <c r="BC104" s="356"/>
      <c r="BD104" s="356"/>
      <c r="BE104" s="356"/>
      <c r="BF104" s="356"/>
      <c r="BG104" s="381"/>
      <c r="BH104" s="389"/>
      <c r="BI104" s="235"/>
    </row>
    <row r="105" spans="1:61" ht="11.25" customHeight="1">
      <c r="A105" s="2"/>
      <c r="B105" s="211" t="str">
        <f>IF(Roster!$L$1=0,"",Roster!$L$1)</f>
        <v>AG</v>
      </c>
      <c r="C105" s="212"/>
      <c r="D105" s="310"/>
      <c r="E105" s="277"/>
      <c r="F105" s="277"/>
      <c r="G105" s="277"/>
      <c r="H105" s="277"/>
      <c r="I105" s="277"/>
      <c r="J105" s="277"/>
      <c r="K105" s="277"/>
      <c r="L105" s="277"/>
      <c r="M105" s="277"/>
      <c r="N105" s="311"/>
      <c r="O105" s="207"/>
      <c r="P105" s="2"/>
      <c r="Q105" s="211" t="str">
        <f>IF(Roster!$L$1=0,"",Roster!$L$1)</f>
        <v>AG</v>
      </c>
      <c r="R105" s="240"/>
      <c r="S105" s="310"/>
      <c r="T105" s="277"/>
      <c r="U105" s="277"/>
      <c r="V105" s="277"/>
      <c r="W105" s="277"/>
      <c r="X105" s="277"/>
      <c r="Y105" s="277"/>
      <c r="Z105" s="277"/>
      <c r="AA105" s="277"/>
      <c r="AB105" s="277"/>
      <c r="AC105" s="311"/>
      <c r="AD105" s="389"/>
      <c r="AE105" s="219"/>
      <c r="AF105" s="211" t="str">
        <f>IF(Roster!$L$1=0,"",Roster!$L$1)</f>
        <v>AG</v>
      </c>
      <c r="AG105" s="240"/>
      <c r="AH105" s="310"/>
      <c r="AI105" s="277"/>
      <c r="AJ105" s="277"/>
      <c r="AK105" s="277"/>
      <c r="AL105" s="277"/>
      <c r="AM105" s="277"/>
      <c r="AN105" s="277"/>
      <c r="AO105" s="277"/>
      <c r="AP105" s="277"/>
      <c r="AQ105" s="277"/>
      <c r="AR105" s="311"/>
      <c r="AS105" s="389"/>
      <c r="AT105" s="219"/>
      <c r="AU105" s="211" t="str">
        <f>IF(Roster!$L$1=0,"",Roster!$L$1)</f>
        <v>AG</v>
      </c>
      <c r="AV105" s="240"/>
      <c r="AW105" s="310"/>
      <c r="AX105" s="277"/>
      <c r="AY105" s="277"/>
      <c r="AZ105" s="277"/>
      <c r="BA105" s="277"/>
      <c r="BB105" s="277"/>
      <c r="BC105" s="277"/>
      <c r="BD105" s="277"/>
      <c r="BE105" s="277"/>
      <c r="BF105" s="277"/>
      <c r="BG105" s="311"/>
      <c r="BH105" s="389"/>
      <c r="BI105" s="235"/>
    </row>
    <row r="106" spans="1:61" ht="37.5" customHeight="1">
      <c r="A106" s="2"/>
      <c r="B106" s="214" t="str">
        <f>IF(Roster!$L$17=0&amp;"+","",Roster!$L$17)</f>
        <v>3+</v>
      </c>
      <c r="C106" s="212"/>
      <c r="D106" s="310"/>
      <c r="E106" s="277"/>
      <c r="F106" s="277"/>
      <c r="G106" s="277"/>
      <c r="H106" s="277"/>
      <c r="I106" s="277"/>
      <c r="J106" s="277"/>
      <c r="K106" s="277"/>
      <c r="L106" s="277"/>
      <c r="M106" s="277"/>
      <c r="N106" s="311"/>
      <c r="O106" s="207"/>
      <c r="P106" s="2"/>
      <c r="Q106" s="214" t="str">
        <f>IF(Roster!$L$18=0,"",Roster!$L$18)</f>
        <v/>
      </c>
      <c r="R106" s="240"/>
      <c r="S106" s="310"/>
      <c r="T106" s="277"/>
      <c r="U106" s="277"/>
      <c r="V106" s="277"/>
      <c r="W106" s="277"/>
      <c r="X106" s="277"/>
      <c r="Y106" s="277"/>
      <c r="Z106" s="277"/>
      <c r="AA106" s="277"/>
      <c r="AB106" s="277"/>
      <c r="AC106" s="311"/>
      <c r="AD106" s="389"/>
      <c r="AE106" s="219"/>
      <c r="AF106" s="214" t="str">
        <f>IF(Roster!$L$19=0,"",Roster!$L$19)</f>
        <v/>
      </c>
      <c r="AG106" s="240"/>
      <c r="AH106" s="310"/>
      <c r="AI106" s="277"/>
      <c r="AJ106" s="277"/>
      <c r="AK106" s="277"/>
      <c r="AL106" s="277"/>
      <c r="AM106" s="277"/>
      <c r="AN106" s="277"/>
      <c r="AO106" s="277"/>
      <c r="AP106" s="277"/>
      <c r="AQ106" s="277"/>
      <c r="AR106" s="311"/>
      <c r="AS106" s="389"/>
      <c r="AT106" s="219"/>
      <c r="AU106" s="214" t="str">
        <f>IF(Roster!$L$20=0,"",Roster!$L$20)</f>
        <v/>
      </c>
      <c r="AV106" s="240"/>
      <c r="AW106" s="310"/>
      <c r="AX106" s="277"/>
      <c r="AY106" s="277"/>
      <c r="AZ106" s="277"/>
      <c r="BA106" s="277"/>
      <c r="BB106" s="277"/>
      <c r="BC106" s="277"/>
      <c r="BD106" s="277"/>
      <c r="BE106" s="277"/>
      <c r="BF106" s="277"/>
      <c r="BG106" s="311"/>
      <c r="BH106" s="389"/>
      <c r="BI106" s="235"/>
    </row>
    <row r="107" spans="1:61" ht="11.25" customHeight="1">
      <c r="A107" s="2"/>
      <c r="B107" s="211" t="str">
        <f>IF(Roster!$M$1=0,"",Roster!$M$1)</f>
        <v>PA</v>
      </c>
      <c r="C107" s="212"/>
      <c r="D107" s="310"/>
      <c r="E107" s="277"/>
      <c r="F107" s="277"/>
      <c r="G107" s="277"/>
      <c r="H107" s="277"/>
      <c r="I107" s="277"/>
      <c r="J107" s="277"/>
      <c r="K107" s="277"/>
      <c r="L107" s="277"/>
      <c r="M107" s="277"/>
      <c r="N107" s="311"/>
      <c r="O107" s="216"/>
      <c r="P107" s="2"/>
      <c r="Q107" s="211" t="str">
        <f>IF(Roster!$M$1=0,"",Roster!$M$1)</f>
        <v>PA</v>
      </c>
      <c r="R107" s="240"/>
      <c r="S107" s="310"/>
      <c r="T107" s="277"/>
      <c r="U107" s="277"/>
      <c r="V107" s="277"/>
      <c r="W107" s="277"/>
      <c r="X107" s="277"/>
      <c r="Y107" s="277"/>
      <c r="Z107" s="277"/>
      <c r="AA107" s="277"/>
      <c r="AB107" s="277"/>
      <c r="AC107" s="311"/>
      <c r="AD107" s="389"/>
      <c r="AE107" s="219"/>
      <c r="AF107" s="211" t="str">
        <f>IF(Roster!$M$1=0,"",Roster!$M$1)</f>
        <v>PA</v>
      </c>
      <c r="AG107" s="240"/>
      <c r="AH107" s="310"/>
      <c r="AI107" s="277"/>
      <c r="AJ107" s="277"/>
      <c r="AK107" s="277"/>
      <c r="AL107" s="277"/>
      <c r="AM107" s="277"/>
      <c r="AN107" s="277"/>
      <c r="AO107" s="277"/>
      <c r="AP107" s="277"/>
      <c r="AQ107" s="277"/>
      <c r="AR107" s="311"/>
      <c r="AS107" s="389"/>
      <c r="AT107" s="219"/>
      <c r="AU107" s="211" t="str">
        <f>IF(Roster!$M$1=0,"",Roster!$M$1)</f>
        <v>PA</v>
      </c>
      <c r="AV107" s="240"/>
      <c r="AW107" s="310"/>
      <c r="AX107" s="277"/>
      <c r="AY107" s="277"/>
      <c r="AZ107" s="277"/>
      <c r="BA107" s="277"/>
      <c r="BB107" s="277"/>
      <c r="BC107" s="277"/>
      <c r="BD107" s="277"/>
      <c r="BE107" s="277"/>
      <c r="BF107" s="277"/>
      <c r="BG107" s="311"/>
      <c r="BH107" s="389"/>
      <c r="BI107" s="235"/>
    </row>
    <row r="108" spans="1:61" ht="6" customHeight="1">
      <c r="A108" s="2"/>
      <c r="B108" s="401" t="str">
        <f>IF(Roster!$M$17=0&amp;"+","",Roster!$M$17)</f>
        <v>5+</v>
      </c>
      <c r="C108" s="212"/>
      <c r="D108" s="286"/>
      <c r="E108" s="287"/>
      <c r="F108" s="287"/>
      <c r="G108" s="287"/>
      <c r="H108" s="287"/>
      <c r="I108" s="287"/>
      <c r="J108" s="287"/>
      <c r="K108" s="287"/>
      <c r="L108" s="287"/>
      <c r="M108" s="287"/>
      <c r="N108" s="288"/>
      <c r="O108" s="218"/>
      <c r="P108" s="2"/>
      <c r="Q108" s="401" t="str">
        <f>IF(Roster!$M$18=0,"",Roster!$M$18)</f>
        <v/>
      </c>
      <c r="R108" s="240"/>
      <c r="S108" s="310"/>
      <c r="T108" s="277"/>
      <c r="U108" s="277"/>
      <c r="V108" s="277"/>
      <c r="W108" s="277"/>
      <c r="X108" s="277"/>
      <c r="Y108" s="277"/>
      <c r="Z108" s="277"/>
      <c r="AA108" s="277"/>
      <c r="AB108" s="277"/>
      <c r="AC108" s="311"/>
      <c r="AD108" s="389"/>
      <c r="AE108" s="219"/>
      <c r="AF108" s="401" t="str">
        <f>IF(Roster!$M$19=0,"",Roster!$M$19)</f>
        <v/>
      </c>
      <c r="AG108" s="240"/>
      <c r="AH108" s="310"/>
      <c r="AI108" s="277"/>
      <c r="AJ108" s="277"/>
      <c r="AK108" s="277"/>
      <c r="AL108" s="277"/>
      <c r="AM108" s="277"/>
      <c r="AN108" s="277"/>
      <c r="AO108" s="277"/>
      <c r="AP108" s="277"/>
      <c r="AQ108" s="277"/>
      <c r="AR108" s="311"/>
      <c r="AS108" s="389"/>
      <c r="AT108" s="219"/>
      <c r="AU108" s="401" t="str">
        <f>IF(Roster!$M$20=0,"",Roster!$M$20)</f>
        <v/>
      </c>
      <c r="AV108" s="240"/>
      <c r="AW108" s="310"/>
      <c r="AX108" s="277"/>
      <c r="AY108" s="277"/>
      <c r="AZ108" s="277"/>
      <c r="BA108" s="277"/>
      <c r="BB108" s="277"/>
      <c r="BC108" s="277"/>
      <c r="BD108" s="277"/>
      <c r="BE108" s="277"/>
      <c r="BF108" s="277"/>
      <c r="BG108" s="311"/>
      <c r="BH108" s="389"/>
      <c r="BI108" s="235"/>
    </row>
    <row r="109" spans="1:61" ht="4.5" customHeight="1">
      <c r="A109" s="2"/>
      <c r="B109" s="402"/>
      <c r="C109" s="210"/>
      <c r="D109" s="219"/>
      <c r="E109" s="217"/>
      <c r="F109" s="219"/>
      <c r="G109" s="217"/>
      <c r="H109" s="219"/>
      <c r="I109" s="217"/>
      <c r="J109" s="219"/>
      <c r="K109" s="217"/>
      <c r="L109" s="219"/>
      <c r="M109" s="217"/>
      <c r="N109" s="219"/>
      <c r="O109" s="218"/>
      <c r="P109" s="2"/>
      <c r="Q109" s="402"/>
      <c r="R109" s="240"/>
      <c r="S109" s="310"/>
      <c r="T109" s="277"/>
      <c r="U109" s="277"/>
      <c r="V109" s="277"/>
      <c r="W109" s="277"/>
      <c r="X109" s="277"/>
      <c r="Y109" s="277"/>
      <c r="Z109" s="277"/>
      <c r="AA109" s="277"/>
      <c r="AB109" s="277"/>
      <c r="AC109" s="311"/>
      <c r="AD109" s="389"/>
      <c r="AE109" s="219"/>
      <c r="AF109" s="402"/>
      <c r="AG109" s="240"/>
      <c r="AH109" s="310"/>
      <c r="AI109" s="277"/>
      <c r="AJ109" s="277"/>
      <c r="AK109" s="277"/>
      <c r="AL109" s="277"/>
      <c r="AM109" s="277"/>
      <c r="AN109" s="277"/>
      <c r="AO109" s="277"/>
      <c r="AP109" s="277"/>
      <c r="AQ109" s="277"/>
      <c r="AR109" s="311"/>
      <c r="AS109" s="389"/>
      <c r="AT109" s="219"/>
      <c r="AU109" s="402"/>
      <c r="AV109" s="240"/>
      <c r="AW109" s="310"/>
      <c r="AX109" s="277"/>
      <c r="AY109" s="277"/>
      <c r="AZ109" s="277"/>
      <c r="BA109" s="277"/>
      <c r="BB109" s="277"/>
      <c r="BC109" s="277"/>
      <c r="BD109" s="277"/>
      <c r="BE109" s="277"/>
      <c r="BF109" s="277"/>
      <c r="BG109" s="311"/>
      <c r="BH109" s="389"/>
      <c r="BI109" s="235"/>
    </row>
    <row r="110" spans="1:61" ht="11.25" customHeight="1">
      <c r="A110" s="2"/>
      <c r="B110" s="402"/>
      <c r="C110" s="210"/>
      <c r="D110" s="220" t="str">
        <f>IF(Roster!$AC$1=0,"",Roster!$AC$1)</f>
        <v>TD</v>
      </c>
      <c r="E110" s="221"/>
      <c r="F110" s="220" t="str">
        <f>IF(Roster!$J$25="Español","HER",(IF(Roster!$J$25="Deutsch","VER",(IF(Roster!$J$25="Français","BLES","CAS")))))</f>
        <v>CAS</v>
      </c>
      <c r="G110" s="221"/>
      <c r="H110" s="220" t="str">
        <f>IF(Roster!$AF$1=0,"",Roster!$AF$1)</f>
        <v>BH</v>
      </c>
      <c r="I110" s="221"/>
      <c r="J110" s="220" t="str">
        <f>IF(Roster!$AG$1=0,"",Roster!$AG$1)</f>
        <v>SI</v>
      </c>
      <c r="K110" s="221"/>
      <c r="L110" s="220" t="str">
        <f>IF(Roster!$AH$1=0,"",Roster!$AH$1)</f>
        <v>KILL</v>
      </c>
      <c r="M110" s="221"/>
      <c r="N110" s="220" t="str">
        <f>IF(Roster!$AB$1=0,"",Roster!$AB$1)</f>
        <v>CP</v>
      </c>
      <c r="O110" s="218"/>
      <c r="P110" s="2"/>
      <c r="Q110" s="402"/>
      <c r="R110" s="240"/>
      <c r="S110" s="310"/>
      <c r="T110" s="277"/>
      <c r="U110" s="277"/>
      <c r="V110" s="277"/>
      <c r="W110" s="277"/>
      <c r="X110" s="277"/>
      <c r="Y110" s="277"/>
      <c r="Z110" s="277"/>
      <c r="AA110" s="277"/>
      <c r="AB110" s="277"/>
      <c r="AC110" s="311"/>
      <c r="AD110" s="389"/>
      <c r="AE110" s="219"/>
      <c r="AF110" s="402"/>
      <c r="AG110" s="240"/>
      <c r="AH110" s="310"/>
      <c r="AI110" s="277"/>
      <c r="AJ110" s="277"/>
      <c r="AK110" s="277"/>
      <c r="AL110" s="277"/>
      <c r="AM110" s="277"/>
      <c r="AN110" s="277"/>
      <c r="AO110" s="277"/>
      <c r="AP110" s="277"/>
      <c r="AQ110" s="277"/>
      <c r="AR110" s="311"/>
      <c r="AS110" s="389"/>
      <c r="AT110" s="219"/>
      <c r="AU110" s="402"/>
      <c r="AV110" s="240"/>
      <c r="AW110" s="310"/>
      <c r="AX110" s="277"/>
      <c r="AY110" s="277"/>
      <c r="AZ110" s="277"/>
      <c r="BA110" s="277"/>
      <c r="BB110" s="277"/>
      <c r="BC110" s="277"/>
      <c r="BD110" s="277"/>
      <c r="BE110" s="277"/>
      <c r="BF110" s="277"/>
      <c r="BG110" s="311"/>
      <c r="BH110" s="389"/>
      <c r="BI110" s="235"/>
    </row>
    <row r="111" spans="1:61" ht="15" customHeight="1">
      <c r="A111" s="2"/>
      <c r="B111" s="402"/>
      <c r="C111" s="213"/>
      <c r="D111" s="222" t="str">
        <f>IF(Roster!$AC$17=0,"",Roster!$AC$17)</f>
        <v/>
      </c>
      <c r="E111" s="223"/>
      <c r="F111" s="222" t="str">
        <f>IF((SUM(H111,J111,L111))=0,"",(SUM(H111,J111,L111)))</f>
        <v/>
      </c>
      <c r="G111" s="223"/>
      <c r="H111" s="222" t="str">
        <f>IF(Roster!$AF$17=0,"",Roster!$AF$17)</f>
        <v/>
      </c>
      <c r="I111" s="223"/>
      <c r="J111" s="222" t="str">
        <f>IF(Roster!$AG$17=0,"",Roster!$AG$17)</f>
        <v/>
      </c>
      <c r="K111" s="223"/>
      <c r="L111" s="222" t="str">
        <f>IF(Roster!$AH$17=0,"",Roster!$AH$17)</f>
        <v/>
      </c>
      <c r="M111" s="223"/>
      <c r="N111" s="222" t="str">
        <f>IF(Roster!$AB$17=0,"",Roster!$AB$17)</f>
        <v/>
      </c>
      <c r="O111" s="218"/>
      <c r="P111" s="2"/>
      <c r="Q111" s="402"/>
      <c r="R111" s="240"/>
      <c r="S111" s="382"/>
      <c r="T111" s="360"/>
      <c r="U111" s="360"/>
      <c r="V111" s="360"/>
      <c r="W111" s="360"/>
      <c r="X111" s="360"/>
      <c r="Y111" s="360"/>
      <c r="Z111" s="360"/>
      <c r="AA111" s="360"/>
      <c r="AB111" s="360"/>
      <c r="AC111" s="383"/>
      <c r="AD111" s="389"/>
      <c r="AE111" s="219"/>
      <c r="AF111" s="402"/>
      <c r="AG111" s="240"/>
      <c r="AH111" s="382"/>
      <c r="AI111" s="360"/>
      <c r="AJ111" s="360"/>
      <c r="AK111" s="360"/>
      <c r="AL111" s="360"/>
      <c r="AM111" s="360"/>
      <c r="AN111" s="360"/>
      <c r="AO111" s="360"/>
      <c r="AP111" s="360"/>
      <c r="AQ111" s="360"/>
      <c r="AR111" s="383"/>
      <c r="AS111" s="389"/>
      <c r="AT111" s="219"/>
      <c r="AU111" s="402"/>
      <c r="AV111" s="240"/>
      <c r="AW111" s="382"/>
      <c r="AX111" s="360"/>
      <c r="AY111" s="360"/>
      <c r="AZ111" s="360"/>
      <c r="BA111" s="360"/>
      <c r="BB111" s="360"/>
      <c r="BC111" s="360"/>
      <c r="BD111" s="360"/>
      <c r="BE111" s="360"/>
      <c r="BF111" s="360"/>
      <c r="BG111" s="383"/>
      <c r="BH111" s="389"/>
      <c r="BI111" s="235"/>
    </row>
    <row r="112" spans="1:61" ht="4.5" customHeight="1">
      <c r="A112" s="2"/>
      <c r="B112" s="307"/>
      <c r="C112" s="213"/>
      <c r="D112" s="45"/>
      <c r="E112" s="223"/>
      <c r="F112" s="45"/>
      <c r="G112" s="223"/>
      <c r="H112" s="45"/>
      <c r="I112" s="223"/>
      <c r="J112" s="45"/>
      <c r="K112" s="223"/>
      <c r="L112" s="45"/>
      <c r="M112" s="223"/>
      <c r="N112" s="45"/>
      <c r="O112" s="218"/>
      <c r="P112" s="2"/>
      <c r="Q112" s="307"/>
      <c r="R112" s="240"/>
      <c r="S112" s="398"/>
      <c r="T112" s="248"/>
      <c r="U112" s="248"/>
      <c r="V112" s="248"/>
      <c r="W112" s="248"/>
      <c r="X112" s="248"/>
      <c r="Y112" s="248"/>
      <c r="Z112" s="248"/>
      <c r="AA112" s="248"/>
      <c r="AB112" s="248"/>
      <c r="AC112" s="263"/>
      <c r="AD112" s="389"/>
      <c r="AE112" s="219"/>
      <c r="AF112" s="307"/>
      <c r="AG112" s="240"/>
      <c r="AH112" s="398"/>
      <c r="AI112" s="248"/>
      <c r="AJ112" s="248"/>
      <c r="AK112" s="248"/>
      <c r="AL112" s="248"/>
      <c r="AM112" s="248"/>
      <c r="AN112" s="248"/>
      <c r="AO112" s="248"/>
      <c r="AP112" s="248"/>
      <c r="AQ112" s="248"/>
      <c r="AR112" s="263"/>
      <c r="AS112" s="389"/>
      <c r="AT112" s="219"/>
      <c r="AU112" s="307"/>
      <c r="AV112" s="240"/>
      <c r="AW112" s="398"/>
      <c r="AX112" s="248"/>
      <c r="AY112" s="248"/>
      <c r="AZ112" s="248"/>
      <c r="BA112" s="248"/>
      <c r="BB112" s="248"/>
      <c r="BC112" s="248"/>
      <c r="BD112" s="248"/>
      <c r="BE112" s="248"/>
      <c r="BF112" s="248"/>
      <c r="BG112" s="263"/>
      <c r="BH112" s="389"/>
      <c r="BI112" s="235"/>
    </row>
    <row r="113" spans="1:61" ht="11.25" customHeight="1">
      <c r="A113" s="2"/>
      <c r="B113" s="211" t="str">
        <f>IF(Roster!$N$1=0,"",Roster!$N$1)</f>
        <v>AV</v>
      </c>
      <c r="C113" s="212"/>
      <c r="D113" s="220" t="str">
        <f>IF(Roster!$AD$1=0,"",Roster!$AD$1)</f>
        <v>DEF</v>
      </c>
      <c r="E113" s="224"/>
      <c r="F113" s="220" t="str">
        <f>IF(Roster!$AE$1=0,"",Roster!$AE$1)</f>
        <v>INT</v>
      </c>
      <c r="G113" s="224"/>
      <c r="H113" s="220" t="str">
        <f>IF(Roster!$AA$1=0,"",Roster!$AA$1)</f>
        <v>SPE</v>
      </c>
      <c r="I113" s="224"/>
      <c r="J113" s="220" t="str">
        <f>IF(Roster!$AI$1=0,"",Roster!$AI$1)</f>
        <v>MVP</v>
      </c>
      <c r="K113" s="224"/>
      <c r="L113" s="220" t="s">
        <v>392</v>
      </c>
      <c r="M113" s="224"/>
      <c r="N113" s="225" t="str">
        <f>IF(Roster!$J$25="Español","LPP/RT",(IF(Roster!$J$25="Deutsch","VNS/AD",(IF(Roster!$J$25="Français","RPM/RT","MNG/TR")))))</f>
        <v>MNG/TR</v>
      </c>
      <c r="O113" s="207"/>
      <c r="P113" s="2"/>
      <c r="Q113" s="211" t="str">
        <f>IF(Roster!$N$1=0,"",Roster!$N$1)</f>
        <v>AV</v>
      </c>
      <c r="R113" s="240"/>
      <c r="S113" s="399" t="str">
        <f>IF(Roster!$J$25="Español","HABILIDADES Y RASGOS","SKILLS &amp; TRAITS")</f>
        <v>SKILLS &amp; TRAITS</v>
      </c>
      <c r="T113" s="243"/>
      <c r="U113" s="243"/>
      <c r="V113" s="243"/>
      <c r="W113" s="243"/>
      <c r="X113" s="243"/>
      <c r="Y113" s="243"/>
      <c r="Z113" s="243"/>
      <c r="AA113" s="243"/>
      <c r="AB113" s="243"/>
      <c r="AC113" s="400"/>
      <c r="AD113" s="389"/>
      <c r="AE113" s="219"/>
      <c r="AF113" s="211" t="str">
        <f>IF(Roster!$N$1=0,"",Roster!$N$1)</f>
        <v>AV</v>
      </c>
      <c r="AG113" s="240"/>
      <c r="AH113" s="399" t="str">
        <f>IF(Roster!$J$25="Español","HABILIDADES Y RASGOS","SKILLS &amp; TRAITS")</f>
        <v>SKILLS &amp; TRAITS</v>
      </c>
      <c r="AI113" s="243"/>
      <c r="AJ113" s="243"/>
      <c r="AK113" s="243"/>
      <c r="AL113" s="243"/>
      <c r="AM113" s="243"/>
      <c r="AN113" s="243"/>
      <c r="AO113" s="243"/>
      <c r="AP113" s="243"/>
      <c r="AQ113" s="243"/>
      <c r="AR113" s="400"/>
      <c r="AS113" s="389"/>
      <c r="AT113" s="219"/>
      <c r="AU113" s="211" t="str">
        <f>IF(Roster!$N$1=0,"",Roster!$N$1)</f>
        <v>AV</v>
      </c>
      <c r="AV113" s="240"/>
      <c r="AW113" s="399" t="str">
        <f>IF(Roster!$J$25="Italiano","ABILITÀ &amp; TRATTI",(IF(Roster!$J$25="Español","HABILIDADES Y RASGOS","SKILLS &amp; TRAITS")))</f>
        <v>ABILITÀ &amp; TRATTI</v>
      </c>
      <c r="AX113" s="243"/>
      <c r="AY113" s="243"/>
      <c r="AZ113" s="243"/>
      <c r="BA113" s="243"/>
      <c r="BB113" s="243"/>
      <c r="BC113" s="243"/>
      <c r="BD113" s="243"/>
      <c r="BE113" s="243"/>
      <c r="BF113" s="243"/>
      <c r="BG113" s="400"/>
      <c r="BH113" s="389"/>
      <c r="BI113" s="235"/>
    </row>
    <row r="114" spans="1:61" ht="15" customHeight="1">
      <c r="A114" s="2"/>
      <c r="B114" s="401" t="str">
        <f>IF(Roster!$N$17=0&amp;"+","",Roster!$N$17)</f>
        <v>6+</v>
      </c>
      <c r="C114" s="213"/>
      <c r="D114" s="222" t="str">
        <f>IF(Roster!$AD$17=0,"",Roster!$AD$17)</f>
        <v/>
      </c>
      <c r="E114" s="223"/>
      <c r="F114" s="222" t="str">
        <f>IF(Roster!$AE$17=0,"",Roster!$AE$17)</f>
        <v/>
      </c>
      <c r="G114" s="223"/>
      <c r="H114" s="222" t="str">
        <f>IF(Roster!$AA$17=0,"",Roster!$AA$17)</f>
        <v/>
      </c>
      <c r="I114" s="223"/>
      <c r="J114" s="222" t="str">
        <f>IF(Roster!$AI$17=0,"",Roster!$AI$17)</f>
        <v/>
      </c>
      <c r="K114" s="223"/>
      <c r="L114" s="222" t="str">
        <f>IF(Roster!$AJ$17=0,"",Roster!$AJ$17)</f>
        <v/>
      </c>
      <c r="M114" s="223"/>
      <c r="N114" s="222" t="str">
        <f>IF(Roster!$Z$17=0,"",Roster!$Z$17)</f>
        <v/>
      </c>
      <c r="O114" s="226"/>
      <c r="P114" s="2"/>
      <c r="Q114" s="401" t="str">
        <f>IF(Roster!$N$18=0,"",Roster!$N$18)</f>
        <v/>
      </c>
      <c r="R114" s="240"/>
      <c r="S114" s="380" t="str">
        <f>IF(Roster!$O$18=0,"",Roster!$O$18)</f>
        <v/>
      </c>
      <c r="T114" s="356"/>
      <c r="U114" s="356"/>
      <c r="V114" s="356"/>
      <c r="W114" s="356"/>
      <c r="X114" s="356"/>
      <c r="Y114" s="356"/>
      <c r="Z114" s="356"/>
      <c r="AA114" s="356"/>
      <c r="AB114" s="356"/>
      <c r="AC114" s="381"/>
      <c r="AD114" s="389"/>
      <c r="AE114" s="219"/>
      <c r="AF114" s="401" t="str">
        <f>IF(Roster!$N$19=0,"",Roster!$N$19)</f>
        <v/>
      </c>
      <c r="AG114" s="240"/>
      <c r="AH114" s="380" t="str">
        <f>IF(Roster!$O$19=0,"",Roster!$O$19)</f>
        <v/>
      </c>
      <c r="AI114" s="356"/>
      <c r="AJ114" s="356"/>
      <c r="AK114" s="356"/>
      <c r="AL114" s="356"/>
      <c r="AM114" s="356"/>
      <c r="AN114" s="356"/>
      <c r="AO114" s="356"/>
      <c r="AP114" s="356"/>
      <c r="AQ114" s="356"/>
      <c r="AR114" s="381"/>
      <c r="AS114" s="389"/>
      <c r="AT114" s="219"/>
      <c r="AU114" s="401" t="str">
        <f>IF(Roster!$N$20=0,"",Roster!$N$20)</f>
        <v/>
      </c>
      <c r="AV114" s="240"/>
      <c r="AW114" s="380" t="str">
        <f>IF(Roster!$O$20=0,"",Roster!$O$20)</f>
        <v/>
      </c>
      <c r="AX114" s="356"/>
      <c r="AY114" s="356"/>
      <c r="AZ114" s="356"/>
      <c r="BA114" s="356"/>
      <c r="BB114" s="356"/>
      <c r="BC114" s="356"/>
      <c r="BD114" s="356"/>
      <c r="BE114" s="356"/>
      <c r="BF114" s="356"/>
      <c r="BG114" s="381"/>
      <c r="BH114" s="389"/>
      <c r="BI114" s="235"/>
    </row>
    <row r="115" spans="1:61" ht="4.5" customHeight="1">
      <c r="A115" s="2"/>
      <c r="B115" s="402"/>
      <c r="C115" s="213"/>
      <c r="D115" s="223"/>
      <c r="E115" s="223"/>
      <c r="F115" s="223"/>
      <c r="G115" s="223"/>
      <c r="H115" s="223"/>
      <c r="I115" s="223"/>
      <c r="J115" s="223"/>
      <c r="K115" s="223"/>
      <c r="L115" s="223"/>
      <c r="M115" s="223"/>
      <c r="N115" s="227"/>
      <c r="O115" s="226"/>
      <c r="P115" s="2"/>
      <c r="Q115" s="402"/>
      <c r="R115" s="240"/>
      <c r="S115" s="310"/>
      <c r="T115" s="277"/>
      <c r="U115" s="277"/>
      <c r="V115" s="277"/>
      <c r="W115" s="277"/>
      <c r="X115" s="277"/>
      <c r="Y115" s="277"/>
      <c r="Z115" s="277"/>
      <c r="AA115" s="277"/>
      <c r="AB115" s="277"/>
      <c r="AC115" s="311"/>
      <c r="AD115" s="389"/>
      <c r="AE115" s="219"/>
      <c r="AF115" s="402"/>
      <c r="AG115" s="240"/>
      <c r="AH115" s="310"/>
      <c r="AI115" s="277"/>
      <c r="AJ115" s="277"/>
      <c r="AK115" s="277"/>
      <c r="AL115" s="277"/>
      <c r="AM115" s="277"/>
      <c r="AN115" s="277"/>
      <c r="AO115" s="277"/>
      <c r="AP115" s="277"/>
      <c r="AQ115" s="277"/>
      <c r="AR115" s="311"/>
      <c r="AS115" s="389"/>
      <c r="AT115" s="219"/>
      <c r="AU115" s="402"/>
      <c r="AV115" s="240"/>
      <c r="AW115" s="310"/>
      <c r="AX115" s="277"/>
      <c r="AY115" s="277"/>
      <c r="AZ115" s="277"/>
      <c r="BA115" s="277"/>
      <c r="BB115" s="277"/>
      <c r="BC115" s="277"/>
      <c r="BD115" s="277"/>
      <c r="BE115" s="277"/>
      <c r="BF115" s="277"/>
      <c r="BG115" s="311"/>
      <c r="BH115" s="389"/>
      <c r="BI115" s="235"/>
    </row>
    <row r="116" spans="1:61" ht="11.25" customHeight="1">
      <c r="A116" s="2"/>
      <c r="B116" s="402"/>
      <c r="C116" s="213"/>
      <c r="D116" s="378" t="str">
        <f>IF(Roster!$J$25="Italiano","ABILITÀ &amp; TRATTI",(IF(Roster!$J$25="Español","HABILIDADES Y RASGOS","SKILLS &amp; TRAITS")))</f>
        <v>ABILITÀ &amp; TRATTI</v>
      </c>
      <c r="E116" s="313"/>
      <c r="F116" s="313"/>
      <c r="G116" s="313"/>
      <c r="H116" s="313"/>
      <c r="I116" s="313"/>
      <c r="J116" s="313"/>
      <c r="K116" s="313"/>
      <c r="L116" s="313"/>
      <c r="M116" s="313"/>
      <c r="N116" s="379"/>
      <c r="O116" s="226"/>
      <c r="P116" s="2"/>
      <c r="Q116" s="402"/>
      <c r="R116" s="240"/>
      <c r="S116" s="310"/>
      <c r="T116" s="277"/>
      <c r="U116" s="277"/>
      <c r="V116" s="277"/>
      <c r="W116" s="277"/>
      <c r="X116" s="277"/>
      <c r="Y116" s="277"/>
      <c r="Z116" s="277"/>
      <c r="AA116" s="277"/>
      <c r="AB116" s="277"/>
      <c r="AC116" s="311"/>
      <c r="AD116" s="389"/>
      <c r="AE116" s="219"/>
      <c r="AF116" s="402"/>
      <c r="AG116" s="240"/>
      <c r="AH116" s="310"/>
      <c r="AI116" s="277"/>
      <c r="AJ116" s="277"/>
      <c r="AK116" s="277"/>
      <c r="AL116" s="277"/>
      <c r="AM116" s="277"/>
      <c r="AN116" s="277"/>
      <c r="AO116" s="277"/>
      <c r="AP116" s="277"/>
      <c r="AQ116" s="277"/>
      <c r="AR116" s="311"/>
      <c r="AS116" s="389"/>
      <c r="AT116" s="219"/>
      <c r="AU116" s="402"/>
      <c r="AV116" s="240"/>
      <c r="AW116" s="310"/>
      <c r="AX116" s="277"/>
      <c r="AY116" s="277"/>
      <c r="AZ116" s="277"/>
      <c r="BA116" s="277"/>
      <c r="BB116" s="277"/>
      <c r="BC116" s="277"/>
      <c r="BD116" s="277"/>
      <c r="BE116" s="277"/>
      <c r="BF116" s="277"/>
      <c r="BG116" s="311"/>
      <c r="BH116" s="389"/>
      <c r="BI116" s="235"/>
    </row>
    <row r="117" spans="1:61" ht="6.75" customHeight="1">
      <c r="A117" s="2"/>
      <c r="B117" s="307"/>
      <c r="C117" s="213"/>
      <c r="D117" s="392" t="str">
        <f>IF(Roster!$O$17=0&amp;AQ98,"",Roster!$O$17)</f>
        <v>Dodge, Right Stuff, Side Step, Stunty, Swarming, Titchy</v>
      </c>
      <c r="E117" s="356"/>
      <c r="F117" s="356"/>
      <c r="G117" s="356"/>
      <c r="H117" s="356"/>
      <c r="I117" s="356"/>
      <c r="J117" s="356"/>
      <c r="K117" s="356"/>
      <c r="L117" s="356"/>
      <c r="M117" s="356"/>
      <c r="N117" s="381"/>
      <c r="O117" s="226"/>
      <c r="P117" s="2"/>
      <c r="Q117" s="307"/>
      <c r="R117" s="240"/>
      <c r="S117" s="310"/>
      <c r="T117" s="277"/>
      <c r="U117" s="277"/>
      <c r="V117" s="277"/>
      <c r="W117" s="277"/>
      <c r="X117" s="277"/>
      <c r="Y117" s="277"/>
      <c r="Z117" s="277"/>
      <c r="AA117" s="277"/>
      <c r="AB117" s="277"/>
      <c r="AC117" s="311"/>
      <c r="AD117" s="389"/>
      <c r="AE117" s="219"/>
      <c r="AF117" s="307"/>
      <c r="AG117" s="240"/>
      <c r="AH117" s="310"/>
      <c r="AI117" s="277"/>
      <c r="AJ117" s="277"/>
      <c r="AK117" s="277"/>
      <c r="AL117" s="277"/>
      <c r="AM117" s="277"/>
      <c r="AN117" s="277"/>
      <c r="AO117" s="277"/>
      <c r="AP117" s="277"/>
      <c r="AQ117" s="277"/>
      <c r="AR117" s="311"/>
      <c r="AS117" s="389"/>
      <c r="AT117" s="219"/>
      <c r="AU117" s="307"/>
      <c r="AV117" s="240"/>
      <c r="AW117" s="310"/>
      <c r="AX117" s="277"/>
      <c r="AY117" s="277"/>
      <c r="AZ117" s="277"/>
      <c r="BA117" s="277"/>
      <c r="BB117" s="277"/>
      <c r="BC117" s="277"/>
      <c r="BD117" s="277"/>
      <c r="BE117" s="277"/>
      <c r="BF117" s="277"/>
      <c r="BG117" s="311"/>
      <c r="BH117" s="389"/>
      <c r="BI117" s="235"/>
    </row>
    <row r="118" spans="1:61" ht="11.25" customHeight="1">
      <c r="A118" s="2"/>
      <c r="B118" s="211" t="str">
        <f>IF(Roster!$AN$1=0,"",Roster!$AN$1)</f>
        <v>COSTO</v>
      </c>
      <c r="C118" s="212"/>
      <c r="D118" s="310"/>
      <c r="E118" s="277"/>
      <c r="F118" s="277"/>
      <c r="G118" s="277"/>
      <c r="H118" s="277"/>
      <c r="I118" s="277"/>
      <c r="J118" s="277"/>
      <c r="K118" s="277"/>
      <c r="L118" s="277"/>
      <c r="M118" s="277"/>
      <c r="N118" s="311"/>
      <c r="O118" s="230"/>
      <c r="P118" s="2"/>
      <c r="Q118" s="211" t="str">
        <f>IF(Roster!$AN$1=0,"",Roster!$AN$1)</f>
        <v>COSTO</v>
      </c>
      <c r="R118" s="240"/>
      <c r="S118" s="310"/>
      <c r="T118" s="277"/>
      <c r="U118" s="277"/>
      <c r="V118" s="277"/>
      <c r="W118" s="277"/>
      <c r="X118" s="277"/>
      <c r="Y118" s="277"/>
      <c r="Z118" s="277"/>
      <c r="AA118" s="277"/>
      <c r="AB118" s="277"/>
      <c r="AC118" s="311"/>
      <c r="AD118" s="389"/>
      <c r="AE118" s="219"/>
      <c r="AF118" s="211" t="str">
        <f>IF(Roster!$AN$1=0,"",Roster!$AN$1)</f>
        <v>COSTO</v>
      </c>
      <c r="AG118" s="240"/>
      <c r="AH118" s="310"/>
      <c r="AI118" s="277"/>
      <c r="AJ118" s="277"/>
      <c r="AK118" s="277"/>
      <c r="AL118" s="277"/>
      <c r="AM118" s="277"/>
      <c r="AN118" s="277"/>
      <c r="AO118" s="277"/>
      <c r="AP118" s="277"/>
      <c r="AQ118" s="277"/>
      <c r="AR118" s="311"/>
      <c r="AS118" s="389"/>
      <c r="AT118" s="219"/>
      <c r="AU118" s="211" t="str">
        <f>IF(Roster!$AN$1=0,"",Roster!$AN$1)</f>
        <v>COSTO</v>
      </c>
      <c r="AV118" s="240"/>
      <c r="AW118" s="310"/>
      <c r="AX118" s="277"/>
      <c r="AY118" s="277"/>
      <c r="AZ118" s="277"/>
      <c r="BA118" s="277"/>
      <c r="BB118" s="277"/>
      <c r="BC118" s="277"/>
      <c r="BD118" s="277"/>
      <c r="BE118" s="277"/>
      <c r="BF118" s="277"/>
      <c r="BG118" s="311"/>
      <c r="BH118" s="389"/>
      <c r="BI118" s="235"/>
    </row>
    <row r="119" spans="1:61" ht="34.5" customHeight="1">
      <c r="A119" s="2"/>
      <c r="B119" s="232">
        <f>IF(Roster!$AN$17=0,"",Roster!$AN$17)</f>
        <v>15000</v>
      </c>
      <c r="C119" s="233"/>
      <c r="D119" s="286"/>
      <c r="E119" s="287"/>
      <c r="F119" s="287"/>
      <c r="G119" s="287"/>
      <c r="H119" s="287"/>
      <c r="I119" s="287"/>
      <c r="J119" s="287"/>
      <c r="K119" s="287"/>
      <c r="L119" s="287"/>
      <c r="M119" s="287"/>
      <c r="N119" s="288"/>
      <c r="O119" s="230"/>
      <c r="P119" s="2"/>
      <c r="Q119" s="232" t="str">
        <f>IF(Roster!$AN$18=0,"",Roster!$AN$18)</f>
        <v/>
      </c>
      <c r="R119" s="241"/>
      <c r="S119" s="286"/>
      <c r="T119" s="287"/>
      <c r="U119" s="287"/>
      <c r="V119" s="287"/>
      <c r="W119" s="287"/>
      <c r="X119" s="287"/>
      <c r="Y119" s="287"/>
      <c r="Z119" s="287"/>
      <c r="AA119" s="287"/>
      <c r="AB119" s="287"/>
      <c r="AC119" s="288"/>
      <c r="AD119" s="390"/>
      <c r="AE119" s="219"/>
      <c r="AF119" s="232" t="str">
        <f>IF(Roster!$AN$19=0,"",Roster!$AN$19)</f>
        <v/>
      </c>
      <c r="AG119" s="241"/>
      <c r="AH119" s="286"/>
      <c r="AI119" s="287"/>
      <c r="AJ119" s="287"/>
      <c r="AK119" s="287"/>
      <c r="AL119" s="287"/>
      <c r="AM119" s="287"/>
      <c r="AN119" s="287"/>
      <c r="AO119" s="287"/>
      <c r="AP119" s="287"/>
      <c r="AQ119" s="287"/>
      <c r="AR119" s="288"/>
      <c r="AS119" s="390"/>
      <c r="AT119" s="219"/>
      <c r="AU119" s="232" t="str">
        <f>IF(Roster!$AN$20=0,"",Roster!$AN$20)</f>
        <v/>
      </c>
      <c r="AV119" s="241"/>
      <c r="AW119" s="286"/>
      <c r="AX119" s="287"/>
      <c r="AY119" s="287"/>
      <c r="AZ119" s="287"/>
      <c r="BA119" s="287"/>
      <c r="BB119" s="287"/>
      <c r="BC119" s="287"/>
      <c r="BD119" s="287"/>
      <c r="BE119" s="287"/>
      <c r="BF119" s="287"/>
      <c r="BG119" s="288"/>
      <c r="BH119" s="390"/>
      <c r="BI119" s="235"/>
    </row>
    <row r="120" spans="1:61" ht="4.5" customHeight="1">
      <c r="A120" s="2"/>
      <c r="B120" s="385"/>
      <c r="C120" s="252"/>
      <c r="D120" s="252"/>
      <c r="E120" s="252"/>
      <c r="F120" s="252"/>
      <c r="G120" s="252"/>
      <c r="H120" s="252"/>
      <c r="I120" s="252"/>
      <c r="J120" s="252"/>
      <c r="K120" s="252"/>
      <c r="L120" s="252"/>
      <c r="M120" s="252"/>
      <c r="N120" s="253"/>
      <c r="O120" s="234"/>
      <c r="P120" s="2"/>
      <c r="Q120" s="384"/>
      <c r="R120" s="252"/>
      <c r="S120" s="252"/>
      <c r="T120" s="252"/>
      <c r="U120" s="252"/>
      <c r="V120" s="252"/>
      <c r="W120" s="252"/>
      <c r="X120" s="252"/>
      <c r="Y120" s="252"/>
      <c r="Z120" s="252"/>
      <c r="AA120" s="252"/>
      <c r="AB120" s="252"/>
      <c r="AC120" s="252"/>
      <c r="AD120" s="300"/>
      <c r="AE120" s="235"/>
      <c r="AF120" s="384"/>
      <c r="AG120" s="252"/>
      <c r="AH120" s="252"/>
      <c r="AI120" s="252"/>
      <c r="AJ120" s="252"/>
      <c r="AK120" s="252"/>
      <c r="AL120" s="252"/>
      <c r="AM120" s="252"/>
      <c r="AN120" s="252"/>
      <c r="AO120" s="252"/>
      <c r="AP120" s="252"/>
      <c r="AQ120" s="252"/>
      <c r="AR120" s="252"/>
      <c r="AS120" s="300"/>
      <c r="AT120" s="235"/>
      <c r="AU120" s="384"/>
      <c r="AV120" s="252"/>
      <c r="AW120" s="252"/>
      <c r="AX120" s="252"/>
      <c r="AY120" s="252"/>
      <c r="AZ120" s="252"/>
      <c r="BA120" s="252"/>
      <c r="BB120" s="252"/>
      <c r="BC120" s="252"/>
      <c r="BD120" s="252"/>
      <c r="BE120" s="252"/>
      <c r="BF120" s="252"/>
      <c r="BG120" s="252"/>
      <c r="BH120" s="300"/>
      <c r="BI120" s="235"/>
    </row>
    <row r="121" spans="1:61" ht="10.5" hidden="1" customHeight="1">
      <c r="A121" s="2"/>
      <c r="B121" s="2"/>
      <c r="C121" s="2"/>
      <c r="D121" s="2"/>
      <c r="E121" s="2"/>
      <c r="F121" s="2"/>
      <c r="G121" s="2"/>
      <c r="H121" s="2"/>
      <c r="I121" s="2"/>
      <c r="J121" s="2"/>
      <c r="K121" s="2"/>
      <c r="L121" s="2"/>
      <c r="M121" s="2"/>
      <c r="N121" s="2"/>
      <c r="O121" s="2"/>
      <c r="P121" s="2"/>
      <c r="Q121" s="235"/>
      <c r="R121" s="235"/>
      <c r="S121" s="235"/>
      <c r="T121" s="235"/>
      <c r="U121" s="235"/>
      <c r="V121" s="235"/>
      <c r="W121" s="235"/>
      <c r="X121" s="235"/>
      <c r="Y121" s="235"/>
      <c r="Z121" s="235"/>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H17:J17"/>
    <mergeCell ref="H10:J10"/>
    <mergeCell ref="L10:N10"/>
    <mergeCell ref="H11:J11"/>
    <mergeCell ref="L11:N11"/>
    <mergeCell ref="L17:N17"/>
    <mergeCell ref="H12:J16"/>
    <mergeCell ref="L12:N16"/>
    <mergeCell ref="L9:N9"/>
    <mergeCell ref="C3:N3"/>
    <mergeCell ref="C4:N4"/>
    <mergeCell ref="L5:N5"/>
    <mergeCell ref="L6:N6"/>
    <mergeCell ref="S6:AC12"/>
    <mergeCell ref="D7:F7"/>
    <mergeCell ref="L7:N7"/>
    <mergeCell ref="Q2:Q4"/>
    <mergeCell ref="D11:F11"/>
    <mergeCell ref="D12:F16"/>
    <mergeCell ref="H6:J6"/>
    <mergeCell ref="H7:J7"/>
    <mergeCell ref="H5:J5"/>
    <mergeCell ref="H8:J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5" t="s">
        <v>393</v>
      </c>
      <c r="B1" s="25" t="s">
        <v>394</v>
      </c>
      <c r="C1" s="25" t="s">
        <v>395</v>
      </c>
      <c r="D1" s="25" t="s">
        <v>322</v>
      </c>
      <c r="E1" s="25" t="s">
        <v>229</v>
      </c>
      <c r="F1" s="25" t="s">
        <v>233</v>
      </c>
      <c r="G1" s="25" t="s">
        <v>231</v>
      </c>
      <c r="H1" s="25" t="s">
        <v>232</v>
      </c>
      <c r="I1" s="25" t="s">
        <v>230</v>
      </c>
      <c r="J1" s="25" t="s">
        <v>396</v>
      </c>
      <c r="K1" s="25" t="s">
        <v>397</v>
      </c>
      <c r="L1" s="25" t="s">
        <v>54</v>
      </c>
      <c r="M1" s="25" t="s">
        <v>398</v>
      </c>
      <c r="N1" s="25" t="s">
        <v>399</v>
      </c>
      <c r="O1" s="25" t="s">
        <v>224</v>
      </c>
      <c r="P1" s="25" t="s">
        <v>225</v>
      </c>
      <c r="Q1" s="25" t="s">
        <v>226</v>
      </c>
      <c r="R1" s="25" t="s">
        <v>227</v>
      </c>
      <c r="S1" s="25" t="s">
        <v>228</v>
      </c>
      <c r="T1" s="45"/>
      <c r="U1" s="25" t="s">
        <v>400</v>
      </c>
      <c r="V1" s="25" t="s">
        <v>401</v>
      </c>
      <c r="W1" s="25" t="s">
        <v>402</v>
      </c>
      <c r="X1" s="25" t="s">
        <v>403</v>
      </c>
      <c r="Y1" s="25" t="s">
        <v>404</v>
      </c>
      <c r="Z1" s="45"/>
    </row>
    <row r="2" spans="1:26" ht="12.75" customHeight="1">
      <c r="A2" s="12" t="s">
        <v>68</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5"/>
      <c r="U2" s="45">
        <v>0</v>
      </c>
      <c r="V2" s="45">
        <v>0</v>
      </c>
      <c r="W2" s="45"/>
      <c r="X2" s="45">
        <v>0</v>
      </c>
      <c r="Y2" s="45">
        <v>0</v>
      </c>
      <c r="Z2" s="45"/>
    </row>
    <row r="3" spans="1:26" ht="12.75" customHeight="1">
      <c r="A3" s="12" t="s">
        <v>68</v>
      </c>
      <c r="B3" s="12" t="str">
        <f t="shared" si="0"/>
        <v>Amazon2</v>
      </c>
      <c r="C3" s="12" t="s">
        <v>405</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227</v>
      </c>
      <c r="P3" s="11" t="s">
        <v>226</v>
      </c>
      <c r="Q3" s="11" t="s">
        <v>226</v>
      </c>
      <c r="R3" s="11">
        <v>0</v>
      </c>
      <c r="S3" s="11">
        <v>0</v>
      </c>
      <c r="T3" s="45" t="str">
        <f t="shared" ref="T3:T7" si="3">IF(AND(R3&lt;&gt;0,S3&lt;&gt;0),"FULL",(IF(AND(R3=0,S3=0),"PM",IF(R3=0,"P",(IF(S3=0,"M"))))))</f>
        <v>PM</v>
      </c>
      <c r="U3" s="45" t="s">
        <v>330</v>
      </c>
      <c r="V3" s="45" t="s">
        <v>406</v>
      </c>
      <c r="W3" s="45" t="s">
        <v>407</v>
      </c>
      <c r="X3" s="45" t="s">
        <v>408</v>
      </c>
      <c r="Y3" s="45"/>
      <c r="Z3" s="45"/>
    </row>
    <row r="4" spans="1:26" ht="12.75" customHeight="1">
      <c r="A4" s="12" t="s">
        <v>68</v>
      </c>
      <c r="B4" s="12" t="str">
        <f t="shared" si="0"/>
        <v>Amazon3</v>
      </c>
      <c r="C4" s="12" t="s">
        <v>409</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227</v>
      </c>
      <c r="P4" s="11" t="s">
        <v>226</v>
      </c>
      <c r="Q4" s="11" t="s">
        <v>226</v>
      </c>
      <c r="R4" s="11" t="s">
        <v>227</v>
      </c>
      <c r="S4" s="11">
        <v>0</v>
      </c>
      <c r="T4" s="45" t="str">
        <f t="shared" si="3"/>
        <v>M</v>
      </c>
      <c r="U4" s="45" t="s">
        <v>410</v>
      </c>
      <c r="V4" s="45" t="s">
        <v>411</v>
      </c>
      <c r="W4" s="45" t="s">
        <v>412</v>
      </c>
      <c r="X4" s="45" t="s">
        <v>413</v>
      </c>
      <c r="Y4" s="45"/>
      <c r="Z4" s="45"/>
    </row>
    <row r="5" spans="1:26" ht="12.75" customHeight="1">
      <c r="A5" s="12" t="s">
        <v>68</v>
      </c>
      <c r="B5" s="12" t="str">
        <f t="shared" si="0"/>
        <v>Amazon4</v>
      </c>
      <c r="C5" s="12" t="s">
        <v>414</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227</v>
      </c>
      <c r="P5" s="11" t="s">
        <v>227</v>
      </c>
      <c r="Q5" s="11" t="s">
        <v>226</v>
      </c>
      <c r="R5" s="11">
        <v>0</v>
      </c>
      <c r="S5" s="11">
        <v>0</v>
      </c>
      <c r="T5" s="45" t="str">
        <f t="shared" si="3"/>
        <v>PM</v>
      </c>
      <c r="U5" s="45" t="s">
        <v>415</v>
      </c>
      <c r="V5" s="45" t="s">
        <v>416</v>
      </c>
      <c r="W5" s="45" t="s">
        <v>417</v>
      </c>
      <c r="X5" s="45" t="s">
        <v>418</v>
      </c>
      <c r="Y5" s="45"/>
      <c r="Z5" s="45"/>
    </row>
    <row r="6" spans="1:26" ht="12.75" customHeight="1">
      <c r="A6" s="12" t="s">
        <v>68</v>
      </c>
      <c r="B6" s="12" t="str">
        <f t="shared" si="0"/>
        <v>Amazon5</v>
      </c>
      <c r="C6" s="12" t="s">
        <v>419</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36">
        <v>4</v>
      </c>
      <c r="N6" s="236">
        <v>0</v>
      </c>
      <c r="O6" s="11" t="s">
        <v>227</v>
      </c>
      <c r="P6" s="11" t="s">
        <v>226</v>
      </c>
      <c r="Q6" s="11" t="s">
        <v>227</v>
      </c>
      <c r="R6" s="11">
        <v>0</v>
      </c>
      <c r="S6" s="11">
        <v>0</v>
      </c>
      <c r="T6" s="45" t="str">
        <f t="shared" si="3"/>
        <v>PM</v>
      </c>
      <c r="U6" s="45" t="s">
        <v>420</v>
      </c>
      <c r="V6" s="45" t="s">
        <v>421</v>
      </c>
      <c r="W6" s="45" t="s">
        <v>422</v>
      </c>
      <c r="X6" s="45" t="s">
        <v>423</v>
      </c>
      <c r="Y6" s="45"/>
      <c r="Z6" s="45"/>
    </row>
    <row r="7" spans="1:26" ht="12.75" customHeight="1">
      <c r="A7" s="12" t="s">
        <v>68</v>
      </c>
      <c r="B7" s="12" t="str">
        <f t="shared" si="0"/>
        <v>Amazon6</v>
      </c>
      <c r="C7" s="12" t="s">
        <v>424</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227</v>
      </c>
      <c r="P7" s="11" t="s">
        <v>227</v>
      </c>
      <c r="Q7" s="11" t="s">
        <v>226</v>
      </c>
      <c r="R7" s="11">
        <v>0</v>
      </c>
      <c r="S7" s="11">
        <v>0</v>
      </c>
      <c r="T7" s="45" t="str">
        <f t="shared" si="3"/>
        <v>PM</v>
      </c>
      <c r="U7" s="45" t="s">
        <v>425</v>
      </c>
      <c r="V7" s="45" t="s">
        <v>426</v>
      </c>
      <c r="W7" s="45" t="s">
        <v>427</v>
      </c>
      <c r="X7" s="45" t="s">
        <v>428</v>
      </c>
      <c r="Y7" s="45"/>
      <c r="Z7" s="45"/>
    </row>
    <row r="8" spans="1:26" ht="12.75" customHeight="1">
      <c r="A8" s="12" t="s">
        <v>75</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5"/>
      <c r="U8" s="45">
        <v>0</v>
      </c>
      <c r="V8" s="45">
        <v>0</v>
      </c>
      <c r="W8" s="45">
        <v>0</v>
      </c>
      <c r="X8" s="45">
        <v>0</v>
      </c>
      <c r="Y8" s="45">
        <v>0</v>
      </c>
      <c r="Z8" s="45"/>
    </row>
    <row r="9" spans="1:26" ht="12.75" customHeight="1">
      <c r="A9" s="12" t="s">
        <v>75</v>
      </c>
      <c r="B9" s="12" t="str">
        <f t="shared" si="0"/>
        <v>Black Orc2</v>
      </c>
      <c r="C9" s="12" t="s">
        <v>429</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226</v>
      </c>
      <c r="P9" s="11" t="s">
        <v>227</v>
      </c>
      <c r="Q9" s="11" t="s">
        <v>226</v>
      </c>
      <c r="R9" s="11" t="s">
        <v>226</v>
      </c>
      <c r="S9" s="11">
        <v>0</v>
      </c>
      <c r="T9" s="45" t="str">
        <f t="shared" ref="T9:T12" si="5">IF(AND(R9&lt;&gt;0,S9&lt;&gt;0),"FULL",(IF(AND(R9=0,S9=0),"PM",IF(R9=0,"P",(IF(S9=0,"M"))))))</f>
        <v>M</v>
      </c>
      <c r="U9" s="45" t="s">
        <v>430</v>
      </c>
      <c r="V9" s="45" t="s">
        <v>431</v>
      </c>
      <c r="W9" s="45" t="s">
        <v>432</v>
      </c>
      <c r="X9" s="45" t="s">
        <v>433</v>
      </c>
      <c r="Y9" s="45"/>
      <c r="Z9" s="45"/>
    </row>
    <row r="10" spans="1:26" ht="12.75" customHeight="1">
      <c r="A10" s="12" t="s">
        <v>75</v>
      </c>
      <c r="B10" s="12" t="str">
        <f t="shared" si="0"/>
        <v>Black Orc3</v>
      </c>
      <c r="C10" s="12" t="s">
        <v>75</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227</v>
      </c>
      <c r="P10" s="11" t="s">
        <v>226</v>
      </c>
      <c r="Q10" s="11" t="s">
        <v>227</v>
      </c>
      <c r="R10" s="11" t="s">
        <v>226</v>
      </c>
      <c r="S10" s="11">
        <v>0</v>
      </c>
      <c r="T10" s="45" t="str">
        <f t="shared" si="5"/>
        <v>M</v>
      </c>
      <c r="U10" s="45" t="s">
        <v>434</v>
      </c>
      <c r="V10" s="45" t="s">
        <v>435</v>
      </c>
      <c r="W10" s="45" t="s">
        <v>436</v>
      </c>
      <c r="X10" s="45" t="s">
        <v>437</v>
      </c>
      <c r="Y10" s="45"/>
      <c r="Z10" s="45"/>
    </row>
    <row r="11" spans="1:26" ht="12.75" customHeight="1">
      <c r="A11" s="12" t="s">
        <v>75</v>
      </c>
      <c r="B11" s="12" t="str">
        <f t="shared" si="0"/>
        <v>Black Orc4</v>
      </c>
      <c r="C11" s="12" t="s">
        <v>438</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226</v>
      </c>
      <c r="P11" s="11" t="s">
        <v>226</v>
      </c>
      <c r="Q11" s="11" t="s">
        <v>227</v>
      </c>
      <c r="R11" s="11" t="s">
        <v>226</v>
      </c>
      <c r="S11" s="11">
        <v>0</v>
      </c>
      <c r="T11" s="45" t="str">
        <f t="shared" si="5"/>
        <v>M</v>
      </c>
      <c r="U11" s="45" t="s">
        <v>439</v>
      </c>
      <c r="V11" s="45" t="s">
        <v>440</v>
      </c>
      <c r="W11" s="45" t="s">
        <v>441</v>
      </c>
      <c r="X11" s="45" t="s">
        <v>442</v>
      </c>
      <c r="Y11" s="45"/>
      <c r="Z11" s="45"/>
    </row>
    <row r="12" spans="1:26" ht="12.75" customHeight="1">
      <c r="A12" s="12" t="s">
        <v>75</v>
      </c>
      <c r="B12" s="12" t="str">
        <f t="shared" si="0"/>
        <v>Black Orc5</v>
      </c>
      <c r="C12" s="12" t="s">
        <v>443</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226</v>
      </c>
      <c r="P12" s="11" t="s">
        <v>227</v>
      </c>
      <c r="Q12" s="11" t="s">
        <v>226</v>
      </c>
      <c r="R12" s="11" t="s">
        <v>226</v>
      </c>
      <c r="S12" s="11">
        <v>0</v>
      </c>
      <c r="T12" s="45" t="str">
        <f t="shared" si="5"/>
        <v>M</v>
      </c>
      <c r="U12" s="45" t="s">
        <v>444</v>
      </c>
      <c r="V12" s="45" t="s">
        <v>445</v>
      </c>
      <c r="W12" s="45" t="s">
        <v>446</v>
      </c>
      <c r="X12" s="45" t="s">
        <v>447</v>
      </c>
      <c r="Y12" s="45"/>
      <c r="Z12" s="45"/>
    </row>
    <row r="13" spans="1:26" ht="12.75" customHeight="1">
      <c r="A13" s="12" t="s">
        <v>83</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5"/>
      <c r="U13" s="45"/>
      <c r="V13" s="45"/>
      <c r="W13" s="45"/>
      <c r="X13" s="45"/>
      <c r="Y13" s="45"/>
      <c r="Z13" s="45"/>
    </row>
    <row r="14" spans="1:26" ht="12.75" customHeight="1">
      <c r="A14" s="12" t="s">
        <v>83</v>
      </c>
      <c r="B14" s="12" t="str">
        <f t="shared" si="0"/>
        <v>Chaos Chosen2</v>
      </c>
      <c r="C14" s="12" t="s">
        <v>448</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227</v>
      </c>
      <c r="P14" s="11" t="s">
        <v>226</v>
      </c>
      <c r="Q14" s="11" t="s">
        <v>227</v>
      </c>
      <c r="R14" s="11" t="s">
        <v>226</v>
      </c>
      <c r="S14" s="11" t="s">
        <v>227</v>
      </c>
      <c r="T14" s="45" t="str">
        <f t="shared" ref="T14:T19" si="7">IF(AND(R14&lt;&gt;0,S14&lt;&gt;0),"FULL",(IF(AND(R14=0,S14=0),"PM",IF(R14=0,"P",(IF(S14=0,"M"))))))</f>
        <v>FULL</v>
      </c>
      <c r="U14" s="45" t="s">
        <v>383</v>
      </c>
      <c r="V14" s="45" t="s">
        <v>449</v>
      </c>
      <c r="W14" s="45" t="s">
        <v>450</v>
      </c>
      <c r="X14" s="45" t="s">
        <v>451</v>
      </c>
      <c r="Y14" s="45"/>
      <c r="Z14" s="45"/>
    </row>
    <row r="15" spans="1:26" ht="12.75" customHeight="1">
      <c r="A15" s="12" t="s">
        <v>83</v>
      </c>
      <c r="B15" s="12" t="str">
        <f t="shared" si="0"/>
        <v>Chaos Chosen3</v>
      </c>
      <c r="C15" s="12" t="s">
        <v>452</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227</v>
      </c>
      <c r="P15" s="11" t="s">
        <v>226</v>
      </c>
      <c r="Q15" s="11" t="s">
        <v>227</v>
      </c>
      <c r="R15" s="11">
        <v>0</v>
      </c>
      <c r="S15" s="11" t="s">
        <v>227</v>
      </c>
      <c r="T15" s="45" t="str">
        <f t="shared" si="7"/>
        <v>P</v>
      </c>
      <c r="U15" s="45" t="str">
        <f t="shared" ref="U15:Y15" si="8">""</f>
        <v/>
      </c>
      <c r="V15" s="45" t="str">
        <f t="shared" si="8"/>
        <v/>
      </c>
      <c r="W15" s="45" t="str">
        <f t="shared" si="8"/>
        <v/>
      </c>
      <c r="X15" s="45" t="str">
        <f t="shared" si="8"/>
        <v/>
      </c>
      <c r="Y15" s="45" t="str">
        <f t="shared" si="8"/>
        <v/>
      </c>
      <c r="Z15" s="45"/>
    </row>
    <row r="16" spans="1:26" ht="12.75" customHeight="1">
      <c r="A16" s="12" t="s">
        <v>83</v>
      </c>
      <c r="B16" s="12" t="str">
        <f t="shared" si="0"/>
        <v>Chaos Chosen4</v>
      </c>
      <c r="C16" s="12" t="s">
        <v>453</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226</v>
      </c>
      <c r="P16" s="11" t="s">
        <v>226</v>
      </c>
      <c r="Q16" s="11" t="s">
        <v>227</v>
      </c>
      <c r="R16" s="11">
        <v>0</v>
      </c>
      <c r="S16" s="11" t="s">
        <v>227</v>
      </c>
      <c r="T16" s="45" t="str">
        <f t="shared" si="7"/>
        <v>P</v>
      </c>
      <c r="U16" s="45" t="s">
        <v>454</v>
      </c>
      <c r="V16" s="45" t="s">
        <v>455</v>
      </c>
      <c r="W16" s="45" t="s">
        <v>456</v>
      </c>
      <c r="X16" s="45" t="s">
        <v>457</v>
      </c>
      <c r="Y16" s="45"/>
      <c r="Z16" s="45"/>
    </row>
    <row r="17" spans="1:26" ht="12.75" customHeight="1">
      <c r="A17" s="12" t="s">
        <v>83</v>
      </c>
      <c r="B17" s="12" t="str">
        <f t="shared" si="0"/>
        <v>Chaos Chosen5</v>
      </c>
      <c r="C17" s="12" t="s">
        <v>458</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226</v>
      </c>
      <c r="P17" s="11" t="s">
        <v>226</v>
      </c>
      <c r="Q17" s="11" t="s">
        <v>227</v>
      </c>
      <c r="R17" s="11">
        <v>0</v>
      </c>
      <c r="S17" s="11" t="s">
        <v>227</v>
      </c>
      <c r="T17" s="45" t="str">
        <f t="shared" si="7"/>
        <v>P</v>
      </c>
      <c r="U17" s="45" t="s">
        <v>459</v>
      </c>
      <c r="V17" s="45" t="s">
        <v>460</v>
      </c>
      <c r="W17" s="45" t="s">
        <v>461</v>
      </c>
      <c r="X17" s="45" t="s">
        <v>462</v>
      </c>
      <c r="Y17" s="45"/>
      <c r="Z17" s="45"/>
    </row>
    <row r="18" spans="1:26" ht="12.75" customHeight="1">
      <c r="A18" s="12" t="s">
        <v>83</v>
      </c>
      <c r="B18" s="12" t="str">
        <f t="shared" si="0"/>
        <v>Chaos Chosen6</v>
      </c>
      <c r="C18" s="12" t="s">
        <v>463</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226</v>
      </c>
      <c r="P18" s="11" t="s">
        <v>226</v>
      </c>
      <c r="Q18" s="11" t="s">
        <v>227</v>
      </c>
      <c r="R18" s="237">
        <v>0</v>
      </c>
      <c r="S18" s="11" t="s">
        <v>227</v>
      </c>
      <c r="T18" s="45" t="str">
        <f t="shared" si="7"/>
        <v>P</v>
      </c>
      <c r="U18" s="45" t="s">
        <v>464</v>
      </c>
      <c r="V18" s="45" t="s">
        <v>465</v>
      </c>
      <c r="W18" s="45" t="s">
        <v>466</v>
      </c>
      <c r="X18" s="45" t="s">
        <v>467</v>
      </c>
      <c r="Y18" s="45"/>
      <c r="Z18" s="45"/>
    </row>
    <row r="19" spans="1:26" ht="12.75" customHeight="1">
      <c r="A19" s="12" t="s">
        <v>83</v>
      </c>
      <c r="B19" s="12" t="str">
        <f t="shared" si="0"/>
        <v>Chaos Chosen7</v>
      </c>
      <c r="C19" s="12" t="s">
        <v>468</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227</v>
      </c>
      <c r="P19" s="11" t="s">
        <v>226</v>
      </c>
      <c r="Q19" s="11" t="s">
        <v>227</v>
      </c>
      <c r="R19" s="11" t="s">
        <v>226</v>
      </c>
      <c r="S19" s="11" t="s">
        <v>227</v>
      </c>
      <c r="T19" s="45" t="str">
        <f t="shared" si="7"/>
        <v>FULL</v>
      </c>
      <c r="U19" s="45" t="s">
        <v>469</v>
      </c>
      <c r="V19" s="45" t="s">
        <v>470</v>
      </c>
      <c r="W19" s="45" t="s">
        <v>471</v>
      </c>
      <c r="X19" s="45" t="s">
        <v>472</v>
      </c>
      <c r="Y19" s="45"/>
      <c r="Z19" s="45"/>
    </row>
    <row r="20" spans="1:26" ht="12.75" customHeight="1">
      <c r="A20" s="12" t="s">
        <v>90</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5"/>
      <c r="U20" s="45">
        <v>0</v>
      </c>
      <c r="V20" s="45">
        <v>0</v>
      </c>
      <c r="W20" s="45">
        <v>0</v>
      </c>
      <c r="X20" s="45">
        <v>0</v>
      </c>
      <c r="Y20" s="45">
        <v>0</v>
      </c>
      <c r="Z20" s="45"/>
    </row>
    <row r="21" spans="1:26" ht="12.75" customHeight="1">
      <c r="A21" s="12" t="s">
        <v>90</v>
      </c>
      <c r="B21" s="12" t="str">
        <f t="shared" si="0"/>
        <v>Chaos Dwarf2</v>
      </c>
      <c r="C21" s="12" t="s">
        <v>473</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36">
        <v>16</v>
      </c>
      <c r="N21" s="236">
        <v>0</v>
      </c>
      <c r="O21" s="11" t="s">
        <v>227</v>
      </c>
      <c r="P21" s="11" t="s">
        <v>226</v>
      </c>
      <c r="Q21" s="11" t="s">
        <v>226</v>
      </c>
      <c r="R21" s="11">
        <v>0</v>
      </c>
      <c r="S21" s="11" t="s">
        <v>226</v>
      </c>
      <c r="T21" s="45" t="str">
        <f t="shared" ref="T21:T25" si="10">IF(AND(R21&lt;&gt;0,S21&lt;&gt;0),"FULL",(IF(AND(R21=0,S21=0),"PM",IF(R21=0,"P",(IF(S21=0,"M"))))))</f>
        <v>P</v>
      </c>
      <c r="U21" s="45" t="str">
        <f t="shared" ref="U21:X21" si="11">""</f>
        <v/>
      </c>
      <c r="V21" s="45" t="str">
        <f t="shared" si="11"/>
        <v/>
      </c>
      <c r="W21" s="45" t="str">
        <f t="shared" si="11"/>
        <v/>
      </c>
      <c r="X21" s="45" t="str">
        <f t="shared" si="11"/>
        <v/>
      </c>
      <c r="Y21" s="45"/>
      <c r="Z21" s="45"/>
    </row>
    <row r="22" spans="1:26" ht="12.75" customHeight="1">
      <c r="A22" s="12" t="s">
        <v>90</v>
      </c>
      <c r="B22" s="12" t="str">
        <f t="shared" si="0"/>
        <v>Chaos Dwarf3</v>
      </c>
      <c r="C22" s="12" t="s">
        <v>474</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227</v>
      </c>
      <c r="P22" s="11" t="s">
        <v>226</v>
      </c>
      <c r="Q22" s="11" t="s">
        <v>227</v>
      </c>
      <c r="R22" s="11">
        <v>0</v>
      </c>
      <c r="S22" s="11" t="s">
        <v>226</v>
      </c>
      <c r="T22" s="45" t="str">
        <f t="shared" si="10"/>
        <v>P</v>
      </c>
      <c r="U22" s="45" t="s">
        <v>475</v>
      </c>
      <c r="V22" s="45" t="s">
        <v>476</v>
      </c>
      <c r="W22" s="45" t="s">
        <v>477</v>
      </c>
      <c r="X22" s="45" t="s">
        <v>478</v>
      </c>
      <c r="Y22" s="45"/>
      <c r="Z22" s="45"/>
    </row>
    <row r="23" spans="1:26" ht="12.75" customHeight="1">
      <c r="A23" s="12" t="s">
        <v>90</v>
      </c>
      <c r="B23" s="12" t="str">
        <f t="shared" si="0"/>
        <v>Chaos Dwarf4</v>
      </c>
      <c r="C23" s="12" t="s">
        <v>479</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227</v>
      </c>
      <c r="P23" s="11" t="s">
        <v>226</v>
      </c>
      <c r="Q23" s="11" t="s">
        <v>227</v>
      </c>
      <c r="R23" s="11">
        <v>0</v>
      </c>
      <c r="S23" s="11" t="s">
        <v>226</v>
      </c>
      <c r="T23" s="45" t="str">
        <f t="shared" si="10"/>
        <v>P</v>
      </c>
      <c r="U23" s="45" t="s">
        <v>480</v>
      </c>
      <c r="V23" s="45" t="s">
        <v>481</v>
      </c>
      <c r="W23" s="45" t="s">
        <v>482</v>
      </c>
      <c r="X23" s="45" t="s">
        <v>483</v>
      </c>
      <c r="Y23" s="45"/>
      <c r="Z23" s="45"/>
    </row>
    <row r="24" spans="1:26" ht="12.75" customHeight="1">
      <c r="A24" s="12" t="s">
        <v>90</v>
      </c>
      <c r="B24" s="12" t="str">
        <f t="shared" si="0"/>
        <v>Chaos Dwarf5</v>
      </c>
      <c r="C24" s="12" t="s">
        <v>484</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226</v>
      </c>
      <c r="P24" s="11" t="s">
        <v>226</v>
      </c>
      <c r="Q24" s="11" t="s">
        <v>227</v>
      </c>
      <c r="R24" s="237">
        <v>0</v>
      </c>
      <c r="S24" s="11" t="s">
        <v>226</v>
      </c>
      <c r="T24" s="45" t="str">
        <f t="shared" si="10"/>
        <v>P</v>
      </c>
      <c r="U24" s="45" t="s">
        <v>485</v>
      </c>
      <c r="V24" s="45" t="s">
        <v>486</v>
      </c>
      <c r="W24" s="45" t="s">
        <v>487</v>
      </c>
      <c r="X24" s="45" t="s">
        <v>488</v>
      </c>
      <c r="Y24" s="45"/>
      <c r="Z24" s="45"/>
    </row>
    <row r="25" spans="1:26" ht="12.75" customHeight="1">
      <c r="A25" s="12" t="s">
        <v>90</v>
      </c>
      <c r="B25" s="12" t="str">
        <f t="shared" si="0"/>
        <v>Chaos Dwarf6</v>
      </c>
      <c r="C25" s="12" t="s">
        <v>489</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227</v>
      </c>
      <c r="P25" s="11" t="s">
        <v>226</v>
      </c>
      <c r="Q25" s="11" t="s">
        <v>226</v>
      </c>
      <c r="R25" s="11">
        <v>0</v>
      </c>
      <c r="S25" s="11" t="s">
        <v>226</v>
      </c>
      <c r="T25" s="45" t="str">
        <f t="shared" si="10"/>
        <v>P</v>
      </c>
      <c r="U25" s="45" t="s">
        <v>490</v>
      </c>
      <c r="V25" s="45" t="s">
        <v>491</v>
      </c>
      <c r="W25" s="45" t="s">
        <v>492</v>
      </c>
      <c r="X25" s="45" t="s">
        <v>493</v>
      </c>
      <c r="Y25" s="45"/>
      <c r="Z25" s="45"/>
    </row>
    <row r="26" spans="1:26" ht="12.75" customHeight="1">
      <c r="A26" s="12" t="s">
        <v>98</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5"/>
      <c r="U26" s="45">
        <v>0</v>
      </c>
      <c r="V26" s="45">
        <v>0</v>
      </c>
      <c r="W26" s="45">
        <v>0</v>
      </c>
      <c r="X26" s="45">
        <v>0</v>
      </c>
      <c r="Y26" s="45">
        <v>0</v>
      </c>
      <c r="Z26" s="45"/>
    </row>
    <row r="27" spans="1:26" ht="12.75" customHeight="1">
      <c r="A27" s="12" t="s">
        <v>98</v>
      </c>
      <c r="B27" s="12" t="str">
        <f t="shared" si="0"/>
        <v>Chaos Renegades2</v>
      </c>
      <c r="C27" s="12" t="s">
        <v>494</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227</v>
      </c>
      <c r="P27" s="11" t="s">
        <v>226</v>
      </c>
      <c r="Q27" s="11" t="s">
        <v>226</v>
      </c>
      <c r="R27" s="11">
        <v>0</v>
      </c>
      <c r="S27" s="11" t="s">
        <v>227</v>
      </c>
      <c r="T27" s="45" t="str">
        <f t="shared" ref="T27:T37" si="13">IF(AND(R27&lt;&gt;0,S27&lt;&gt;0),"FULL",(IF(AND(R27=0,S27=0),"PM",IF(R27=0,"P",(IF(S27=0,"M"))))))</f>
        <v>P</v>
      </c>
      <c r="U27" s="45" t="str">
        <f t="shared" ref="U27:Y27" si="14">""</f>
        <v/>
      </c>
      <c r="V27" s="45" t="str">
        <f t="shared" si="14"/>
        <v/>
      </c>
      <c r="W27" s="45" t="str">
        <f t="shared" si="14"/>
        <v/>
      </c>
      <c r="X27" s="45" t="str">
        <f t="shared" si="14"/>
        <v/>
      </c>
      <c r="Y27" s="45" t="str">
        <f t="shared" si="14"/>
        <v/>
      </c>
      <c r="Z27" s="45"/>
    </row>
    <row r="28" spans="1:26" ht="12.75" customHeight="1">
      <c r="A28" s="12" t="s">
        <v>98</v>
      </c>
      <c r="B28" s="12" t="str">
        <f t="shared" si="0"/>
        <v>Chaos Renegades3</v>
      </c>
      <c r="C28" s="12" t="s">
        <v>495</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227</v>
      </c>
      <c r="P28" s="11" t="s">
        <v>226</v>
      </c>
      <c r="Q28" s="11" t="s">
        <v>226</v>
      </c>
      <c r="R28" s="11" t="s">
        <v>227</v>
      </c>
      <c r="S28" s="11" t="s">
        <v>227</v>
      </c>
      <c r="T28" s="45" t="str">
        <f t="shared" si="13"/>
        <v>FULL</v>
      </c>
      <c r="U28" s="45" t="s">
        <v>496</v>
      </c>
      <c r="V28" s="45" t="s">
        <v>497</v>
      </c>
      <c r="W28" s="45" t="s">
        <v>498</v>
      </c>
      <c r="X28" s="45" t="s">
        <v>499</v>
      </c>
      <c r="Y28" s="45"/>
      <c r="Z28" s="45"/>
    </row>
    <row r="29" spans="1:26" ht="12.75" customHeight="1">
      <c r="A29" s="12" t="s">
        <v>98</v>
      </c>
      <c r="B29" s="12" t="str">
        <f t="shared" si="0"/>
        <v>Chaos Renegades4</v>
      </c>
      <c r="C29" s="12" t="s">
        <v>500</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226</v>
      </c>
      <c r="P29" s="11" t="s">
        <v>227</v>
      </c>
      <c r="Q29" s="11" t="s">
        <v>226</v>
      </c>
      <c r="R29" s="11" t="s">
        <v>226</v>
      </c>
      <c r="S29" s="11" t="s">
        <v>227</v>
      </c>
      <c r="T29" s="45" t="str">
        <f t="shared" si="13"/>
        <v>FULL</v>
      </c>
      <c r="U29" s="45" t="s">
        <v>501</v>
      </c>
      <c r="V29" s="45" t="s">
        <v>502</v>
      </c>
      <c r="W29" s="45" t="s">
        <v>503</v>
      </c>
      <c r="X29" s="45" t="s">
        <v>504</v>
      </c>
      <c r="Y29" s="45"/>
      <c r="Z29" s="45"/>
    </row>
    <row r="30" spans="1:26" ht="12.75" customHeight="1">
      <c r="A30" s="12" t="s">
        <v>98</v>
      </c>
      <c r="B30" s="12" t="str">
        <f t="shared" si="0"/>
        <v>Chaos Renegades5</v>
      </c>
      <c r="C30" s="12" t="s">
        <v>505</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227</v>
      </c>
      <c r="P30" s="11" t="s">
        <v>226</v>
      </c>
      <c r="Q30" s="11" t="s">
        <v>226</v>
      </c>
      <c r="R30" s="11">
        <v>0</v>
      </c>
      <c r="S30" s="11" t="s">
        <v>227</v>
      </c>
      <c r="T30" s="45" t="str">
        <f t="shared" si="13"/>
        <v>P</v>
      </c>
      <c r="U30" s="45" t="s">
        <v>506</v>
      </c>
      <c r="V30" s="45" t="s">
        <v>507</v>
      </c>
      <c r="W30" s="45" t="s">
        <v>508</v>
      </c>
      <c r="X30" s="45" t="s">
        <v>509</v>
      </c>
      <c r="Y30" s="45"/>
      <c r="Z30" s="45"/>
    </row>
    <row r="31" spans="1:26" ht="12.75" customHeight="1">
      <c r="A31" s="12" t="s">
        <v>98</v>
      </c>
      <c r="B31" s="12" t="str">
        <f t="shared" si="0"/>
        <v>Chaos Renegades6</v>
      </c>
      <c r="C31" s="12" t="s">
        <v>510</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227</v>
      </c>
      <c r="P31" s="11" t="s">
        <v>226</v>
      </c>
      <c r="Q31" s="11" t="s">
        <v>226</v>
      </c>
      <c r="R31" s="11">
        <v>0</v>
      </c>
      <c r="S31" s="11" t="s">
        <v>227</v>
      </c>
      <c r="T31" s="45" t="str">
        <f t="shared" si="13"/>
        <v>P</v>
      </c>
      <c r="U31" s="45" t="s">
        <v>506</v>
      </c>
      <c r="V31" s="45" t="s">
        <v>507</v>
      </c>
      <c r="W31" s="45" t="s">
        <v>508</v>
      </c>
      <c r="X31" s="45" t="s">
        <v>509</v>
      </c>
      <c r="Y31" s="45"/>
      <c r="Z31" s="45"/>
    </row>
    <row r="32" spans="1:26" ht="12.75" customHeight="1">
      <c r="A32" s="12" t="s">
        <v>98</v>
      </c>
      <c r="B32" s="12" t="str">
        <f t="shared" si="0"/>
        <v>Chaos Renegades7</v>
      </c>
      <c r="C32" s="12" t="s">
        <v>511</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227</v>
      </c>
      <c r="P32" s="11" t="s">
        <v>227</v>
      </c>
      <c r="Q32" s="11" t="s">
        <v>226</v>
      </c>
      <c r="R32" s="11" t="s">
        <v>226</v>
      </c>
      <c r="S32" s="11" t="s">
        <v>227</v>
      </c>
      <c r="T32" s="45" t="str">
        <f t="shared" si="13"/>
        <v>FULL</v>
      </c>
      <c r="U32" s="45" t="s">
        <v>506</v>
      </c>
      <c r="V32" s="45" t="s">
        <v>507</v>
      </c>
      <c r="W32" s="45" t="s">
        <v>508</v>
      </c>
      <c r="X32" s="45" t="s">
        <v>509</v>
      </c>
      <c r="Y32" s="45"/>
      <c r="Z32" s="45"/>
    </row>
    <row r="33" spans="1:26" ht="12.75" customHeight="1">
      <c r="A33" s="12" t="s">
        <v>98</v>
      </c>
      <c r="B33" s="12" t="str">
        <f t="shared" si="0"/>
        <v>Chaos Renegades8</v>
      </c>
      <c r="C33" s="12" t="s">
        <v>512</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226</v>
      </c>
      <c r="P33" s="11" t="s">
        <v>226</v>
      </c>
      <c r="Q33" s="11" t="s">
        <v>227</v>
      </c>
      <c r="R33" s="11">
        <v>0</v>
      </c>
      <c r="S33" s="11" t="s">
        <v>226</v>
      </c>
      <c r="T33" s="45" t="str">
        <f t="shared" si="13"/>
        <v>P</v>
      </c>
      <c r="U33" s="45" t="s">
        <v>454</v>
      </c>
      <c r="V33" s="45" t="s">
        <v>455</v>
      </c>
      <c r="W33" s="45" t="s">
        <v>456</v>
      </c>
      <c r="X33" s="45" t="s">
        <v>457</v>
      </c>
      <c r="Y33" s="45"/>
      <c r="Z33" s="45"/>
    </row>
    <row r="34" spans="1:26" ht="12.75" customHeight="1">
      <c r="A34" s="12" t="s">
        <v>98</v>
      </c>
      <c r="B34" s="12" t="str">
        <f t="shared" si="0"/>
        <v>Chaos Renegades9</v>
      </c>
      <c r="C34" s="12" t="s">
        <v>513</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226</v>
      </c>
      <c r="P34" s="11" t="s">
        <v>226</v>
      </c>
      <c r="Q34" s="11" t="s">
        <v>227</v>
      </c>
      <c r="R34" s="11">
        <v>0</v>
      </c>
      <c r="S34" s="11" t="s">
        <v>226</v>
      </c>
      <c r="T34" s="45" t="str">
        <f t="shared" si="13"/>
        <v>P</v>
      </c>
      <c r="U34" s="45" t="s">
        <v>459</v>
      </c>
      <c r="V34" s="45" t="s">
        <v>460</v>
      </c>
      <c r="W34" s="45" t="s">
        <v>461</v>
      </c>
      <c r="X34" s="45" t="s">
        <v>462</v>
      </c>
      <c r="Y34" s="45"/>
      <c r="Z34" s="45"/>
    </row>
    <row r="35" spans="1:26" ht="12.75" customHeight="1">
      <c r="A35" s="12" t="s">
        <v>98</v>
      </c>
      <c r="B35" s="12" t="str">
        <f t="shared" si="0"/>
        <v>Chaos Renegades10</v>
      </c>
      <c r="C35" s="12" t="s">
        <v>514</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226</v>
      </c>
      <c r="P35" s="11" t="s">
        <v>226</v>
      </c>
      <c r="Q35" s="11" t="s">
        <v>227</v>
      </c>
      <c r="R35" s="237">
        <v>0</v>
      </c>
      <c r="S35" s="11" t="s">
        <v>226</v>
      </c>
      <c r="T35" s="45" t="str">
        <f t="shared" si="13"/>
        <v>P</v>
      </c>
      <c r="U35" s="45" t="s">
        <v>464</v>
      </c>
      <c r="V35" s="45" t="s">
        <v>465</v>
      </c>
      <c r="W35" s="45" t="s">
        <v>466</v>
      </c>
      <c r="X35" s="45" t="s">
        <v>467</v>
      </c>
      <c r="Y35" s="45"/>
      <c r="Z35" s="45"/>
    </row>
    <row r="36" spans="1:26" ht="12.75" customHeight="1">
      <c r="A36" s="12" t="s">
        <v>98</v>
      </c>
      <c r="B36" s="12" t="str">
        <f t="shared" si="0"/>
        <v>Chaos Renegades11</v>
      </c>
      <c r="C36" s="12" t="s">
        <v>515</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226</v>
      </c>
      <c r="P36" s="11" t="s">
        <v>226</v>
      </c>
      <c r="Q36" s="11" t="s">
        <v>227</v>
      </c>
      <c r="R36" s="237">
        <v>0</v>
      </c>
      <c r="S36" s="11" t="s">
        <v>226</v>
      </c>
      <c r="T36" s="45" t="str">
        <f t="shared" si="13"/>
        <v>P</v>
      </c>
      <c r="U36" s="45" t="s">
        <v>516</v>
      </c>
      <c r="V36" s="45" t="s">
        <v>517</v>
      </c>
      <c r="W36" s="45" t="s">
        <v>518</v>
      </c>
      <c r="X36" s="45" t="s">
        <v>519</v>
      </c>
      <c r="Y36" s="45"/>
      <c r="Z36" s="45"/>
    </row>
    <row r="37" spans="1:26" ht="12.75" customHeight="1">
      <c r="A37" s="12" t="s">
        <v>98</v>
      </c>
      <c r="B37" s="12" t="str">
        <f t="shared" si="0"/>
        <v>Chaos Renegades12</v>
      </c>
      <c r="C37" s="12" t="s">
        <v>520</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227</v>
      </c>
      <c r="P37" s="11" t="s">
        <v>226</v>
      </c>
      <c r="Q37" s="11" t="s">
        <v>227</v>
      </c>
      <c r="R37" s="11">
        <v>0</v>
      </c>
      <c r="S37" s="11" t="s">
        <v>227</v>
      </c>
      <c r="T37" s="45" t="str">
        <f t="shared" si="13"/>
        <v>P</v>
      </c>
      <c r="U37" s="45" t="s">
        <v>490</v>
      </c>
      <c r="V37" s="45" t="s">
        <v>491</v>
      </c>
      <c r="W37" s="45" t="s">
        <v>492</v>
      </c>
      <c r="X37" s="45" t="s">
        <v>493</v>
      </c>
      <c r="Y37" s="45"/>
      <c r="Z37" s="45"/>
    </row>
    <row r="38" spans="1:26" ht="12.75" customHeight="1">
      <c r="A38" s="12" t="s">
        <v>104</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5"/>
      <c r="U38" s="45">
        <v>0</v>
      </c>
      <c r="V38" s="45">
        <v>0</v>
      </c>
      <c r="W38" s="45">
        <v>0</v>
      </c>
      <c r="X38" s="45">
        <v>0</v>
      </c>
      <c r="Y38" s="45">
        <v>0</v>
      </c>
      <c r="Z38" s="45"/>
    </row>
    <row r="39" spans="1:26" ht="12.75" customHeight="1">
      <c r="A39" s="12" t="s">
        <v>104</v>
      </c>
      <c r="B39" s="12" t="str">
        <f t="shared" si="0"/>
        <v>Dark Elf2</v>
      </c>
      <c r="C39" s="12" t="s">
        <v>521</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227</v>
      </c>
      <c r="P39" s="11" t="s">
        <v>227</v>
      </c>
      <c r="Q39" s="11" t="s">
        <v>226</v>
      </c>
      <c r="R39" s="11">
        <v>0</v>
      </c>
      <c r="S39" s="11">
        <v>0</v>
      </c>
      <c r="T39" s="45" t="str">
        <f t="shared" ref="T39:T44" si="16">IF(AND(R39&lt;&gt;0,S39&lt;&gt;0),"FULL",(IF(AND(R39=0,S39=0),"PM",IF(R39=0,"P",(IF(S39=0,"M"))))))</f>
        <v>PM</v>
      </c>
      <c r="U39" s="45" t="str">
        <f t="shared" ref="U39:Y39" si="17">""</f>
        <v/>
      </c>
      <c r="V39" s="45" t="str">
        <f t="shared" si="17"/>
        <v/>
      </c>
      <c r="W39" s="45" t="str">
        <f t="shared" si="17"/>
        <v/>
      </c>
      <c r="X39" s="45" t="str">
        <f t="shared" si="17"/>
        <v/>
      </c>
      <c r="Y39" s="45" t="str">
        <f t="shared" si="17"/>
        <v/>
      </c>
      <c r="Z39" s="45"/>
    </row>
    <row r="40" spans="1:26" ht="12.75" customHeight="1">
      <c r="A40" s="12" t="s">
        <v>104</v>
      </c>
      <c r="B40" s="12" t="str">
        <f t="shared" si="0"/>
        <v>Dark Elf3</v>
      </c>
      <c r="C40" s="12" t="s">
        <v>522</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227</v>
      </c>
      <c r="P40" s="11" t="s">
        <v>227</v>
      </c>
      <c r="Q40" s="11" t="s">
        <v>226</v>
      </c>
      <c r="R40" s="11" t="s">
        <v>227</v>
      </c>
      <c r="S40" s="11">
        <v>0</v>
      </c>
      <c r="T40" s="45" t="str">
        <f t="shared" si="16"/>
        <v>M</v>
      </c>
      <c r="U40" s="45" t="s">
        <v>523</v>
      </c>
      <c r="V40" s="45" t="s">
        <v>524</v>
      </c>
      <c r="W40" s="45" t="s">
        <v>525</v>
      </c>
      <c r="X40" s="45" t="s">
        <v>526</v>
      </c>
      <c r="Y40" s="45"/>
      <c r="Z40" s="45"/>
    </row>
    <row r="41" spans="1:26" ht="12.75" customHeight="1">
      <c r="A41" s="12" t="s">
        <v>104</v>
      </c>
      <c r="B41" s="12" t="str">
        <f t="shared" si="0"/>
        <v>Dark Elf4</v>
      </c>
      <c r="C41" s="12" t="s">
        <v>527</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227</v>
      </c>
      <c r="P41" s="11" t="s">
        <v>227</v>
      </c>
      <c r="Q41" s="11" t="s">
        <v>226</v>
      </c>
      <c r="R41" s="11" t="s">
        <v>226</v>
      </c>
      <c r="S41" s="11">
        <v>0</v>
      </c>
      <c r="T41" s="45" t="str">
        <f t="shared" si="16"/>
        <v>M</v>
      </c>
      <c r="U41" s="45" t="s">
        <v>528</v>
      </c>
      <c r="V41" s="45" t="s">
        <v>529</v>
      </c>
      <c r="W41" s="45" t="s">
        <v>530</v>
      </c>
      <c r="X41" s="45" t="s">
        <v>531</v>
      </c>
      <c r="Y41" s="45"/>
      <c r="Z41" s="45"/>
    </row>
    <row r="42" spans="1:26" ht="12.75" customHeight="1">
      <c r="A42" s="12" t="s">
        <v>104</v>
      </c>
      <c r="B42" s="12" t="str">
        <f t="shared" si="0"/>
        <v>Dark Elf5</v>
      </c>
      <c r="C42" s="12" t="s">
        <v>419</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36">
        <v>4</v>
      </c>
      <c r="N42" s="236">
        <v>0</v>
      </c>
      <c r="O42" s="11" t="s">
        <v>227</v>
      </c>
      <c r="P42" s="11" t="s">
        <v>227</v>
      </c>
      <c r="Q42" s="11" t="s">
        <v>226</v>
      </c>
      <c r="R42" s="11" t="s">
        <v>226</v>
      </c>
      <c r="S42" s="11">
        <v>0</v>
      </c>
      <c r="T42" s="45" t="str">
        <f t="shared" si="16"/>
        <v>M</v>
      </c>
      <c r="U42" s="45" t="s">
        <v>532</v>
      </c>
      <c r="V42" s="45" t="s">
        <v>533</v>
      </c>
      <c r="W42" s="45" t="s">
        <v>532</v>
      </c>
      <c r="X42" s="45" t="s">
        <v>534</v>
      </c>
      <c r="Y42" s="45"/>
      <c r="Z42" s="45"/>
    </row>
    <row r="43" spans="1:26" ht="12.75" customHeight="1">
      <c r="A43" s="12" t="s">
        <v>104</v>
      </c>
      <c r="B43" s="12" t="str">
        <f t="shared" si="0"/>
        <v>Dark Elf6</v>
      </c>
      <c r="C43" s="12" t="s">
        <v>535</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227</v>
      </c>
      <c r="P43" s="11" t="s">
        <v>227</v>
      </c>
      <c r="Q43" s="11" t="s">
        <v>226</v>
      </c>
      <c r="R43" s="11" t="s">
        <v>226</v>
      </c>
      <c r="S43" s="11">
        <v>0</v>
      </c>
      <c r="T43" s="45" t="str">
        <f t="shared" si="16"/>
        <v>M</v>
      </c>
      <c r="U43" s="45" t="s">
        <v>536</v>
      </c>
      <c r="V43" s="45" t="s">
        <v>537</v>
      </c>
      <c r="W43" s="45" t="s">
        <v>538</v>
      </c>
      <c r="X43" s="45" t="s">
        <v>539</v>
      </c>
      <c r="Y43" s="45"/>
      <c r="Z43" s="45"/>
    </row>
    <row r="44" spans="1:26" ht="12.75" customHeight="1">
      <c r="A44" s="12" t="s">
        <v>104</v>
      </c>
      <c r="B44" s="12" t="str">
        <f t="shared" si="0"/>
        <v>Dark Elf7</v>
      </c>
      <c r="C44" s="12" t="s">
        <v>540</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227</v>
      </c>
      <c r="P44" s="11" t="s">
        <v>227</v>
      </c>
      <c r="Q44" s="11" t="s">
        <v>226</v>
      </c>
      <c r="R44" s="11">
        <v>0</v>
      </c>
      <c r="S44" s="11">
        <v>0</v>
      </c>
      <c r="T44" s="45" t="str">
        <f t="shared" si="16"/>
        <v>PM</v>
      </c>
      <c r="U44" s="45" t="s">
        <v>490</v>
      </c>
      <c r="V44" s="45" t="s">
        <v>491</v>
      </c>
      <c r="W44" s="45" t="s">
        <v>492</v>
      </c>
      <c r="X44" s="45" t="s">
        <v>493</v>
      </c>
      <c r="Y44" s="45"/>
      <c r="Z44" s="45"/>
    </row>
    <row r="45" spans="1:26" ht="12.75" customHeight="1">
      <c r="A45" s="12" t="s">
        <v>109</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5"/>
      <c r="U45" s="45">
        <v>0</v>
      </c>
      <c r="V45" s="45">
        <v>0</v>
      </c>
      <c r="W45" s="45">
        <v>0</v>
      </c>
      <c r="X45" s="45">
        <v>0</v>
      </c>
      <c r="Y45" s="45">
        <v>0</v>
      </c>
      <c r="Z45" s="45"/>
    </row>
    <row r="46" spans="1:26" ht="12.75" customHeight="1">
      <c r="A46" s="12" t="s">
        <v>109</v>
      </c>
      <c r="B46" s="12" t="str">
        <f t="shared" si="0"/>
        <v>Dwarf2</v>
      </c>
      <c r="C46" s="12" t="s">
        <v>474</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36">
        <v>16</v>
      </c>
      <c r="N46" s="236">
        <v>0</v>
      </c>
      <c r="O46" s="11" t="s">
        <v>227</v>
      </c>
      <c r="P46" s="11" t="s">
        <v>226</v>
      </c>
      <c r="Q46" s="11" t="s">
        <v>227</v>
      </c>
      <c r="R46" s="11">
        <v>0</v>
      </c>
      <c r="S46" s="11">
        <v>0</v>
      </c>
      <c r="T46" s="45" t="str">
        <f t="shared" ref="T46:T51" si="19">IF(AND(R46&lt;&gt;0,S46&lt;&gt;0),"FULL",(IF(AND(R46=0,S46=0),"PM",IF(R46=0,"P",(IF(S46=0,"M"))))))</f>
        <v>PM</v>
      </c>
      <c r="U46" s="45" t="s">
        <v>475</v>
      </c>
      <c r="V46" s="12" t="s">
        <v>476</v>
      </c>
      <c r="W46" s="45" t="s">
        <v>477</v>
      </c>
      <c r="X46" s="45" t="s">
        <v>478</v>
      </c>
      <c r="Y46" s="45"/>
      <c r="Z46" s="45"/>
    </row>
    <row r="47" spans="1:26" ht="12.75" customHeight="1">
      <c r="A47" s="12" t="s">
        <v>109</v>
      </c>
      <c r="B47" s="12" t="str">
        <f t="shared" si="0"/>
        <v>Dwarf3</v>
      </c>
      <c r="C47" s="12" t="s">
        <v>522</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227</v>
      </c>
      <c r="P47" s="11" t="s">
        <v>226</v>
      </c>
      <c r="Q47" s="11" t="s">
        <v>226</v>
      </c>
      <c r="R47" s="11" t="s">
        <v>227</v>
      </c>
      <c r="S47" s="11">
        <v>0</v>
      </c>
      <c r="T47" s="45" t="str">
        <f t="shared" si="19"/>
        <v>M</v>
      </c>
      <c r="U47" s="45" t="s">
        <v>541</v>
      </c>
      <c r="V47" s="12" t="s">
        <v>542</v>
      </c>
      <c r="W47" s="45" t="s">
        <v>543</v>
      </c>
      <c r="X47" s="45" t="s">
        <v>544</v>
      </c>
      <c r="Y47" s="45"/>
      <c r="Z47" s="45"/>
    </row>
    <row r="48" spans="1:26" ht="12.75" customHeight="1">
      <c r="A48" s="12" t="s">
        <v>109</v>
      </c>
      <c r="B48" s="12" t="str">
        <f t="shared" si="0"/>
        <v>Dwarf4</v>
      </c>
      <c r="C48" s="12" t="s">
        <v>419</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227</v>
      </c>
      <c r="P48" s="11" t="s">
        <v>226</v>
      </c>
      <c r="Q48" s="11" t="s">
        <v>227</v>
      </c>
      <c r="R48" s="11" t="s">
        <v>226</v>
      </c>
      <c r="S48" s="11">
        <v>0</v>
      </c>
      <c r="T48" s="45" t="str">
        <f t="shared" si="19"/>
        <v>M</v>
      </c>
      <c r="U48" s="45" t="s">
        <v>545</v>
      </c>
      <c r="V48" s="45" t="s">
        <v>546</v>
      </c>
      <c r="W48" s="45" t="s">
        <v>547</v>
      </c>
      <c r="X48" s="45" t="s">
        <v>548</v>
      </c>
      <c r="Y48" s="45"/>
      <c r="Z48" s="45"/>
    </row>
    <row r="49" spans="1:26" ht="12.75" customHeight="1">
      <c r="A49" s="12" t="s">
        <v>109</v>
      </c>
      <c r="B49" s="12" t="str">
        <f t="shared" si="0"/>
        <v>Dwarf5</v>
      </c>
      <c r="C49" s="12" t="s">
        <v>549</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227</v>
      </c>
      <c r="P49" s="11" t="s">
        <v>226</v>
      </c>
      <c r="Q49" s="11" t="s">
        <v>227</v>
      </c>
      <c r="R49" s="237">
        <v>0</v>
      </c>
      <c r="S49" s="11">
        <v>0</v>
      </c>
      <c r="T49" s="45" t="str">
        <f t="shared" si="19"/>
        <v>PM</v>
      </c>
      <c r="U49" s="45" t="s">
        <v>550</v>
      </c>
      <c r="V49" s="45" t="s">
        <v>551</v>
      </c>
      <c r="W49" s="45" t="s">
        <v>552</v>
      </c>
      <c r="X49" s="45" t="s">
        <v>553</v>
      </c>
      <c r="Y49" s="45"/>
      <c r="Z49" s="45"/>
    </row>
    <row r="50" spans="1:26" ht="12.75" customHeight="1">
      <c r="A50" s="12" t="s">
        <v>109</v>
      </c>
      <c r="B50" s="12" t="str">
        <f t="shared" si="0"/>
        <v>Dwarf6</v>
      </c>
      <c r="C50" s="12" t="s">
        <v>554</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226</v>
      </c>
      <c r="P50" s="11" t="s">
        <v>226</v>
      </c>
      <c r="Q50" s="11" t="s">
        <v>227</v>
      </c>
      <c r="R50" s="237">
        <v>0</v>
      </c>
      <c r="S50" s="11">
        <v>0</v>
      </c>
      <c r="T50" s="45" t="str">
        <f t="shared" si="19"/>
        <v>PM</v>
      </c>
      <c r="U50" s="45" t="s">
        <v>555</v>
      </c>
      <c r="V50" s="45" t="s">
        <v>556</v>
      </c>
      <c r="W50" s="45" t="s">
        <v>557</v>
      </c>
      <c r="X50" s="45" t="s">
        <v>558</v>
      </c>
      <c r="Y50" s="45"/>
      <c r="Z50" s="45"/>
    </row>
    <row r="51" spans="1:26" ht="12.75" customHeight="1">
      <c r="A51" s="12" t="s">
        <v>109</v>
      </c>
      <c r="B51" s="12" t="str">
        <f t="shared" si="0"/>
        <v>Dwarf7</v>
      </c>
      <c r="C51" s="12" t="s">
        <v>559</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227</v>
      </c>
      <c r="P51" s="11" t="s">
        <v>226</v>
      </c>
      <c r="Q51" s="11" t="s">
        <v>227</v>
      </c>
      <c r="R51" s="11">
        <v>0</v>
      </c>
      <c r="S51" s="11">
        <v>0</v>
      </c>
      <c r="T51" s="45" t="str">
        <f t="shared" si="19"/>
        <v>PM</v>
      </c>
      <c r="U51" s="45" t="s">
        <v>560</v>
      </c>
      <c r="V51" s="45" t="s">
        <v>561</v>
      </c>
      <c r="W51" s="45" t="s">
        <v>562</v>
      </c>
      <c r="X51" s="45" t="s">
        <v>563</v>
      </c>
      <c r="Y51" s="45"/>
      <c r="Z51" s="45"/>
    </row>
    <row r="52" spans="1:26" ht="12.75" customHeight="1">
      <c r="A52" s="12" t="s">
        <v>117</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5"/>
      <c r="U52" s="45">
        <v>0</v>
      </c>
      <c r="V52" s="45">
        <v>0</v>
      </c>
      <c r="W52" s="45">
        <v>0</v>
      </c>
      <c r="X52" s="45">
        <v>0</v>
      </c>
      <c r="Y52" s="45">
        <v>0</v>
      </c>
      <c r="Z52" s="45"/>
    </row>
    <row r="53" spans="1:26" ht="12.75" customHeight="1">
      <c r="A53" s="12" t="s">
        <v>117</v>
      </c>
      <c r="B53" s="12" t="str">
        <f t="shared" si="0"/>
        <v>Elven Union2</v>
      </c>
      <c r="C53" s="12" t="s">
        <v>521</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227</v>
      </c>
      <c r="P53" s="11" t="s">
        <v>227</v>
      </c>
      <c r="Q53" s="11" t="s">
        <v>226</v>
      </c>
      <c r="R53" s="11">
        <v>0</v>
      </c>
      <c r="S53" s="11">
        <v>0</v>
      </c>
      <c r="T53" s="45" t="str">
        <f t="shared" ref="T53:T57" si="21">IF(AND(R53&lt;&gt;0,S53&lt;&gt;0),"FULL",(IF(AND(R53=0,S53=0),"PM",IF(R53=0,"P",(IF(S53=0,"M"))))))</f>
        <v>PM</v>
      </c>
      <c r="U53" s="45" t="str">
        <f t="shared" ref="U53:Y53" si="22">""</f>
        <v/>
      </c>
      <c r="V53" s="45" t="str">
        <f t="shared" si="22"/>
        <v/>
      </c>
      <c r="W53" s="45" t="str">
        <f t="shared" si="22"/>
        <v/>
      </c>
      <c r="X53" s="45" t="str">
        <f t="shared" si="22"/>
        <v/>
      </c>
      <c r="Y53" s="45" t="str">
        <f t="shared" si="22"/>
        <v/>
      </c>
      <c r="Z53" s="45"/>
    </row>
    <row r="54" spans="1:26" ht="12.75" customHeight="1">
      <c r="A54" s="12" t="s">
        <v>117</v>
      </c>
      <c r="B54" s="12" t="str">
        <f t="shared" si="0"/>
        <v>Elven Union3</v>
      </c>
      <c r="C54" s="12" t="s">
        <v>409</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36">
        <v>2</v>
      </c>
      <c r="N54" s="236">
        <v>0</v>
      </c>
      <c r="O54" s="11" t="s">
        <v>227</v>
      </c>
      <c r="P54" s="11" t="s">
        <v>227</v>
      </c>
      <c r="Q54" s="11" t="s">
        <v>226</v>
      </c>
      <c r="R54" s="11" t="s">
        <v>227</v>
      </c>
      <c r="S54" s="11">
        <v>0</v>
      </c>
      <c r="T54" s="45" t="str">
        <f t="shared" si="21"/>
        <v>M</v>
      </c>
      <c r="U54" s="45" t="s">
        <v>564</v>
      </c>
      <c r="V54" s="45" t="s">
        <v>565</v>
      </c>
      <c r="W54" s="45" t="s">
        <v>566</v>
      </c>
      <c r="X54" s="45" t="s">
        <v>567</v>
      </c>
      <c r="Y54" s="45"/>
      <c r="Z54" s="45"/>
    </row>
    <row r="55" spans="1:26" ht="12.75" customHeight="1">
      <c r="A55" s="12" t="s">
        <v>117</v>
      </c>
      <c r="B55" s="12" t="str">
        <f t="shared" si="0"/>
        <v>Elven Union4</v>
      </c>
      <c r="C55" s="12" t="s">
        <v>414</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227</v>
      </c>
      <c r="P55" s="11" t="s">
        <v>227</v>
      </c>
      <c r="Q55" s="11" t="s">
        <v>226</v>
      </c>
      <c r="R55" s="11">
        <v>0</v>
      </c>
      <c r="S55" s="11">
        <v>0</v>
      </c>
      <c r="T55" s="45" t="str">
        <f t="shared" si="21"/>
        <v>PM</v>
      </c>
      <c r="U55" s="45" t="s">
        <v>568</v>
      </c>
      <c r="V55" s="45" t="s">
        <v>569</v>
      </c>
      <c r="W55" s="45" t="s">
        <v>570</v>
      </c>
      <c r="X55" s="45" t="s">
        <v>571</v>
      </c>
      <c r="Y55" s="45"/>
      <c r="Z55" s="45"/>
    </row>
    <row r="56" spans="1:26" ht="12.75" customHeight="1">
      <c r="A56" s="12" t="s">
        <v>117</v>
      </c>
      <c r="B56" s="12" t="str">
        <f t="shared" si="0"/>
        <v>Elven Union5</v>
      </c>
      <c r="C56" s="12" t="s">
        <v>419</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227</v>
      </c>
      <c r="P56" s="11" t="s">
        <v>227</v>
      </c>
      <c r="Q56" s="11" t="s">
        <v>226</v>
      </c>
      <c r="R56" s="11" t="s">
        <v>226</v>
      </c>
      <c r="S56" s="11">
        <v>0</v>
      </c>
      <c r="T56" s="45" t="str">
        <f t="shared" si="21"/>
        <v>M</v>
      </c>
      <c r="U56" s="45" t="s">
        <v>572</v>
      </c>
      <c r="V56" s="45" t="s">
        <v>573</v>
      </c>
      <c r="W56" s="45" t="s">
        <v>574</v>
      </c>
      <c r="X56" s="45" t="s">
        <v>575</v>
      </c>
      <c r="Y56" s="45"/>
      <c r="Z56" s="45"/>
    </row>
    <row r="57" spans="1:26" ht="12.75" customHeight="1">
      <c r="A57" s="12" t="s">
        <v>117</v>
      </c>
      <c r="B57" s="12" t="str">
        <f t="shared" si="0"/>
        <v>Elven Union6</v>
      </c>
      <c r="C57" s="12" t="s">
        <v>540</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227</v>
      </c>
      <c r="P57" s="11" t="s">
        <v>227</v>
      </c>
      <c r="Q57" s="11" t="s">
        <v>226</v>
      </c>
      <c r="R57" s="11">
        <v>0</v>
      </c>
      <c r="S57" s="11">
        <v>0</v>
      </c>
      <c r="T57" s="45" t="str">
        <f t="shared" si="21"/>
        <v>PM</v>
      </c>
      <c r="U57" s="45" t="s">
        <v>490</v>
      </c>
      <c r="V57" s="45" t="s">
        <v>491</v>
      </c>
      <c r="W57" s="45" t="s">
        <v>492</v>
      </c>
      <c r="X57" s="45" t="s">
        <v>493</v>
      </c>
      <c r="Y57" s="45"/>
      <c r="Z57" s="45"/>
    </row>
    <row r="58" spans="1:26" ht="12.75" customHeight="1">
      <c r="A58" s="12" t="s">
        <v>122</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5"/>
      <c r="U58" s="45">
        <v>0</v>
      </c>
      <c r="V58" s="45">
        <v>0</v>
      </c>
      <c r="W58" s="45">
        <v>0</v>
      </c>
      <c r="X58" s="45">
        <v>0</v>
      </c>
      <c r="Y58" s="45">
        <v>0</v>
      </c>
      <c r="Z58" s="45"/>
    </row>
    <row r="59" spans="1:26" ht="12.75" customHeight="1">
      <c r="A59" s="12" t="s">
        <v>122</v>
      </c>
      <c r="B59" s="12" t="str">
        <f t="shared" si="0"/>
        <v>Goblin2</v>
      </c>
      <c r="C59" s="12" t="s">
        <v>122</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226</v>
      </c>
      <c r="P59" s="11" t="s">
        <v>227</v>
      </c>
      <c r="Q59" s="11" t="s">
        <v>226</v>
      </c>
      <c r="R59" s="11" t="s">
        <v>226</v>
      </c>
      <c r="S59" s="11">
        <v>0</v>
      </c>
      <c r="T59" s="45" t="str">
        <f t="shared" ref="T59:T67" si="24">IF(AND(R59&lt;&gt;0,S59&lt;&gt;0),"FULL",(IF(AND(R59=0,S59=0),"PM",IF(R59=0,"P",(IF(S59=0,"M"))))))</f>
        <v>M</v>
      </c>
      <c r="U59" s="45" t="s">
        <v>576</v>
      </c>
      <c r="V59" s="45" t="s">
        <v>577</v>
      </c>
      <c r="W59" s="45" t="s">
        <v>578</v>
      </c>
      <c r="X59" s="45" t="s">
        <v>579</v>
      </c>
      <c r="Y59" s="45"/>
      <c r="Z59" s="45"/>
    </row>
    <row r="60" spans="1:26" ht="12.75" customHeight="1">
      <c r="A60" s="12" t="s">
        <v>122</v>
      </c>
      <c r="B60" s="12" t="str">
        <f t="shared" si="0"/>
        <v>Goblin3</v>
      </c>
      <c r="C60" s="12" t="s">
        <v>353</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226</v>
      </c>
      <c r="P60" s="11" t="s">
        <v>227</v>
      </c>
      <c r="Q60" s="11" t="s">
        <v>226</v>
      </c>
      <c r="R60" s="11" t="s">
        <v>226</v>
      </c>
      <c r="S60" s="11">
        <v>0</v>
      </c>
      <c r="T60" s="45" t="str">
        <f t="shared" si="24"/>
        <v>M</v>
      </c>
      <c r="U60" s="45" t="s">
        <v>580</v>
      </c>
      <c r="V60" s="45" t="s">
        <v>581</v>
      </c>
      <c r="W60" s="45" t="s">
        <v>582</v>
      </c>
      <c r="X60" s="45" t="s">
        <v>583</v>
      </c>
      <c r="Y60" s="45"/>
      <c r="Z60" s="45"/>
    </row>
    <row r="61" spans="1:26" ht="12.75" customHeight="1">
      <c r="A61" s="12" t="s">
        <v>122</v>
      </c>
      <c r="B61" s="12" t="str">
        <f t="shared" si="0"/>
        <v>Goblin4</v>
      </c>
      <c r="C61" s="12" t="s">
        <v>584</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226</v>
      </c>
      <c r="P61" s="11" t="s">
        <v>227</v>
      </c>
      <c r="Q61" s="11" t="s">
        <v>226</v>
      </c>
      <c r="R61" s="237">
        <v>0</v>
      </c>
      <c r="S61" s="11">
        <v>0</v>
      </c>
      <c r="T61" s="45" t="str">
        <f t="shared" si="24"/>
        <v>PM</v>
      </c>
      <c r="U61" s="45" t="s">
        <v>585</v>
      </c>
      <c r="V61" s="45" t="s">
        <v>586</v>
      </c>
      <c r="W61" s="45" t="s">
        <v>587</v>
      </c>
      <c r="X61" s="45" t="s">
        <v>588</v>
      </c>
      <c r="Y61" s="45"/>
      <c r="Z61" s="45"/>
    </row>
    <row r="62" spans="1:26" ht="12.75" customHeight="1">
      <c r="A62" s="12" t="s">
        <v>122</v>
      </c>
      <c r="B62" s="12" t="str">
        <f t="shared" si="0"/>
        <v>Goblin5</v>
      </c>
      <c r="C62" s="12" t="s">
        <v>589</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36">
        <v>1</v>
      </c>
      <c r="N62" s="236">
        <v>0</v>
      </c>
      <c r="O62" s="11" t="s">
        <v>226</v>
      </c>
      <c r="P62" s="11" t="s">
        <v>227</v>
      </c>
      <c r="Q62" s="11" t="s">
        <v>226</v>
      </c>
      <c r="R62" s="11">
        <v>0</v>
      </c>
      <c r="S62" s="11">
        <v>0</v>
      </c>
      <c r="T62" s="45" t="str">
        <f t="shared" si="24"/>
        <v>PM</v>
      </c>
      <c r="U62" s="45" t="s">
        <v>590</v>
      </c>
      <c r="V62" s="45" t="s">
        <v>591</v>
      </c>
      <c r="W62" s="45" t="s">
        <v>592</v>
      </c>
      <c r="X62" s="45" t="s">
        <v>593</v>
      </c>
      <c r="Y62" s="45"/>
      <c r="Z62" s="45"/>
    </row>
    <row r="63" spans="1:26" ht="12.75" customHeight="1">
      <c r="A63" s="12" t="s">
        <v>122</v>
      </c>
      <c r="B63" s="12" t="str">
        <f t="shared" si="0"/>
        <v>Goblin6</v>
      </c>
      <c r="C63" s="12" t="s">
        <v>594</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226</v>
      </c>
      <c r="P63" s="11" t="s">
        <v>227</v>
      </c>
      <c r="Q63" s="11" t="s">
        <v>226</v>
      </c>
      <c r="R63" s="11" t="s">
        <v>226</v>
      </c>
      <c r="S63" s="11">
        <v>0</v>
      </c>
      <c r="T63" s="45" t="str">
        <f t="shared" si="24"/>
        <v>M</v>
      </c>
      <c r="U63" s="45" t="s">
        <v>595</v>
      </c>
      <c r="V63" s="45" t="s">
        <v>596</v>
      </c>
      <c r="W63" s="45" t="s">
        <v>597</v>
      </c>
      <c r="X63" s="45" t="s">
        <v>598</v>
      </c>
      <c r="Y63" s="45"/>
      <c r="Z63" s="45"/>
    </row>
    <row r="64" spans="1:26" ht="12.75" customHeight="1">
      <c r="A64" s="12" t="s">
        <v>122</v>
      </c>
      <c r="B64" s="12" t="str">
        <f t="shared" si="0"/>
        <v>Goblin7</v>
      </c>
      <c r="C64" s="12" t="s">
        <v>599</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226</v>
      </c>
      <c r="P64" s="11" t="s">
        <v>226</v>
      </c>
      <c r="Q64" s="11" t="s">
        <v>227</v>
      </c>
      <c r="R64" s="237">
        <v>0</v>
      </c>
      <c r="S64" s="11">
        <v>0</v>
      </c>
      <c r="T64" s="45" t="str">
        <f t="shared" si="24"/>
        <v>PM</v>
      </c>
      <c r="U64" s="45" t="s">
        <v>600</v>
      </c>
      <c r="V64" s="45" t="s">
        <v>601</v>
      </c>
      <c r="W64" s="45" t="s">
        <v>602</v>
      </c>
      <c r="X64" s="45" t="s">
        <v>603</v>
      </c>
      <c r="Y64" s="45"/>
      <c r="Z64" s="45"/>
    </row>
    <row r="65" spans="1:26" ht="12.75" customHeight="1">
      <c r="A65" s="12" t="s">
        <v>122</v>
      </c>
      <c r="B65" s="12" t="str">
        <f t="shared" si="0"/>
        <v>Goblin8</v>
      </c>
      <c r="C65" s="12" t="s">
        <v>604</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226</v>
      </c>
      <c r="P65" s="11" t="s">
        <v>227</v>
      </c>
      <c r="Q65" s="11" t="s">
        <v>226</v>
      </c>
      <c r="R65" s="11" t="s">
        <v>226</v>
      </c>
      <c r="S65" s="11">
        <v>0</v>
      </c>
      <c r="T65" s="45" t="str">
        <f t="shared" si="24"/>
        <v>M</v>
      </c>
      <c r="U65" s="45" t="s">
        <v>605</v>
      </c>
      <c r="V65" s="45" t="s">
        <v>606</v>
      </c>
      <c r="W65" s="45" t="s">
        <v>607</v>
      </c>
      <c r="X65" s="45" t="s">
        <v>608</v>
      </c>
      <c r="Y65" s="45"/>
      <c r="Z65" s="45"/>
    </row>
    <row r="66" spans="1:26" ht="12.75" customHeight="1">
      <c r="A66" s="12" t="s">
        <v>122</v>
      </c>
      <c r="B66" s="12" t="str">
        <f t="shared" si="0"/>
        <v>Goblin9</v>
      </c>
      <c r="C66" s="12" t="s">
        <v>609</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226</v>
      </c>
      <c r="P66" s="11" t="s">
        <v>226</v>
      </c>
      <c r="Q66" s="11" t="s">
        <v>227</v>
      </c>
      <c r="R66" s="11" t="s">
        <v>226</v>
      </c>
      <c r="S66" s="11">
        <v>0</v>
      </c>
      <c r="T66" s="45" t="str">
        <f t="shared" si="24"/>
        <v>M</v>
      </c>
      <c r="U66" s="45" t="s">
        <v>439</v>
      </c>
      <c r="V66" s="45" t="s">
        <v>440</v>
      </c>
      <c r="W66" s="45" t="s">
        <v>441</v>
      </c>
      <c r="X66" s="45" t="s">
        <v>442</v>
      </c>
      <c r="Y66" s="45"/>
      <c r="Z66" s="45"/>
    </row>
    <row r="67" spans="1:26" ht="12.75" customHeight="1">
      <c r="A67" s="12" t="s">
        <v>122</v>
      </c>
      <c r="B67" s="12" t="str">
        <f t="shared" si="0"/>
        <v>Goblin10</v>
      </c>
      <c r="C67" s="12" t="s">
        <v>443</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226</v>
      </c>
      <c r="P67" s="11" t="s">
        <v>227</v>
      </c>
      <c r="Q67" s="11" t="s">
        <v>226</v>
      </c>
      <c r="R67" s="11" t="s">
        <v>226</v>
      </c>
      <c r="S67" s="11">
        <v>0</v>
      </c>
      <c r="T67" s="45" t="str">
        <f t="shared" si="24"/>
        <v>M</v>
      </c>
      <c r="U67" s="45" t="s">
        <v>610</v>
      </c>
      <c r="V67" s="45" t="s">
        <v>611</v>
      </c>
      <c r="W67" s="45" t="s">
        <v>612</v>
      </c>
      <c r="X67" s="45" t="s">
        <v>613</v>
      </c>
      <c r="Y67" s="45"/>
      <c r="Z67" s="45"/>
    </row>
    <row r="68" spans="1:26" ht="12.75" customHeight="1">
      <c r="A68" s="12" t="s">
        <v>127</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5"/>
      <c r="U68" s="45">
        <v>0</v>
      </c>
      <c r="V68" s="45">
        <v>0</v>
      </c>
      <c r="W68" s="45">
        <v>0</v>
      </c>
      <c r="X68" s="45">
        <v>0</v>
      </c>
      <c r="Y68" s="45">
        <v>0</v>
      </c>
      <c r="Z68" s="45"/>
    </row>
    <row r="69" spans="1:26" ht="12.75" customHeight="1">
      <c r="A69" s="12" t="s">
        <v>127</v>
      </c>
      <c r="B69" s="12" t="str">
        <f t="shared" si="0"/>
        <v>Halfling2</v>
      </c>
      <c r="C69" s="12" t="s">
        <v>614</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226</v>
      </c>
      <c r="P69" s="11" t="s">
        <v>227</v>
      </c>
      <c r="Q69" s="11" t="s">
        <v>226</v>
      </c>
      <c r="R69" s="11">
        <v>0</v>
      </c>
      <c r="S69" s="11">
        <v>0</v>
      </c>
      <c r="T69" s="45" t="str">
        <f t="shared" ref="T69:T73" si="26">IF(AND(R69&lt;&gt;0,S69&lt;&gt;0),"FULL",(IF(AND(R69=0,S69=0),"PM",IF(R69=0,"P",(IF(S69=0,"M"))))))</f>
        <v>PM</v>
      </c>
      <c r="U69" s="45" t="s">
        <v>576</v>
      </c>
      <c r="V69" s="45" t="s">
        <v>577</v>
      </c>
      <c r="W69" s="45" t="s">
        <v>578</v>
      </c>
      <c r="X69" s="45" t="s">
        <v>579</v>
      </c>
      <c r="Y69" s="45"/>
      <c r="Z69" s="45"/>
    </row>
    <row r="70" spans="1:26" ht="12.75" customHeight="1">
      <c r="A70" s="12" t="s">
        <v>127</v>
      </c>
      <c r="B70" s="12" t="str">
        <f t="shared" si="0"/>
        <v>Halfling3</v>
      </c>
      <c r="C70" s="12" t="s">
        <v>615</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226</v>
      </c>
      <c r="P70" s="11" t="s">
        <v>227</v>
      </c>
      <c r="Q70" s="11" t="s">
        <v>226</v>
      </c>
      <c r="R70" s="11" t="s">
        <v>226</v>
      </c>
      <c r="S70" s="11">
        <v>0</v>
      </c>
      <c r="T70" s="45" t="str">
        <f t="shared" si="26"/>
        <v>M</v>
      </c>
      <c r="U70" s="45" t="s">
        <v>616</v>
      </c>
      <c r="V70" s="45" t="s">
        <v>617</v>
      </c>
      <c r="W70" s="45" t="s">
        <v>618</v>
      </c>
      <c r="X70" s="45" t="s">
        <v>619</v>
      </c>
      <c r="Y70" s="45"/>
      <c r="Z70" s="45"/>
    </row>
    <row r="71" spans="1:26" ht="12.75" customHeight="1">
      <c r="A71" s="12" t="s">
        <v>127</v>
      </c>
      <c r="B71" s="12" t="str">
        <f t="shared" si="0"/>
        <v>Halfling4</v>
      </c>
      <c r="C71" s="12" t="s">
        <v>620</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226</v>
      </c>
      <c r="P71" s="11" t="s">
        <v>227</v>
      </c>
      <c r="Q71" s="11" t="s">
        <v>226</v>
      </c>
      <c r="R71" s="11">
        <v>0</v>
      </c>
      <c r="S71" s="11">
        <v>0</v>
      </c>
      <c r="T71" s="45" t="str">
        <f t="shared" si="26"/>
        <v>PM</v>
      </c>
      <c r="U71" s="45" t="s">
        <v>621</v>
      </c>
      <c r="V71" s="45" t="s">
        <v>622</v>
      </c>
      <c r="W71" s="45" t="s">
        <v>623</v>
      </c>
      <c r="X71" s="45" t="s">
        <v>624</v>
      </c>
      <c r="Y71" s="45"/>
      <c r="Z71" s="45"/>
    </row>
    <row r="72" spans="1:26" ht="12.75" customHeight="1">
      <c r="A72" s="12" t="s">
        <v>127</v>
      </c>
      <c r="B72" s="12" t="str">
        <f t="shared" si="0"/>
        <v>Halfling5</v>
      </c>
      <c r="C72" s="12" t="s">
        <v>625</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226</v>
      </c>
      <c r="P72" s="11" t="s">
        <v>226</v>
      </c>
      <c r="Q72" s="11" t="s">
        <v>227</v>
      </c>
      <c r="R72" s="11" t="s">
        <v>226</v>
      </c>
      <c r="S72" s="11">
        <v>0</v>
      </c>
      <c r="T72" s="45" t="str">
        <f t="shared" si="26"/>
        <v>M</v>
      </c>
      <c r="U72" s="45" t="s">
        <v>626</v>
      </c>
      <c r="V72" s="45" t="s">
        <v>627</v>
      </c>
      <c r="W72" s="45" t="s">
        <v>628</v>
      </c>
      <c r="X72" s="45" t="s">
        <v>629</v>
      </c>
      <c r="Y72" s="45"/>
      <c r="Z72" s="45"/>
    </row>
    <row r="73" spans="1:26" ht="12.75" customHeight="1">
      <c r="A73" s="12" t="s">
        <v>127</v>
      </c>
      <c r="B73" s="12" t="str">
        <f t="shared" si="0"/>
        <v>Halfling6</v>
      </c>
      <c r="C73" s="12" t="s">
        <v>630</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226</v>
      </c>
      <c r="P73" s="11" t="s">
        <v>227</v>
      </c>
      <c r="Q73" s="11" t="s">
        <v>226</v>
      </c>
      <c r="R73" s="11">
        <v>0</v>
      </c>
      <c r="S73" s="11">
        <v>0</v>
      </c>
      <c r="T73" s="45" t="str">
        <f t="shared" si="26"/>
        <v>PM</v>
      </c>
      <c r="U73" s="45" t="s">
        <v>610</v>
      </c>
      <c r="V73" s="45" t="s">
        <v>611</v>
      </c>
      <c r="W73" s="45" t="s">
        <v>612</v>
      </c>
      <c r="X73" s="45" t="s">
        <v>613</v>
      </c>
      <c r="Y73" s="45"/>
      <c r="Z73" s="45"/>
    </row>
    <row r="74" spans="1:26" ht="12.75" customHeight="1">
      <c r="A74" s="12" t="s">
        <v>132</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5"/>
      <c r="U74" s="45">
        <v>0</v>
      </c>
      <c r="V74" s="45">
        <v>0</v>
      </c>
      <c r="W74" s="45">
        <v>0</v>
      </c>
      <c r="X74" s="45">
        <v>0</v>
      </c>
      <c r="Y74" s="45">
        <v>0</v>
      </c>
      <c r="Z74" s="45"/>
    </row>
    <row r="75" spans="1:26" ht="12.75" customHeight="1">
      <c r="A75" s="12" t="s">
        <v>132</v>
      </c>
      <c r="B75" s="12" t="str">
        <f t="shared" si="0"/>
        <v>High Elf2</v>
      </c>
      <c r="C75" s="12" t="s">
        <v>521</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227</v>
      </c>
      <c r="P75" s="11" t="s">
        <v>227</v>
      </c>
      <c r="Q75" s="11" t="s">
        <v>226</v>
      </c>
      <c r="R75" s="11" t="s">
        <v>226</v>
      </c>
      <c r="S75" s="11">
        <v>0</v>
      </c>
      <c r="T75" s="45" t="str">
        <f t="shared" ref="T75:T79" si="28">IF(AND(R75&lt;&gt;0,S75&lt;&gt;0),"FULL",(IF(AND(R75=0,S75=0),"PM",IF(R75=0,"P",(IF(S75=0,"M"))))))</f>
        <v>M</v>
      </c>
      <c r="U75" s="45" t="str">
        <f t="shared" ref="U75:Y75" si="29">""</f>
        <v/>
      </c>
      <c r="V75" s="45" t="str">
        <f t="shared" si="29"/>
        <v/>
      </c>
      <c r="W75" s="45" t="str">
        <f t="shared" si="29"/>
        <v/>
      </c>
      <c r="X75" s="45" t="str">
        <f t="shared" si="29"/>
        <v/>
      </c>
      <c r="Y75" s="45" t="str">
        <f t="shared" si="29"/>
        <v/>
      </c>
      <c r="Z75" s="45"/>
    </row>
    <row r="76" spans="1:26" ht="12.75" customHeight="1">
      <c r="A76" s="12" t="s">
        <v>132</v>
      </c>
      <c r="B76" s="12" t="str">
        <f t="shared" si="0"/>
        <v>High Elf3</v>
      </c>
      <c r="C76" s="12" t="s">
        <v>409</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227</v>
      </c>
      <c r="P76" s="11" t="s">
        <v>227</v>
      </c>
      <c r="Q76" s="11" t="s">
        <v>226</v>
      </c>
      <c r="R76" s="11" t="s">
        <v>227</v>
      </c>
      <c r="S76" s="11">
        <v>0</v>
      </c>
      <c r="T76" s="45" t="str">
        <f t="shared" si="28"/>
        <v>M</v>
      </c>
      <c r="U76" s="45" t="s">
        <v>631</v>
      </c>
      <c r="V76" s="45" t="s">
        <v>632</v>
      </c>
      <c r="W76" s="45" t="s">
        <v>633</v>
      </c>
      <c r="X76" s="45" t="s">
        <v>634</v>
      </c>
      <c r="Y76" s="45"/>
      <c r="Z76" s="45"/>
    </row>
    <row r="77" spans="1:26" ht="12.75" customHeight="1">
      <c r="A77" s="12" t="s">
        <v>132</v>
      </c>
      <c r="B77" s="12" t="str">
        <f t="shared" si="0"/>
        <v>High Elf4</v>
      </c>
      <c r="C77" s="12" t="s">
        <v>414</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227</v>
      </c>
      <c r="P77" s="11" t="s">
        <v>227</v>
      </c>
      <c r="Q77" s="11" t="s">
        <v>226</v>
      </c>
      <c r="R77" s="11">
        <v>0</v>
      </c>
      <c r="S77" s="11">
        <v>0</v>
      </c>
      <c r="T77" s="45" t="str">
        <f t="shared" si="28"/>
        <v>PM</v>
      </c>
      <c r="U77" s="45" t="s">
        <v>635</v>
      </c>
      <c r="V77" s="45" t="s">
        <v>636</v>
      </c>
      <c r="W77" s="45" t="s">
        <v>637</v>
      </c>
      <c r="X77" s="45" t="s">
        <v>638</v>
      </c>
      <c r="Y77" s="45"/>
      <c r="Z77" s="45"/>
    </row>
    <row r="78" spans="1:26" ht="12.75" customHeight="1">
      <c r="A78" s="12" t="s">
        <v>132</v>
      </c>
      <c r="B78" s="12" t="str">
        <f t="shared" si="0"/>
        <v>High Elf5</v>
      </c>
      <c r="C78" s="12" t="s">
        <v>419</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227</v>
      </c>
      <c r="P78" s="11" t="s">
        <v>227</v>
      </c>
      <c r="Q78" s="11" t="s">
        <v>226</v>
      </c>
      <c r="R78" s="11" t="s">
        <v>226</v>
      </c>
      <c r="S78" s="11">
        <v>0</v>
      </c>
      <c r="T78" s="45" t="str">
        <f t="shared" si="28"/>
        <v>M</v>
      </c>
      <c r="U78" s="45" t="s">
        <v>532</v>
      </c>
      <c r="V78" s="45" t="s">
        <v>533</v>
      </c>
      <c r="W78" s="45" t="s">
        <v>532</v>
      </c>
      <c r="X78" s="45" t="s">
        <v>534</v>
      </c>
      <c r="Y78" s="45"/>
      <c r="Z78" s="45"/>
    </row>
    <row r="79" spans="1:26" ht="12.75" customHeight="1">
      <c r="A79" s="12" t="s">
        <v>132</v>
      </c>
      <c r="B79" s="12" t="str">
        <f t="shared" si="0"/>
        <v>High Elf6</v>
      </c>
      <c r="C79" s="12" t="s">
        <v>540</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227</v>
      </c>
      <c r="P79" s="11" t="s">
        <v>227</v>
      </c>
      <c r="Q79" s="11" t="s">
        <v>226</v>
      </c>
      <c r="R79" s="11" t="s">
        <v>226</v>
      </c>
      <c r="S79" s="11">
        <v>0</v>
      </c>
      <c r="T79" s="45" t="str">
        <f t="shared" si="28"/>
        <v>M</v>
      </c>
      <c r="U79" s="45" t="s">
        <v>490</v>
      </c>
      <c r="V79" s="45" t="s">
        <v>491</v>
      </c>
      <c r="W79" s="45" t="s">
        <v>492</v>
      </c>
      <c r="X79" s="45" t="s">
        <v>493</v>
      </c>
      <c r="Y79" s="45"/>
      <c r="Z79" s="45"/>
    </row>
    <row r="80" spans="1:26" ht="12.75" customHeight="1">
      <c r="A80" s="12" t="s">
        <v>136</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5"/>
      <c r="U80" s="45">
        <v>0</v>
      </c>
      <c r="V80" s="45">
        <v>0</v>
      </c>
      <c r="W80" s="45">
        <v>0</v>
      </c>
      <c r="X80" s="45">
        <v>0</v>
      </c>
      <c r="Y80" s="45">
        <v>0</v>
      </c>
      <c r="Z80" s="45"/>
    </row>
    <row r="81" spans="1:26" ht="12.75" customHeight="1">
      <c r="A81" s="12" t="s">
        <v>136</v>
      </c>
      <c r="B81" s="12" t="str">
        <f t="shared" si="0"/>
        <v>Human2</v>
      </c>
      <c r="C81" s="12" t="s">
        <v>521</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227</v>
      </c>
      <c r="P81" s="11" t="s">
        <v>226</v>
      </c>
      <c r="Q81" s="11" t="s">
        <v>226</v>
      </c>
      <c r="R81" s="11">
        <v>0</v>
      </c>
      <c r="S81" s="11">
        <v>0</v>
      </c>
      <c r="T81" s="45" t="str">
        <f t="shared" ref="T81:T87" si="31">IF(AND(R81&lt;&gt;0,S81&lt;&gt;0),"FULL",(IF(AND(R81=0,S81=0),"PM",IF(R81=0,"P",(IF(S81=0,"M"))))))</f>
        <v>PM</v>
      </c>
      <c r="U81" s="45" t="str">
        <f t="shared" ref="U81:Y81" si="32">""</f>
        <v/>
      </c>
      <c r="V81" s="45" t="str">
        <f t="shared" si="32"/>
        <v/>
      </c>
      <c r="W81" s="45" t="str">
        <f t="shared" si="32"/>
        <v/>
      </c>
      <c r="X81" s="45" t="str">
        <f t="shared" si="32"/>
        <v/>
      </c>
      <c r="Y81" s="45" t="str">
        <f t="shared" si="32"/>
        <v/>
      </c>
      <c r="Z81" s="45"/>
    </row>
    <row r="82" spans="1:26" ht="12.75" customHeight="1">
      <c r="A82" s="12" t="s">
        <v>136</v>
      </c>
      <c r="B82" s="12" t="str">
        <f t="shared" si="0"/>
        <v>Human3</v>
      </c>
      <c r="C82" s="12" t="s">
        <v>414</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227</v>
      </c>
      <c r="P82" s="11" t="s">
        <v>227</v>
      </c>
      <c r="Q82" s="11" t="s">
        <v>226</v>
      </c>
      <c r="R82" s="11" t="s">
        <v>226</v>
      </c>
      <c r="S82" s="11">
        <v>0</v>
      </c>
      <c r="T82" s="45" t="str">
        <f t="shared" si="31"/>
        <v>M</v>
      </c>
      <c r="U82" s="45" t="s">
        <v>639</v>
      </c>
      <c r="V82" s="45" t="s">
        <v>640</v>
      </c>
      <c r="W82" s="45" t="s">
        <v>641</v>
      </c>
      <c r="X82" s="45" t="s">
        <v>642</v>
      </c>
      <c r="Y82" s="45"/>
      <c r="Z82" s="45"/>
    </row>
    <row r="83" spans="1:26" ht="12.75" customHeight="1">
      <c r="A83" s="12" t="s">
        <v>136</v>
      </c>
      <c r="B83" s="12" t="str">
        <f t="shared" si="0"/>
        <v>Human4</v>
      </c>
      <c r="C83" s="12" t="s">
        <v>409</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227</v>
      </c>
      <c r="P83" s="11" t="s">
        <v>226</v>
      </c>
      <c r="Q83" s="11" t="s">
        <v>226</v>
      </c>
      <c r="R83" s="11" t="s">
        <v>227</v>
      </c>
      <c r="S83" s="11">
        <v>0</v>
      </c>
      <c r="T83" s="45" t="str">
        <f t="shared" si="31"/>
        <v>M</v>
      </c>
      <c r="U83" s="45" t="s">
        <v>643</v>
      </c>
      <c r="V83" s="45" t="s">
        <v>644</v>
      </c>
      <c r="W83" s="45" t="s">
        <v>645</v>
      </c>
      <c r="X83" s="45" t="s">
        <v>646</v>
      </c>
      <c r="Y83" s="45"/>
      <c r="Z83" s="45"/>
    </row>
    <row r="84" spans="1:26" ht="12.75" customHeight="1">
      <c r="A84" s="12" t="s">
        <v>136</v>
      </c>
      <c r="B84" s="12" t="str">
        <f t="shared" si="0"/>
        <v>Human5</v>
      </c>
      <c r="C84" s="12" t="s">
        <v>419</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227</v>
      </c>
      <c r="P84" s="11" t="s">
        <v>226</v>
      </c>
      <c r="Q84" s="11" t="s">
        <v>227</v>
      </c>
      <c r="R84" s="11" t="s">
        <v>226</v>
      </c>
      <c r="S84" s="11">
        <v>0</v>
      </c>
      <c r="T84" s="45" t="str">
        <f t="shared" si="31"/>
        <v>M</v>
      </c>
      <c r="U84" s="45" t="s">
        <v>532</v>
      </c>
      <c r="V84" s="45" t="s">
        <v>533</v>
      </c>
      <c r="W84" s="45" t="s">
        <v>532</v>
      </c>
      <c r="X84" s="45" t="s">
        <v>534</v>
      </c>
      <c r="Y84" s="45"/>
      <c r="Z84" s="45"/>
    </row>
    <row r="85" spans="1:26" ht="12.75" customHeight="1">
      <c r="A85" s="12" t="s">
        <v>136</v>
      </c>
      <c r="B85" s="12" t="str">
        <f t="shared" si="0"/>
        <v>Human6</v>
      </c>
      <c r="C85" s="12" t="s">
        <v>614</v>
      </c>
      <c r="D85" s="12" t="str">
        <f t="shared" si="1"/>
        <v>HumanHalfling Hopeful</v>
      </c>
      <c r="E85" s="12">
        <v>5</v>
      </c>
      <c r="F85" s="12">
        <v>2</v>
      </c>
      <c r="G85" s="12">
        <v>3</v>
      </c>
      <c r="H85" s="12">
        <v>4</v>
      </c>
      <c r="I85" s="70">
        <v>7</v>
      </c>
      <c r="J85" s="12" t="str">
        <f>IF(Roster!$J$25="Español",V85,(IF(Roster!$J$25="Deutsch",W85,(IF(Roster!$J$25="Français",X85,U85)))))</f>
        <v>Dodge, Right Stuff, Stunty</v>
      </c>
      <c r="K85" s="11">
        <v>30000</v>
      </c>
      <c r="L85" s="11">
        <f t="shared" si="30"/>
        <v>30</v>
      </c>
      <c r="M85" s="12">
        <v>3</v>
      </c>
      <c r="N85" s="12">
        <v>0</v>
      </c>
      <c r="O85" s="11" t="s">
        <v>226</v>
      </c>
      <c r="P85" s="11" t="s">
        <v>227</v>
      </c>
      <c r="Q85" s="11" t="s">
        <v>226</v>
      </c>
      <c r="R85" s="11">
        <v>0</v>
      </c>
      <c r="S85" s="11">
        <v>0</v>
      </c>
      <c r="T85" s="45" t="str">
        <f t="shared" si="31"/>
        <v>PM</v>
      </c>
      <c r="U85" s="45" t="s">
        <v>576</v>
      </c>
      <c r="V85" s="45" t="s">
        <v>577</v>
      </c>
      <c r="W85" s="45" t="s">
        <v>578</v>
      </c>
      <c r="X85" s="45" t="s">
        <v>579</v>
      </c>
      <c r="Y85" s="45"/>
      <c r="Z85" s="45"/>
    </row>
    <row r="86" spans="1:26" ht="12.75" customHeight="1">
      <c r="A86" s="12" t="s">
        <v>136</v>
      </c>
      <c r="B86" s="12" t="str">
        <f t="shared" si="0"/>
        <v>Human7</v>
      </c>
      <c r="C86" s="12" t="s">
        <v>175</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226</v>
      </c>
      <c r="P86" s="11" t="s">
        <v>226</v>
      </c>
      <c r="Q86" s="11" t="s">
        <v>227</v>
      </c>
      <c r="R86" s="11">
        <v>0</v>
      </c>
      <c r="S86" s="11">
        <v>0</v>
      </c>
      <c r="T86" s="45" t="str">
        <f t="shared" si="31"/>
        <v>PM</v>
      </c>
      <c r="U86" s="45" t="s">
        <v>459</v>
      </c>
      <c r="V86" s="45" t="s">
        <v>460</v>
      </c>
      <c r="W86" s="45" t="s">
        <v>461</v>
      </c>
      <c r="X86" s="45" t="s">
        <v>462</v>
      </c>
      <c r="Y86" s="45"/>
      <c r="Z86" s="45"/>
    </row>
    <row r="87" spans="1:26" ht="12.75" customHeight="1">
      <c r="A87" s="12" t="s">
        <v>136</v>
      </c>
      <c r="B87" s="12" t="str">
        <f t="shared" si="0"/>
        <v>Human8</v>
      </c>
      <c r="C87" s="12" t="s">
        <v>647</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227</v>
      </c>
      <c r="P87" s="11" t="s">
        <v>226</v>
      </c>
      <c r="Q87" s="11" t="s">
        <v>226</v>
      </c>
      <c r="R87" s="11">
        <v>0</v>
      </c>
      <c r="S87" s="11">
        <v>0</v>
      </c>
      <c r="T87" s="45" t="str">
        <f t="shared" si="31"/>
        <v>PM</v>
      </c>
      <c r="U87" s="45" t="s">
        <v>490</v>
      </c>
      <c r="V87" s="45" t="s">
        <v>491</v>
      </c>
      <c r="W87" s="45" t="s">
        <v>492</v>
      </c>
      <c r="X87" s="45" t="s">
        <v>493</v>
      </c>
      <c r="Y87" s="45"/>
      <c r="Z87" s="45"/>
    </row>
    <row r="88" spans="1:26" ht="12.75" customHeight="1">
      <c r="A88" s="12" t="s">
        <v>142</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5"/>
      <c r="U88" s="45">
        <v>0</v>
      </c>
      <c r="V88" s="45">
        <v>0</v>
      </c>
      <c r="W88" s="45">
        <v>0</v>
      </c>
      <c r="X88" s="45">
        <v>0</v>
      </c>
      <c r="Y88" s="45">
        <v>0</v>
      </c>
      <c r="Z88" s="45"/>
    </row>
    <row r="89" spans="1:26" ht="12.75" customHeight="1">
      <c r="A89" s="12" t="s">
        <v>142</v>
      </c>
      <c r="B89" s="12" t="str">
        <f t="shared" si="0"/>
        <v>Imperial Nobility2</v>
      </c>
      <c r="C89" s="12" t="s">
        <v>521</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227</v>
      </c>
      <c r="P89" s="11" t="s">
        <v>226</v>
      </c>
      <c r="Q89" s="11" t="s">
        <v>226</v>
      </c>
      <c r="R89" s="11">
        <v>0</v>
      </c>
      <c r="S89" s="12">
        <v>0</v>
      </c>
      <c r="T89" s="45" t="str">
        <f t="shared" ref="T89:T94" si="34">IF(AND(R89&lt;&gt;0,S89&lt;&gt;0),"FULL",(IF(AND(R89=0,S89=0),"PM",IF(R89=0,"P",(IF(S89=0,"M"))))))</f>
        <v>PM</v>
      </c>
      <c r="U89" s="45" t="s">
        <v>648</v>
      </c>
      <c r="V89" s="45" t="s">
        <v>649</v>
      </c>
      <c r="W89" s="45" t="s">
        <v>650</v>
      </c>
      <c r="X89" s="45" t="s">
        <v>651</v>
      </c>
      <c r="Y89" s="45"/>
      <c r="Z89" s="45"/>
    </row>
    <row r="90" spans="1:26" ht="12.75" customHeight="1">
      <c r="A90" s="12" t="s">
        <v>142</v>
      </c>
      <c r="B90" s="12" t="str">
        <f t="shared" si="0"/>
        <v>Imperial Nobility3</v>
      </c>
      <c r="C90" s="12" t="s">
        <v>409</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227</v>
      </c>
      <c r="P90" s="11" t="s">
        <v>226</v>
      </c>
      <c r="Q90" s="11" t="s">
        <v>226</v>
      </c>
      <c r="R90" s="11" t="s">
        <v>227</v>
      </c>
      <c r="S90" s="12">
        <v>0</v>
      </c>
      <c r="T90" s="45" t="str">
        <f t="shared" si="34"/>
        <v>M</v>
      </c>
      <c r="U90" s="45" t="s">
        <v>652</v>
      </c>
      <c r="V90" s="45" t="s">
        <v>653</v>
      </c>
      <c r="W90" s="45" t="s">
        <v>654</v>
      </c>
      <c r="X90" s="45" t="s">
        <v>655</v>
      </c>
      <c r="Y90" s="45"/>
      <c r="Z90" s="45"/>
    </row>
    <row r="91" spans="1:26" ht="12.75" customHeight="1">
      <c r="A91" s="12" t="s">
        <v>142</v>
      </c>
      <c r="B91" s="12" t="str">
        <f t="shared" si="0"/>
        <v>Imperial Nobility4</v>
      </c>
      <c r="C91" s="12" t="s">
        <v>419</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227</v>
      </c>
      <c r="P91" s="11" t="s">
        <v>227</v>
      </c>
      <c r="Q91" s="11" t="s">
        <v>226</v>
      </c>
      <c r="R91" s="11" t="s">
        <v>226</v>
      </c>
      <c r="S91" s="12">
        <v>0</v>
      </c>
      <c r="T91" s="45" t="str">
        <f t="shared" si="34"/>
        <v>M</v>
      </c>
      <c r="U91" s="45" t="s">
        <v>656</v>
      </c>
      <c r="V91" s="45" t="s">
        <v>657</v>
      </c>
      <c r="W91" s="45" t="s">
        <v>658</v>
      </c>
      <c r="X91" s="45" t="s">
        <v>659</v>
      </c>
      <c r="Y91" s="45"/>
      <c r="Z91" s="45"/>
    </row>
    <row r="92" spans="1:26" ht="12.75" customHeight="1">
      <c r="A92" s="12" t="s">
        <v>142</v>
      </c>
      <c r="B92" s="12" t="str">
        <f t="shared" si="0"/>
        <v>Imperial Nobility5</v>
      </c>
      <c r="C92" s="12" t="s">
        <v>660</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227</v>
      </c>
      <c r="P92" s="11" t="s">
        <v>226</v>
      </c>
      <c r="Q92" s="11" t="s">
        <v>227</v>
      </c>
      <c r="R92" s="11">
        <v>0</v>
      </c>
      <c r="S92" s="12">
        <v>0</v>
      </c>
      <c r="T92" s="45" t="str">
        <f t="shared" si="34"/>
        <v>PM</v>
      </c>
      <c r="U92" s="45" t="s">
        <v>661</v>
      </c>
      <c r="V92" s="45" t="s">
        <v>662</v>
      </c>
      <c r="W92" s="45" t="s">
        <v>663</v>
      </c>
      <c r="X92" s="45" t="s">
        <v>664</v>
      </c>
      <c r="Y92" s="45"/>
      <c r="Z92" s="45"/>
    </row>
    <row r="93" spans="1:26" ht="12.75" customHeight="1">
      <c r="A93" s="12" t="s">
        <v>142</v>
      </c>
      <c r="B93" s="12" t="str">
        <f t="shared" si="0"/>
        <v>Imperial Nobility6</v>
      </c>
      <c r="C93" s="12" t="s">
        <v>175</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226</v>
      </c>
      <c r="P93" s="11" t="s">
        <v>226</v>
      </c>
      <c r="Q93" s="11" t="s">
        <v>227</v>
      </c>
      <c r="R93" s="11">
        <v>0</v>
      </c>
      <c r="S93" s="12">
        <v>0</v>
      </c>
      <c r="T93" s="45" t="str">
        <f t="shared" si="34"/>
        <v>PM</v>
      </c>
      <c r="U93" s="45" t="s">
        <v>459</v>
      </c>
      <c r="V93" s="45" t="s">
        <v>460</v>
      </c>
      <c r="W93" s="45" t="s">
        <v>461</v>
      </c>
      <c r="X93" s="45" t="s">
        <v>462</v>
      </c>
      <c r="Y93" s="45"/>
      <c r="Z93" s="45"/>
    </row>
    <row r="94" spans="1:26" ht="12.75" customHeight="1">
      <c r="A94" s="12" t="s">
        <v>142</v>
      </c>
      <c r="B94" s="12" t="str">
        <f t="shared" si="0"/>
        <v>Imperial Nobility7</v>
      </c>
      <c r="C94" s="12" t="s">
        <v>647</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227</v>
      </c>
      <c r="P94" s="11" t="s">
        <v>226</v>
      </c>
      <c r="Q94" s="11" t="s">
        <v>226</v>
      </c>
      <c r="R94" s="11">
        <v>0</v>
      </c>
      <c r="S94" s="12">
        <v>0</v>
      </c>
      <c r="T94" s="45" t="str">
        <f t="shared" si="34"/>
        <v>PM</v>
      </c>
      <c r="U94" s="45" t="s">
        <v>665</v>
      </c>
      <c r="V94" s="45" t="s">
        <v>666</v>
      </c>
      <c r="W94" s="45" t="s">
        <v>667</v>
      </c>
      <c r="X94" s="45" t="s">
        <v>668</v>
      </c>
      <c r="Y94" s="45"/>
      <c r="Z94" s="45"/>
    </row>
    <row r="95" spans="1:26" ht="12.75" customHeight="1">
      <c r="A95" s="12" t="s">
        <v>149</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5"/>
      <c r="U95" s="45"/>
      <c r="V95" s="45"/>
      <c r="W95" s="45"/>
      <c r="X95" s="45"/>
      <c r="Y95" s="45"/>
      <c r="Z95" s="45"/>
    </row>
    <row r="96" spans="1:26" ht="12.75" customHeight="1">
      <c r="A96" s="12" t="s">
        <v>149</v>
      </c>
      <c r="B96" s="12" t="str">
        <f t="shared" si="0"/>
        <v>Khorne2</v>
      </c>
      <c r="C96" s="12" t="s">
        <v>669</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227</v>
      </c>
      <c r="P96" s="11" t="s">
        <v>226</v>
      </c>
      <c r="Q96" s="11" t="s">
        <v>226</v>
      </c>
      <c r="R96" s="238">
        <v>0</v>
      </c>
      <c r="S96" s="11" t="s">
        <v>227</v>
      </c>
      <c r="T96" s="45" t="s">
        <v>253</v>
      </c>
      <c r="U96" s="45" t="s">
        <v>381</v>
      </c>
      <c r="V96" s="45" t="s">
        <v>670</v>
      </c>
      <c r="W96" s="45" t="s">
        <v>671</v>
      </c>
      <c r="X96" s="45" t="s">
        <v>672</v>
      </c>
      <c r="Y96" s="45"/>
      <c r="Z96" s="45"/>
    </row>
    <row r="97" spans="1:26" ht="12.75" customHeight="1">
      <c r="A97" s="12" t="s">
        <v>149</v>
      </c>
      <c r="B97" s="12" t="str">
        <f t="shared" si="0"/>
        <v>Khorne3</v>
      </c>
      <c r="C97" s="12" t="s">
        <v>673</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227</v>
      </c>
      <c r="P97" s="11" t="s">
        <v>226</v>
      </c>
      <c r="Q97" s="11" t="s">
        <v>227</v>
      </c>
      <c r="R97" s="238" t="s">
        <v>227</v>
      </c>
      <c r="S97" s="11" t="s">
        <v>227</v>
      </c>
      <c r="T97" s="45" t="s">
        <v>253</v>
      </c>
      <c r="U97" s="45" t="s">
        <v>674</v>
      </c>
      <c r="V97" s="45" t="s">
        <v>675</v>
      </c>
      <c r="W97" s="45" t="s">
        <v>676</v>
      </c>
      <c r="X97" s="45" t="s">
        <v>677</v>
      </c>
      <c r="Y97" s="45"/>
      <c r="Z97" s="45"/>
    </row>
    <row r="98" spans="1:26" ht="12.75" customHeight="1">
      <c r="A98" s="12" t="s">
        <v>149</v>
      </c>
      <c r="B98" s="12" t="str">
        <f t="shared" si="0"/>
        <v>Khorne4</v>
      </c>
      <c r="C98" s="12" t="s">
        <v>678</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227</v>
      </c>
      <c r="P98" s="11" t="s">
        <v>226</v>
      </c>
      <c r="Q98" s="11" t="s">
        <v>227</v>
      </c>
      <c r="R98" s="238">
        <v>0</v>
      </c>
      <c r="S98" s="11" t="s">
        <v>227</v>
      </c>
      <c r="T98" s="45" t="s">
        <v>253</v>
      </c>
      <c r="U98" s="45" t="s">
        <v>381</v>
      </c>
      <c r="V98" s="45" t="s">
        <v>670</v>
      </c>
      <c r="W98" s="45" t="s">
        <v>671</v>
      </c>
      <c r="X98" s="45" t="s">
        <v>672</v>
      </c>
      <c r="Y98" s="45"/>
      <c r="Z98" s="45"/>
    </row>
    <row r="99" spans="1:26" ht="12.75" customHeight="1">
      <c r="A99" s="12" t="s">
        <v>149</v>
      </c>
      <c r="B99" s="12" t="str">
        <f t="shared" si="0"/>
        <v>Khorne5</v>
      </c>
      <c r="C99" s="12" t="s">
        <v>679</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226</v>
      </c>
      <c r="P99" s="11" t="s">
        <v>226</v>
      </c>
      <c r="Q99" s="11" t="s">
        <v>227</v>
      </c>
      <c r="R99" s="238">
        <v>0</v>
      </c>
      <c r="S99" s="11" t="s">
        <v>227</v>
      </c>
      <c r="T99" s="45" t="s">
        <v>227</v>
      </c>
      <c r="U99" s="45" t="s">
        <v>680</v>
      </c>
      <c r="V99" s="45" t="s">
        <v>681</v>
      </c>
      <c r="W99" s="45" t="s">
        <v>682</v>
      </c>
      <c r="X99" s="45" t="s">
        <v>683</v>
      </c>
      <c r="Y99" s="45"/>
      <c r="Z99" s="45"/>
    </row>
    <row r="100" spans="1:26" ht="12.75" customHeight="1">
      <c r="A100" s="12" t="s">
        <v>149</v>
      </c>
      <c r="B100" s="12" t="str">
        <f t="shared" si="0"/>
        <v>Khorne6</v>
      </c>
      <c r="C100" s="12" t="s">
        <v>684</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227</v>
      </c>
      <c r="P100" s="11" t="s">
        <v>226</v>
      </c>
      <c r="Q100" s="11" t="s">
        <v>226</v>
      </c>
      <c r="R100" s="238">
        <v>0</v>
      </c>
      <c r="S100" s="11" t="s">
        <v>227</v>
      </c>
      <c r="T100" s="45" t="s">
        <v>253</v>
      </c>
      <c r="U100" s="45" t="s">
        <v>685</v>
      </c>
      <c r="V100" s="45" t="s">
        <v>686</v>
      </c>
      <c r="W100" s="45" t="s">
        <v>687</v>
      </c>
      <c r="X100" s="45" t="s">
        <v>688</v>
      </c>
      <c r="Y100" s="45"/>
      <c r="Z100" s="45"/>
    </row>
    <row r="101" spans="1:26" ht="12.75" customHeight="1">
      <c r="A101" s="12" t="s">
        <v>154</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5"/>
      <c r="U101" s="45">
        <v>0</v>
      </c>
      <c r="V101" s="45">
        <v>0</v>
      </c>
      <c r="W101" s="45">
        <v>0</v>
      </c>
      <c r="X101" s="45">
        <v>0</v>
      </c>
      <c r="Y101" s="45">
        <v>0</v>
      </c>
      <c r="Z101" s="45"/>
    </row>
    <row r="102" spans="1:26" ht="12.75" customHeight="1">
      <c r="A102" s="12" t="s">
        <v>154</v>
      </c>
      <c r="B102" s="12" t="str">
        <f t="shared" si="0"/>
        <v>Lizardman2</v>
      </c>
      <c r="C102" s="12" t="s">
        <v>689</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226</v>
      </c>
      <c r="P102" s="11" t="s">
        <v>227</v>
      </c>
      <c r="Q102" s="11" t="s">
        <v>226</v>
      </c>
      <c r="R102" s="11" t="s">
        <v>226</v>
      </c>
      <c r="S102" s="11">
        <v>0</v>
      </c>
      <c r="T102" s="45" t="str">
        <f t="shared" ref="T102:T106" si="37">IF(AND(R102&lt;&gt;0,S102&lt;&gt;0),"FULL",(IF(AND(R102=0,S102=0),"PM",IF(R102=0,"P",(IF(S102=0,"M"))))))</f>
        <v>M</v>
      </c>
      <c r="U102" s="45" t="s">
        <v>690</v>
      </c>
      <c r="V102" s="45" t="s">
        <v>691</v>
      </c>
      <c r="W102" s="45" t="s">
        <v>692</v>
      </c>
      <c r="X102" s="45" t="s">
        <v>693</v>
      </c>
      <c r="Y102" s="45"/>
      <c r="Z102" s="45"/>
    </row>
    <row r="103" spans="1:26" ht="12.75" customHeight="1">
      <c r="A103" s="12" t="s">
        <v>154</v>
      </c>
      <c r="B103" s="12" t="str">
        <f t="shared" si="0"/>
        <v>Lizardman3</v>
      </c>
      <c r="C103" s="12" t="s">
        <v>694</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226</v>
      </c>
      <c r="P103" s="11" t="s">
        <v>227</v>
      </c>
      <c r="Q103" s="11" t="s">
        <v>226</v>
      </c>
      <c r="R103" s="11" t="s">
        <v>226</v>
      </c>
      <c r="S103" s="11">
        <v>0</v>
      </c>
      <c r="T103" s="45" t="str">
        <f t="shared" si="37"/>
        <v>M</v>
      </c>
      <c r="U103" s="45" t="s">
        <v>695</v>
      </c>
      <c r="V103" s="45" t="s">
        <v>696</v>
      </c>
      <c r="W103" s="45" t="s">
        <v>697</v>
      </c>
      <c r="X103" s="45" t="s">
        <v>698</v>
      </c>
      <c r="Y103" s="45"/>
      <c r="Z103" s="45"/>
    </row>
    <row r="104" spans="1:26" ht="12.75" customHeight="1">
      <c r="A104" s="12" t="s">
        <v>154</v>
      </c>
      <c r="B104" s="12" t="str">
        <f t="shared" si="0"/>
        <v>Lizardman4</v>
      </c>
      <c r="C104" s="12" t="s">
        <v>699</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227</v>
      </c>
      <c r="P104" s="11" t="s">
        <v>226</v>
      </c>
      <c r="Q104" s="11" t="s">
        <v>227</v>
      </c>
      <c r="R104" s="11">
        <v>0</v>
      </c>
      <c r="S104" s="11">
        <v>0</v>
      </c>
      <c r="T104" s="45" t="str">
        <f t="shared" si="37"/>
        <v>PM</v>
      </c>
      <c r="U104" s="45" t="str">
        <f t="shared" ref="U104:Y104" si="38">""</f>
        <v/>
      </c>
      <c r="V104" s="45" t="str">
        <f t="shared" si="38"/>
        <v/>
      </c>
      <c r="W104" s="45" t="str">
        <f t="shared" si="38"/>
        <v/>
      </c>
      <c r="X104" s="45" t="str">
        <f t="shared" si="38"/>
        <v/>
      </c>
      <c r="Y104" s="45" t="str">
        <f t="shared" si="38"/>
        <v/>
      </c>
      <c r="Z104" s="45"/>
    </row>
    <row r="105" spans="1:26" ht="12.75" customHeight="1">
      <c r="A105" s="12" t="s">
        <v>154</v>
      </c>
      <c r="B105" s="12" t="str">
        <f t="shared" si="0"/>
        <v>Lizardman5</v>
      </c>
      <c r="C105" s="12" t="s">
        <v>700</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226</v>
      </c>
      <c r="P105" s="11" t="s">
        <v>226</v>
      </c>
      <c r="Q105" s="11" t="s">
        <v>227</v>
      </c>
      <c r="R105" s="237">
        <v>0</v>
      </c>
      <c r="S105" s="11">
        <v>0</v>
      </c>
      <c r="T105" s="45" t="str">
        <f t="shared" si="37"/>
        <v>PM</v>
      </c>
      <c r="U105" s="45" t="s">
        <v>701</v>
      </c>
      <c r="V105" s="45" t="s">
        <v>702</v>
      </c>
      <c r="W105" s="45" t="s">
        <v>703</v>
      </c>
      <c r="X105" s="45" t="s">
        <v>704</v>
      </c>
      <c r="Y105" s="45"/>
      <c r="Z105" s="45"/>
    </row>
    <row r="106" spans="1:26" ht="12.75" customHeight="1">
      <c r="A106" s="12" t="s">
        <v>154</v>
      </c>
      <c r="B106" s="12" t="str">
        <f t="shared" si="0"/>
        <v>Lizardman6</v>
      </c>
      <c r="C106" s="12" t="s">
        <v>705</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226</v>
      </c>
      <c r="P106" s="11" t="s">
        <v>227</v>
      </c>
      <c r="Q106" s="11" t="s">
        <v>226</v>
      </c>
      <c r="R106" s="11" t="s">
        <v>226</v>
      </c>
      <c r="S106" s="11">
        <v>0</v>
      </c>
      <c r="T106" s="45" t="str">
        <f t="shared" si="37"/>
        <v>M</v>
      </c>
      <c r="U106" s="45" t="s">
        <v>706</v>
      </c>
      <c r="V106" s="45" t="s">
        <v>707</v>
      </c>
      <c r="W106" s="45" t="s">
        <v>708</v>
      </c>
      <c r="X106" s="45" t="s">
        <v>709</v>
      </c>
      <c r="Y106" s="45"/>
      <c r="Z106" s="45"/>
    </row>
    <row r="107" spans="1:26" ht="12.75" customHeight="1">
      <c r="A107" s="12" t="s">
        <v>158</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5"/>
      <c r="U107" s="45">
        <v>0</v>
      </c>
      <c r="V107" s="45">
        <v>0</v>
      </c>
      <c r="W107" s="45">
        <v>0</v>
      </c>
      <c r="X107" s="45">
        <v>0</v>
      </c>
      <c r="Y107" s="45">
        <v>0</v>
      </c>
      <c r="Z107" s="45"/>
    </row>
    <row r="108" spans="1:26" ht="12.75" customHeight="1">
      <c r="A108" s="12" t="s">
        <v>158</v>
      </c>
      <c r="B108" s="12" t="str">
        <f t="shared" si="0"/>
        <v>Necromantic2</v>
      </c>
      <c r="C108" s="12" t="s">
        <v>710</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227</v>
      </c>
      <c r="P108" s="11" t="s">
        <v>226</v>
      </c>
      <c r="Q108" s="11" t="s">
        <v>226</v>
      </c>
      <c r="R108" s="237">
        <v>0</v>
      </c>
      <c r="S108" s="11">
        <v>0</v>
      </c>
      <c r="T108" s="45" t="str">
        <f t="shared" ref="T108:T114" si="40">IF(AND(R108&lt;&gt;0,S108&lt;&gt;0),"FULL",(IF(AND(R108=0,S108=0),"PM",IF(R108=0,"P",(IF(S108=0,"M"))))))</f>
        <v>PM</v>
      </c>
      <c r="U108" s="45" t="s">
        <v>378</v>
      </c>
      <c r="V108" s="45" t="s">
        <v>711</v>
      </c>
      <c r="W108" s="45" t="s">
        <v>378</v>
      </c>
      <c r="X108" s="45" t="s">
        <v>712</v>
      </c>
      <c r="Y108" s="45"/>
      <c r="Z108" s="45"/>
    </row>
    <row r="109" spans="1:26" ht="12.75" customHeight="1">
      <c r="A109" s="12" t="s">
        <v>158</v>
      </c>
      <c r="B109" s="12" t="str">
        <f t="shared" si="0"/>
        <v>Necromantic3</v>
      </c>
      <c r="C109" s="12" t="s">
        <v>713</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227</v>
      </c>
      <c r="P109" s="11" t="s">
        <v>227</v>
      </c>
      <c r="Q109" s="11" t="s">
        <v>226</v>
      </c>
      <c r="R109" s="11" t="s">
        <v>226</v>
      </c>
      <c r="S109" s="11">
        <v>0</v>
      </c>
      <c r="T109" s="45" t="str">
        <f t="shared" si="40"/>
        <v>M</v>
      </c>
      <c r="U109" s="45" t="s">
        <v>330</v>
      </c>
      <c r="V109" s="45" t="s">
        <v>406</v>
      </c>
      <c r="W109" s="45" t="s">
        <v>407</v>
      </c>
      <c r="X109" s="45" t="s">
        <v>408</v>
      </c>
      <c r="Y109" s="45"/>
      <c r="Z109" s="45"/>
    </row>
    <row r="110" spans="1:26" ht="12.75" customHeight="1">
      <c r="A110" s="12" t="s">
        <v>158</v>
      </c>
      <c r="B110" s="12" t="str">
        <f t="shared" si="0"/>
        <v>Necromantic4</v>
      </c>
      <c r="C110" s="12" t="s">
        <v>714</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227</v>
      </c>
      <c r="P110" s="11" t="s">
        <v>226</v>
      </c>
      <c r="Q110" s="11" t="s">
        <v>227</v>
      </c>
      <c r="R110" s="237">
        <v>0</v>
      </c>
      <c r="S110" s="11">
        <v>0</v>
      </c>
      <c r="T110" s="45" t="str">
        <f t="shared" si="40"/>
        <v>PM</v>
      </c>
      <c r="U110" s="45" t="s">
        <v>715</v>
      </c>
      <c r="V110" s="45" t="s">
        <v>716</v>
      </c>
      <c r="W110" s="45" t="s">
        <v>717</v>
      </c>
      <c r="X110" s="45" t="s">
        <v>718</v>
      </c>
      <c r="Y110" s="45"/>
      <c r="Z110" s="45"/>
    </row>
    <row r="111" spans="1:26" ht="12.75" customHeight="1">
      <c r="A111" s="12" t="s">
        <v>158</v>
      </c>
      <c r="B111" s="12" t="str">
        <f t="shared" si="0"/>
        <v>Necromantic5</v>
      </c>
      <c r="C111" s="12" t="s">
        <v>719</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227</v>
      </c>
      <c r="P111" s="11" t="s">
        <v>226</v>
      </c>
      <c r="Q111" s="11" t="s">
        <v>227</v>
      </c>
      <c r="R111" s="237">
        <v>0</v>
      </c>
      <c r="S111" s="11">
        <v>0</v>
      </c>
      <c r="T111" s="45" t="str">
        <f t="shared" si="40"/>
        <v>PM</v>
      </c>
      <c r="U111" s="45" t="s">
        <v>720</v>
      </c>
      <c r="V111" s="45" t="s">
        <v>721</v>
      </c>
      <c r="W111" s="45" t="s">
        <v>722</v>
      </c>
      <c r="X111" s="45" t="s">
        <v>723</v>
      </c>
      <c r="Y111" s="45"/>
      <c r="Z111" s="45"/>
    </row>
    <row r="112" spans="1:26" ht="12.75" customHeight="1">
      <c r="A112" s="12" t="s">
        <v>158</v>
      </c>
      <c r="B112" s="12" t="str">
        <f t="shared" si="0"/>
        <v>Necromantic6</v>
      </c>
      <c r="C112" s="12" t="s">
        <v>724</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227</v>
      </c>
      <c r="P112" s="11" t="s">
        <v>227</v>
      </c>
      <c r="Q112" s="11" t="s">
        <v>226</v>
      </c>
      <c r="R112" s="11" t="s">
        <v>226</v>
      </c>
      <c r="S112" s="11">
        <v>0</v>
      </c>
      <c r="T112" s="45" t="str">
        <f t="shared" si="40"/>
        <v>M</v>
      </c>
      <c r="U112" s="45" t="s">
        <v>725</v>
      </c>
      <c r="V112" s="45" t="s">
        <v>726</v>
      </c>
      <c r="W112" s="45" t="s">
        <v>727</v>
      </c>
      <c r="X112" s="45" t="s">
        <v>728</v>
      </c>
      <c r="Y112" s="45"/>
      <c r="Z112" s="45"/>
    </row>
    <row r="113" spans="1:26" ht="12.75" customHeight="1">
      <c r="A113" s="12" t="s">
        <v>158</v>
      </c>
      <c r="B113" s="12" t="str">
        <f t="shared" si="0"/>
        <v>Necromantic7</v>
      </c>
      <c r="C113" s="12" t="s">
        <v>729</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227</v>
      </c>
      <c r="P113" s="11" t="s">
        <v>226</v>
      </c>
      <c r="Q113" s="11" t="s">
        <v>226</v>
      </c>
      <c r="R113" s="237">
        <v>0</v>
      </c>
      <c r="S113" s="11">
        <v>0</v>
      </c>
      <c r="T113" s="45" t="str">
        <f t="shared" si="40"/>
        <v>PM</v>
      </c>
      <c r="U113" s="45" t="s">
        <v>378</v>
      </c>
      <c r="V113" s="45" t="s">
        <v>711</v>
      </c>
      <c r="W113" s="45" t="s">
        <v>378</v>
      </c>
      <c r="X113" s="45" t="s">
        <v>712</v>
      </c>
      <c r="Y113" s="45"/>
      <c r="Z113" s="45"/>
    </row>
    <row r="114" spans="1:26" ht="12.75" customHeight="1">
      <c r="A114" s="12" t="s">
        <v>158</v>
      </c>
      <c r="B114" s="12" t="str">
        <f t="shared" si="0"/>
        <v>Necromantic8</v>
      </c>
      <c r="C114" s="12" t="s">
        <v>730</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227</v>
      </c>
      <c r="P114" s="11" t="s">
        <v>226</v>
      </c>
      <c r="Q114" s="11" t="s">
        <v>226</v>
      </c>
      <c r="R114" s="237">
        <v>0</v>
      </c>
      <c r="S114" s="11">
        <v>0</v>
      </c>
      <c r="T114" s="45" t="str">
        <f t="shared" si="40"/>
        <v>PM</v>
      </c>
      <c r="U114" s="45" t="s">
        <v>731</v>
      </c>
      <c r="V114" s="45" t="s">
        <v>732</v>
      </c>
      <c r="W114" s="45" t="s">
        <v>733</v>
      </c>
      <c r="X114" s="45" t="s">
        <v>734</v>
      </c>
      <c r="Y114" s="45"/>
      <c r="Z114" s="45"/>
    </row>
    <row r="115" spans="1:26" ht="12.75" customHeight="1">
      <c r="A115" s="12" t="s">
        <v>163</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5"/>
      <c r="U115" s="45">
        <v>0</v>
      </c>
      <c r="V115" s="45">
        <v>0</v>
      </c>
      <c r="W115" s="45">
        <v>0</v>
      </c>
      <c r="X115" s="45">
        <v>0</v>
      </c>
      <c r="Y115" s="45">
        <v>0</v>
      </c>
      <c r="Z115" s="45"/>
    </row>
    <row r="116" spans="1:26" ht="12.75" customHeight="1">
      <c r="A116" s="12" t="s">
        <v>163</v>
      </c>
      <c r="B116" s="12" t="str">
        <f t="shared" si="0"/>
        <v>Norse2</v>
      </c>
      <c r="C116" s="12" t="s">
        <v>521</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227</v>
      </c>
      <c r="P116" s="11" t="s">
        <v>226</v>
      </c>
      <c r="Q116" s="11" t="s">
        <v>226</v>
      </c>
      <c r="R116" s="11">
        <v>0</v>
      </c>
      <c r="S116" s="11">
        <v>0</v>
      </c>
      <c r="T116" s="45" t="str">
        <f t="shared" ref="T116:T122" si="42">IF(AND(R116&lt;&gt;0,S116&lt;&gt;0),"FULL",(IF(AND(R116=0,S116=0),"PM",IF(R116=0,"P",(IF(S116=0,"M"))))))</f>
        <v>PM</v>
      </c>
      <c r="U116" s="45" t="s">
        <v>532</v>
      </c>
      <c r="V116" s="45" t="s">
        <v>533</v>
      </c>
      <c r="W116" s="45" t="s">
        <v>532</v>
      </c>
      <c r="X116" s="45" t="s">
        <v>534</v>
      </c>
      <c r="Y116" s="45"/>
      <c r="Z116" s="45"/>
    </row>
    <row r="117" spans="1:26" ht="12.75" customHeight="1">
      <c r="A117" s="12" t="s">
        <v>163</v>
      </c>
      <c r="B117" s="12" t="str">
        <f t="shared" si="0"/>
        <v>Norse3</v>
      </c>
      <c r="C117" s="12" t="s">
        <v>409</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227</v>
      </c>
      <c r="P117" s="11" t="s">
        <v>226</v>
      </c>
      <c r="Q117" s="11" t="s">
        <v>226</v>
      </c>
      <c r="R117" s="11" t="s">
        <v>227</v>
      </c>
      <c r="S117" s="11">
        <v>0</v>
      </c>
      <c r="T117" s="45" t="str">
        <f t="shared" si="42"/>
        <v>M</v>
      </c>
      <c r="U117" s="45" t="s">
        <v>735</v>
      </c>
      <c r="V117" s="45" t="s">
        <v>736</v>
      </c>
      <c r="W117" s="45" t="s">
        <v>737</v>
      </c>
      <c r="X117" s="45" t="s">
        <v>738</v>
      </c>
      <c r="Y117" s="45"/>
      <c r="Z117" s="45"/>
    </row>
    <row r="118" spans="1:26" ht="12.75" customHeight="1">
      <c r="A118" s="12" t="s">
        <v>163</v>
      </c>
      <c r="B118" s="12" t="str">
        <f t="shared" si="0"/>
        <v>Norse4</v>
      </c>
      <c r="C118" s="12" t="s">
        <v>414</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227</v>
      </c>
      <c r="P118" s="11" t="s">
        <v>227</v>
      </c>
      <c r="Q118" s="11" t="s">
        <v>226</v>
      </c>
      <c r="R118" s="11">
        <v>0</v>
      </c>
      <c r="S118" s="11">
        <v>0</v>
      </c>
      <c r="T118" s="45" t="str">
        <f t="shared" si="42"/>
        <v>PM</v>
      </c>
      <c r="U118" s="45" t="s">
        <v>739</v>
      </c>
      <c r="V118" s="45" t="s">
        <v>740</v>
      </c>
      <c r="W118" s="45" t="s">
        <v>741</v>
      </c>
      <c r="X118" s="45" t="s">
        <v>742</v>
      </c>
      <c r="Y118" s="45"/>
      <c r="Z118" s="45"/>
    </row>
    <row r="119" spans="1:26" ht="12.75" customHeight="1">
      <c r="A119" s="12" t="s">
        <v>163</v>
      </c>
      <c r="B119" s="12" t="str">
        <f t="shared" si="0"/>
        <v>Norse5</v>
      </c>
      <c r="C119" s="12" t="s">
        <v>743</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227</v>
      </c>
      <c r="P119" s="11" t="s">
        <v>226</v>
      </c>
      <c r="Q119" s="11" t="s">
        <v>227</v>
      </c>
      <c r="R119" s="11">
        <v>0</v>
      </c>
      <c r="S119" s="11">
        <v>0</v>
      </c>
      <c r="T119" s="45" t="str">
        <f t="shared" si="42"/>
        <v>PM</v>
      </c>
      <c r="U119" s="45" t="s">
        <v>744</v>
      </c>
      <c r="V119" s="45" t="s">
        <v>745</v>
      </c>
      <c r="W119" s="45" t="s">
        <v>746</v>
      </c>
      <c r="X119" s="45" t="s">
        <v>747</v>
      </c>
      <c r="Y119" s="45"/>
      <c r="Z119" s="45"/>
    </row>
    <row r="120" spans="1:26" ht="12.75" customHeight="1">
      <c r="A120" s="12" t="s">
        <v>163</v>
      </c>
      <c r="B120" s="12" t="str">
        <f t="shared" si="0"/>
        <v>Norse6</v>
      </c>
      <c r="C120" s="12" t="s">
        <v>748</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227</v>
      </c>
      <c r="P120" s="11" t="s">
        <v>226</v>
      </c>
      <c r="Q120" s="11" t="s">
        <v>227</v>
      </c>
      <c r="R120" s="237">
        <v>0</v>
      </c>
      <c r="S120" s="11">
        <v>0</v>
      </c>
      <c r="T120" s="45" t="str">
        <f t="shared" si="42"/>
        <v>PM</v>
      </c>
      <c r="U120" s="45" t="s">
        <v>381</v>
      </c>
      <c r="V120" s="45" t="s">
        <v>670</v>
      </c>
      <c r="W120" s="45" t="s">
        <v>671</v>
      </c>
      <c r="X120" s="45" t="s">
        <v>672</v>
      </c>
      <c r="Y120" s="45"/>
      <c r="Z120" s="45"/>
    </row>
    <row r="121" spans="1:26" ht="12.75" customHeight="1">
      <c r="A121" s="12" t="s">
        <v>163</v>
      </c>
      <c r="B121" s="12" t="str">
        <f t="shared" si="0"/>
        <v>Norse7</v>
      </c>
      <c r="C121" s="12" t="s">
        <v>749</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226</v>
      </c>
      <c r="P121" s="11" t="s">
        <v>226</v>
      </c>
      <c r="Q121" s="11" t="s">
        <v>227</v>
      </c>
      <c r="R121" s="237">
        <v>0</v>
      </c>
      <c r="S121" s="11">
        <v>0</v>
      </c>
      <c r="T121" s="45" t="str">
        <f t="shared" si="42"/>
        <v>PM</v>
      </c>
      <c r="U121" s="45" t="s">
        <v>750</v>
      </c>
      <c r="V121" s="45" t="s">
        <v>751</v>
      </c>
      <c r="W121" s="45" t="s">
        <v>752</v>
      </c>
      <c r="X121" s="45" t="s">
        <v>753</v>
      </c>
      <c r="Y121" s="45"/>
      <c r="Z121" s="45"/>
    </row>
    <row r="122" spans="1:26" ht="12.75" customHeight="1">
      <c r="A122" s="12" t="s">
        <v>163</v>
      </c>
      <c r="B122" s="12" t="str">
        <f t="shared" si="0"/>
        <v>Norse8</v>
      </c>
      <c r="C122" s="12" t="s">
        <v>647</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227</v>
      </c>
      <c r="P122" s="11" t="s">
        <v>226</v>
      </c>
      <c r="Q122" s="11" t="s">
        <v>226</v>
      </c>
      <c r="R122" s="11">
        <v>0</v>
      </c>
      <c r="S122" s="11">
        <v>0</v>
      </c>
      <c r="T122" s="45" t="str">
        <f t="shared" si="42"/>
        <v>PM</v>
      </c>
      <c r="U122" s="45" t="s">
        <v>754</v>
      </c>
      <c r="V122" s="45" t="s">
        <v>755</v>
      </c>
      <c r="W122" s="45" t="s">
        <v>756</v>
      </c>
      <c r="X122" s="45" t="s">
        <v>757</v>
      </c>
      <c r="Y122" s="45"/>
      <c r="Z122" s="45"/>
    </row>
    <row r="123" spans="1:26" ht="12.75" customHeight="1">
      <c r="A123" s="12" t="s">
        <v>168</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5"/>
      <c r="U123" s="45">
        <v>0</v>
      </c>
      <c r="V123" s="45">
        <v>0</v>
      </c>
      <c r="W123" s="45">
        <v>0</v>
      </c>
      <c r="X123" s="45">
        <v>0</v>
      </c>
      <c r="Y123" s="45">
        <v>0</v>
      </c>
      <c r="Z123" s="45"/>
    </row>
    <row r="124" spans="1:26" ht="12.75" customHeight="1">
      <c r="A124" s="12" t="s">
        <v>168</v>
      </c>
      <c r="B124" s="12" t="str">
        <f t="shared" si="0"/>
        <v>Nurgle2</v>
      </c>
      <c r="C124" s="12" t="s">
        <v>758</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227</v>
      </c>
      <c r="P124" s="11" t="s">
        <v>226</v>
      </c>
      <c r="Q124" s="11" t="s">
        <v>226</v>
      </c>
      <c r="R124" s="11">
        <v>0</v>
      </c>
      <c r="S124" s="11" t="s">
        <v>227</v>
      </c>
      <c r="T124" s="45" t="str">
        <f t="shared" ref="T124:T128" si="44">IF(AND(R124&lt;&gt;0,S124&lt;&gt;0),"FULL",(IF(AND(R124=0,S124=0),"PM",IF(R124=0,"P",(IF(S124=0,"M"))))))</f>
        <v>P</v>
      </c>
      <c r="U124" s="45" t="s">
        <v>759</v>
      </c>
      <c r="V124" s="45" t="s">
        <v>760</v>
      </c>
      <c r="W124" s="45" t="s">
        <v>761</v>
      </c>
      <c r="X124" s="45" t="s">
        <v>762</v>
      </c>
      <c r="Y124" s="45"/>
      <c r="Z124" s="45"/>
    </row>
    <row r="125" spans="1:26" ht="12.75" customHeight="1">
      <c r="A125" s="12" t="s">
        <v>168</v>
      </c>
      <c r="B125" s="12" t="str">
        <f t="shared" si="0"/>
        <v>Nurgle3</v>
      </c>
      <c r="C125" s="12" t="s">
        <v>763</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227</v>
      </c>
      <c r="P125" s="11" t="s">
        <v>226</v>
      </c>
      <c r="Q125" s="11" t="s">
        <v>227</v>
      </c>
      <c r="R125" s="11" t="s">
        <v>226</v>
      </c>
      <c r="S125" s="11" t="s">
        <v>227</v>
      </c>
      <c r="T125" s="45" t="str">
        <f t="shared" si="44"/>
        <v>FULL</v>
      </c>
      <c r="U125" s="45" t="s">
        <v>764</v>
      </c>
      <c r="V125" s="45" t="s">
        <v>765</v>
      </c>
      <c r="W125" s="45" t="s">
        <v>766</v>
      </c>
      <c r="X125" s="45" t="s">
        <v>767</v>
      </c>
      <c r="Y125" s="45"/>
      <c r="Z125" s="45"/>
    </row>
    <row r="126" spans="1:26" ht="12.75" customHeight="1">
      <c r="A126" s="12" t="s">
        <v>168</v>
      </c>
      <c r="B126" s="12" t="str">
        <f t="shared" si="0"/>
        <v>Nurgle4</v>
      </c>
      <c r="C126" s="12" t="s">
        <v>768</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227</v>
      </c>
      <c r="P126" s="11" t="s">
        <v>226</v>
      </c>
      <c r="Q126" s="11" t="s">
        <v>227</v>
      </c>
      <c r="R126" s="11">
        <v>0</v>
      </c>
      <c r="S126" s="11" t="s">
        <v>227</v>
      </c>
      <c r="T126" s="45" t="str">
        <f t="shared" si="44"/>
        <v>P</v>
      </c>
      <c r="U126" s="45" t="s">
        <v>769</v>
      </c>
      <c r="V126" s="45" t="s">
        <v>770</v>
      </c>
      <c r="W126" s="45" t="s">
        <v>771</v>
      </c>
      <c r="X126" s="45" t="s">
        <v>772</v>
      </c>
      <c r="Y126" s="45"/>
      <c r="Z126" s="45"/>
    </row>
    <row r="127" spans="1:26" ht="12.75" customHeight="1">
      <c r="A127" s="12" t="s">
        <v>168</v>
      </c>
      <c r="B127" s="12" t="str">
        <f t="shared" si="0"/>
        <v>Nurgle5</v>
      </c>
      <c r="C127" s="12" t="s">
        <v>773</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226</v>
      </c>
      <c r="P127" s="11" t="s">
        <v>226</v>
      </c>
      <c r="Q127" s="11" t="s">
        <v>227</v>
      </c>
      <c r="R127" s="237">
        <v>0</v>
      </c>
      <c r="S127" s="11" t="s">
        <v>226</v>
      </c>
      <c r="T127" s="45" t="str">
        <f t="shared" si="44"/>
        <v>P</v>
      </c>
      <c r="U127" s="45" t="s">
        <v>774</v>
      </c>
      <c r="V127" s="45" t="s">
        <v>775</v>
      </c>
      <c r="W127" s="45" t="s">
        <v>776</v>
      </c>
      <c r="X127" s="45" t="s">
        <v>777</v>
      </c>
      <c r="Y127" s="45"/>
      <c r="Z127" s="45"/>
    </row>
    <row r="128" spans="1:26" ht="12.75" customHeight="1">
      <c r="A128" s="12" t="s">
        <v>168</v>
      </c>
      <c r="B128" s="12" t="str">
        <f t="shared" si="0"/>
        <v>Nurgle6</v>
      </c>
      <c r="C128" s="12" t="s">
        <v>778</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227</v>
      </c>
      <c r="P128" s="11" t="s">
        <v>226</v>
      </c>
      <c r="Q128" s="11" t="s">
        <v>226</v>
      </c>
      <c r="R128" s="11">
        <v>0</v>
      </c>
      <c r="S128" s="11" t="s">
        <v>227</v>
      </c>
      <c r="T128" s="45" t="str">
        <f t="shared" si="44"/>
        <v>P</v>
      </c>
      <c r="U128" s="45" t="s">
        <v>779</v>
      </c>
      <c r="V128" s="12" t="s">
        <v>780</v>
      </c>
      <c r="W128" s="45" t="s">
        <v>781</v>
      </c>
      <c r="X128" s="45" t="s">
        <v>782</v>
      </c>
      <c r="Y128" s="45"/>
      <c r="Z128" s="45"/>
    </row>
    <row r="129" spans="1:26" ht="12.75" customHeight="1">
      <c r="A129" s="12" t="s">
        <v>175</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5"/>
      <c r="U129" s="45">
        <v>0</v>
      </c>
      <c r="V129" s="45">
        <v>0</v>
      </c>
      <c r="W129" s="45">
        <v>0</v>
      </c>
      <c r="X129" s="45">
        <v>0</v>
      </c>
      <c r="Y129" s="45">
        <v>0</v>
      </c>
      <c r="Z129" s="45"/>
    </row>
    <row r="130" spans="1:26" ht="12.75" customHeight="1">
      <c r="A130" s="12" t="s">
        <v>175</v>
      </c>
      <c r="B130" s="12" t="str">
        <f t="shared" si="0"/>
        <v>Ogre2</v>
      </c>
      <c r="C130" s="12" t="s">
        <v>783</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226</v>
      </c>
      <c r="P130" s="11" t="s">
        <v>227</v>
      </c>
      <c r="Q130" s="11" t="s">
        <v>226</v>
      </c>
      <c r="R130" s="11">
        <v>0</v>
      </c>
      <c r="S130" s="11">
        <v>0</v>
      </c>
      <c r="T130" s="45" t="str">
        <f t="shared" ref="T130:T133" si="45">IF(AND(R130&lt;&gt;0,S130&lt;&gt;0),"FULL",(IF(AND(R130=0,S130=0),"PM",IF(R130=0,"P",(IF(S130=0,"M"))))))</f>
        <v>PM</v>
      </c>
      <c r="U130" s="45" t="s">
        <v>784</v>
      </c>
      <c r="V130" s="45" t="s">
        <v>785</v>
      </c>
      <c r="W130" s="45" t="s">
        <v>786</v>
      </c>
      <c r="X130" s="45" t="s">
        <v>787</v>
      </c>
      <c r="Y130" s="45"/>
      <c r="Z130" s="45"/>
    </row>
    <row r="131" spans="1:26" ht="12.75" customHeight="1">
      <c r="A131" s="12" t="s">
        <v>175</v>
      </c>
      <c r="B131" s="12" t="str">
        <f t="shared" si="0"/>
        <v>Ogre3</v>
      </c>
      <c r="C131" s="12" t="s">
        <v>788</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226</v>
      </c>
      <c r="P131" s="11" t="s">
        <v>226</v>
      </c>
      <c r="Q131" s="11" t="s">
        <v>227</v>
      </c>
      <c r="R131" s="11" t="s">
        <v>226</v>
      </c>
      <c r="S131" s="11">
        <v>0</v>
      </c>
      <c r="T131" s="45" t="str">
        <f t="shared" si="45"/>
        <v>M</v>
      </c>
      <c r="U131" s="45" t="s">
        <v>789</v>
      </c>
      <c r="V131" s="12" t="s">
        <v>790</v>
      </c>
      <c r="W131" s="45" t="s">
        <v>791</v>
      </c>
      <c r="X131" s="45" t="s">
        <v>792</v>
      </c>
      <c r="Y131" s="45"/>
      <c r="Z131" s="45"/>
    </row>
    <row r="132" spans="1:26" ht="12.75" customHeight="1">
      <c r="A132" s="12" t="s">
        <v>175</v>
      </c>
      <c r="B132" s="12" t="str">
        <f t="shared" si="0"/>
        <v>Ogre4</v>
      </c>
      <c r="C132" s="12" t="s">
        <v>793</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226</v>
      </c>
      <c r="P132" s="11" t="s">
        <v>226</v>
      </c>
      <c r="Q132" s="11" t="s">
        <v>227</v>
      </c>
      <c r="R132" s="11" t="s">
        <v>227</v>
      </c>
      <c r="S132" s="11">
        <v>0</v>
      </c>
      <c r="T132" s="45" t="str">
        <f t="shared" si="45"/>
        <v>M</v>
      </c>
      <c r="U132" s="45" t="s">
        <v>794</v>
      </c>
      <c r="V132" s="12" t="s">
        <v>795</v>
      </c>
      <c r="W132" s="45" t="s">
        <v>796</v>
      </c>
      <c r="X132" s="45" t="s">
        <v>797</v>
      </c>
      <c r="Y132" s="45"/>
      <c r="Z132" s="45"/>
    </row>
    <row r="133" spans="1:26" ht="12.75" customHeight="1">
      <c r="A133" s="12" t="s">
        <v>175</v>
      </c>
      <c r="B133" s="12" t="str">
        <f t="shared" si="0"/>
        <v>Ogre5</v>
      </c>
      <c r="C133" s="12" t="s">
        <v>798</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226</v>
      </c>
      <c r="P133" s="11" t="s">
        <v>227</v>
      </c>
      <c r="Q133" s="11" t="s">
        <v>226</v>
      </c>
      <c r="R133" s="11">
        <v>0</v>
      </c>
      <c r="S133" s="11">
        <v>0</v>
      </c>
      <c r="T133" s="45" t="str">
        <f t="shared" si="45"/>
        <v>PM</v>
      </c>
      <c r="U133" s="45" t="s">
        <v>799</v>
      </c>
      <c r="V133" s="12" t="s">
        <v>800</v>
      </c>
      <c r="W133" s="45" t="s">
        <v>801</v>
      </c>
      <c r="X133" s="45" t="s">
        <v>802</v>
      </c>
      <c r="Y133" s="45"/>
      <c r="Z133" s="45"/>
    </row>
    <row r="134" spans="1:26" ht="12.75" customHeight="1">
      <c r="A134" s="12" t="s">
        <v>181</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5"/>
      <c r="U134" s="45">
        <v>0</v>
      </c>
      <c r="V134" s="45">
        <v>0</v>
      </c>
      <c r="W134" s="45">
        <v>0</v>
      </c>
      <c r="X134" s="45">
        <v>0</v>
      </c>
      <c r="Y134" s="45">
        <v>0</v>
      </c>
      <c r="Z134" s="45"/>
    </row>
    <row r="135" spans="1:26" ht="12.75" customHeight="1">
      <c r="A135" s="12" t="s">
        <v>181</v>
      </c>
      <c r="B135" s="12" t="str">
        <f t="shared" si="0"/>
        <v>Old World Alliance2</v>
      </c>
      <c r="C135" s="12" t="s">
        <v>521</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227</v>
      </c>
      <c r="P135" s="11" t="s">
        <v>226</v>
      </c>
      <c r="Q135" s="11" t="s">
        <v>226</v>
      </c>
      <c r="R135" s="11">
        <v>0</v>
      </c>
      <c r="S135" s="11">
        <v>0</v>
      </c>
      <c r="T135" s="45" t="str">
        <f t="shared" ref="T135:T146" si="48">IF(AND(R135&lt;&gt;0,S135&lt;&gt;0),"FULL",(IF(AND(R135=0,S135=0),"PM",IF(R135=0,"P",(IF(S135=0,"M"))))))</f>
        <v>PM</v>
      </c>
      <c r="U135" s="45" t="str">
        <f t="shared" ref="U135:Y135" si="49">""</f>
        <v/>
      </c>
      <c r="V135" s="45" t="str">
        <f t="shared" si="49"/>
        <v/>
      </c>
      <c r="W135" s="45" t="str">
        <f t="shared" si="49"/>
        <v/>
      </c>
      <c r="X135" s="45" t="str">
        <f t="shared" si="49"/>
        <v/>
      </c>
      <c r="Y135" s="45" t="str">
        <f t="shared" si="49"/>
        <v/>
      </c>
      <c r="Z135" s="45"/>
    </row>
    <row r="136" spans="1:26" ht="12.75" customHeight="1">
      <c r="A136" s="12" t="s">
        <v>181</v>
      </c>
      <c r="B136" s="12" t="str">
        <f t="shared" si="0"/>
        <v>Old World Alliance3</v>
      </c>
      <c r="C136" s="12" t="s">
        <v>414</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227</v>
      </c>
      <c r="P136" s="11" t="s">
        <v>227</v>
      </c>
      <c r="Q136" s="11" t="s">
        <v>226</v>
      </c>
      <c r="R136" s="11">
        <v>0</v>
      </c>
      <c r="S136" s="11">
        <v>0</v>
      </c>
      <c r="T136" s="45" t="str">
        <f t="shared" si="48"/>
        <v>PM</v>
      </c>
      <c r="U136" s="45" t="s">
        <v>803</v>
      </c>
      <c r="V136" s="12" t="s">
        <v>804</v>
      </c>
      <c r="W136" s="45" t="s">
        <v>805</v>
      </c>
      <c r="X136" s="45" t="s">
        <v>806</v>
      </c>
      <c r="Y136" s="45"/>
      <c r="Z136" s="45"/>
    </row>
    <row r="137" spans="1:26" ht="12.75" customHeight="1">
      <c r="A137" s="12" t="s">
        <v>181</v>
      </c>
      <c r="B137" s="12" t="str">
        <f t="shared" si="0"/>
        <v>Old World Alliance4</v>
      </c>
      <c r="C137" s="12" t="s">
        <v>409</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227</v>
      </c>
      <c r="P137" s="11" t="s">
        <v>226</v>
      </c>
      <c r="Q137" s="11" t="s">
        <v>226</v>
      </c>
      <c r="R137" s="11" t="s">
        <v>227</v>
      </c>
      <c r="S137" s="11">
        <v>0</v>
      </c>
      <c r="T137" s="45" t="str">
        <f t="shared" si="48"/>
        <v>M</v>
      </c>
      <c r="U137" s="45" t="s">
        <v>807</v>
      </c>
      <c r="V137" s="12" t="s">
        <v>808</v>
      </c>
      <c r="W137" s="45" t="s">
        <v>809</v>
      </c>
      <c r="X137" s="45" t="s">
        <v>810</v>
      </c>
      <c r="Y137" s="45"/>
      <c r="Z137" s="45"/>
    </row>
    <row r="138" spans="1:26" ht="12.75" customHeight="1">
      <c r="A138" s="12" t="s">
        <v>181</v>
      </c>
      <c r="B138" s="12" t="str">
        <f t="shared" si="0"/>
        <v>Old World Alliance5</v>
      </c>
      <c r="C138" s="12" t="s">
        <v>419</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227</v>
      </c>
      <c r="P138" s="11" t="s">
        <v>226</v>
      </c>
      <c r="Q138" s="11" t="s">
        <v>227</v>
      </c>
      <c r="R138" s="11">
        <v>0</v>
      </c>
      <c r="S138" s="11">
        <v>0</v>
      </c>
      <c r="T138" s="45" t="str">
        <f t="shared" si="48"/>
        <v>PM</v>
      </c>
      <c r="U138" s="45" t="s">
        <v>811</v>
      </c>
      <c r="V138" s="12" t="s">
        <v>812</v>
      </c>
      <c r="W138" s="45" t="s">
        <v>813</v>
      </c>
      <c r="X138" s="45" t="s">
        <v>814</v>
      </c>
      <c r="Y138" s="45"/>
      <c r="Z138" s="45"/>
    </row>
    <row r="139" spans="1:26" ht="12.75" customHeight="1">
      <c r="A139" s="12" t="s">
        <v>181</v>
      </c>
      <c r="B139" s="12" t="str">
        <f t="shared" si="0"/>
        <v>Old World Alliance6</v>
      </c>
      <c r="C139" s="12" t="s">
        <v>614</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226</v>
      </c>
      <c r="P139" s="11" t="s">
        <v>227</v>
      </c>
      <c r="Q139" s="11" t="s">
        <v>226</v>
      </c>
      <c r="R139" s="11">
        <v>0</v>
      </c>
      <c r="S139" s="11">
        <v>0</v>
      </c>
      <c r="T139" s="45" t="str">
        <f t="shared" si="48"/>
        <v>PM</v>
      </c>
      <c r="U139" s="45" t="s">
        <v>815</v>
      </c>
      <c r="V139" s="12" t="s">
        <v>816</v>
      </c>
      <c r="W139" s="45" t="s">
        <v>817</v>
      </c>
      <c r="X139" s="45" t="s">
        <v>818</v>
      </c>
      <c r="Y139" s="45"/>
      <c r="Z139" s="45"/>
    </row>
    <row r="140" spans="1:26" ht="12.75" customHeight="1">
      <c r="A140" s="12" t="s">
        <v>181</v>
      </c>
      <c r="B140" s="12" t="str">
        <f t="shared" si="0"/>
        <v>Old World Alliance7</v>
      </c>
      <c r="C140" s="12" t="s">
        <v>819</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36">
        <v>2</v>
      </c>
      <c r="N140" s="236">
        <v>0</v>
      </c>
      <c r="O140" s="11" t="s">
        <v>227</v>
      </c>
      <c r="P140" s="11" t="s">
        <v>226</v>
      </c>
      <c r="Q140" s="11" t="s">
        <v>227</v>
      </c>
      <c r="R140" s="11">
        <v>0</v>
      </c>
      <c r="S140" s="11">
        <v>0</v>
      </c>
      <c r="T140" s="45" t="str">
        <f t="shared" si="48"/>
        <v>PM</v>
      </c>
      <c r="U140" s="45" t="s">
        <v>820</v>
      </c>
      <c r="V140" s="12" t="s">
        <v>821</v>
      </c>
      <c r="W140" s="45" t="s">
        <v>822</v>
      </c>
      <c r="X140" s="45" t="s">
        <v>823</v>
      </c>
      <c r="Y140" s="45"/>
      <c r="Z140" s="45"/>
    </row>
    <row r="141" spans="1:26" ht="12.75" customHeight="1">
      <c r="A141" s="12" t="s">
        <v>181</v>
      </c>
      <c r="B141" s="12" t="str">
        <f t="shared" si="0"/>
        <v>Old World Alliance8</v>
      </c>
      <c r="C141" s="12" t="s">
        <v>824</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227</v>
      </c>
      <c r="P141" s="11" t="s">
        <v>226</v>
      </c>
      <c r="Q141" s="11" t="s">
        <v>226</v>
      </c>
      <c r="R141" s="11" t="s">
        <v>227</v>
      </c>
      <c r="S141" s="11">
        <v>0</v>
      </c>
      <c r="T141" s="45" t="str">
        <f t="shared" si="48"/>
        <v>M</v>
      </c>
      <c r="U141" s="45" t="s">
        <v>825</v>
      </c>
      <c r="V141" s="12" t="s">
        <v>826</v>
      </c>
      <c r="W141" s="45" t="s">
        <v>827</v>
      </c>
      <c r="X141" s="45" t="s">
        <v>828</v>
      </c>
      <c r="Y141" s="45"/>
      <c r="Z141" s="45"/>
    </row>
    <row r="142" spans="1:26" ht="12.75" customHeight="1">
      <c r="A142" s="12" t="s">
        <v>181</v>
      </c>
      <c r="B142" s="12" t="str">
        <f t="shared" si="0"/>
        <v>Old World Alliance9</v>
      </c>
      <c r="C142" s="12" t="s">
        <v>829</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227</v>
      </c>
      <c r="P142" s="11" t="s">
        <v>226</v>
      </c>
      <c r="Q142" s="11" t="s">
        <v>227</v>
      </c>
      <c r="R142" s="11">
        <v>0</v>
      </c>
      <c r="S142" s="11">
        <v>0</v>
      </c>
      <c r="T142" s="45" t="str">
        <f t="shared" si="48"/>
        <v>PM</v>
      </c>
      <c r="U142" s="45" t="s">
        <v>830</v>
      </c>
      <c r="V142" s="12" t="s">
        <v>831</v>
      </c>
      <c r="W142" s="45" t="s">
        <v>832</v>
      </c>
      <c r="X142" s="45" t="s">
        <v>833</v>
      </c>
      <c r="Y142" s="45"/>
      <c r="Z142" s="45"/>
    </row>
    <row r="143" spans="1:26" ht="12.75" customHeight="1">
      <c r="A143" s="12" t="s">
        <v>181</v>
      </c>
      <c r="B143" s="12" t="str">
        <f t="shared" si="0"/>
        <v>Old World Alliance10</v>
      </c>
      <c r="C143" s="12" t="s">
        <v>834</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227</v>
      </c>
      <c r="P143" s="11" t="s">
        <v>226</v>
      </c>
      <c r="Q143" s="11" t="s">
        <v>227</v>
      </c>
      <c r="R143" s="237">
        <v>0</v>
      </c>
      <c r="S143" s="11">
        <v>0</v>
      </c>
      <c r="T143" s="45" t="str">
        <f t="shared" si="48"/>
        <v>PM</v>
      </c>
      <c r="U143" s="45" t="s">
        <v>835</v>
      </c>
      <c r="V143" s="45" t="s">
        <v>836</v>
      </c>
      <c r="W143" s="45" t="s">
        <v>837</v>
      </c>
      <c r="X143" s="45" t="s">
        <v>838</v>
      </c>
      <c r="Y143" s="45"/>
      <c r="Z143" s="45"/>
    </row>
    <row r="144" spans="1:26" ht="12.75" customHeight="1">
      <c r="A144" s="12" t="s">
        <v>181</v>
      </c>
      <c r="B144" s="12" t="str">
        <f t="shared" si="0"/>
        <v>Old World Alliance11</v>
      </c>
      <c r="C144" s="12" t="s">
        <v>175</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226</v>
      </c>
      <c r="P144" s="11" t="s">
        <v>226</v>
      </c>
      <c r="Q144" s="11" t="s">
        <v>227</v>
      </c>
      <c r="R144" s="11">
        <v>0</v>
      </c>
      <c r="S144" s="11">
        <v>0</v>
      </c>
      <c r="T144" s="45" t="str">
        <f t="shared" si="48"/>
        <v>PM</v>
      </c>
      <c r="U144" s="45" t="s">
        <v>459</v>
      </c>
      <c r="V144" s="45" t="s">
        <v>460</v>
      </c>
      <c r="W144" s="45" t="s">
        <v>461</v>
      </c>
      <c r="X144" s="45" t="s">
        <v>462</v>
      </c>
      <c r="Y144" s="45"/>
      <c r="Z144" s="45"/>
    </row>
    <row r="145" spans="1:26" ht="12.75" customHeight="1">
      <c r="A145" s="12" t="s">
        <v>181</v>
      </c>
      <c r="B145" s="12" t="str">
        <f t="shared" si="0"/>
        <v>Old World Alliance12</v>
      </c>
      <c r="C145" s="12" t="s">
        <v>625</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226</v>
      </c>
      <c r="P145" s="11" t="s">
        <v>226</v>
      </c>
      <c r="Q145" s="11" t="s">
        <v>227</v>
      </c>
      <c r="R145" s="11" t="s">
        <v>226</v>
      </c>
      <c r="S145" s="11">
        <v>0</v>
      </c>
      <c r="T145" s="45" t="str">
        <f t="shared" si="48"/>
        <v>M</v>
      </c>
      <c r="U145" s="45" t="s">
        <v>839</v>
      </c>
      <c r="V145" s="45" t="s">
        <v>840</v>
      </c>
      <c r="W145" s="45" t="s">
        <v>841</v>
      </c>
      <c r="X145" s="45" t="s">
        <v>842</v>
      </c>
      <c r="Y145" s="45"/>
      <c r="Z145" s="45"/>
    </row>
    <row r="146" spans="1:26" ht="12.75" customHeight="1">
      <c r="A146" s="12" t="s">
        <v>181</v>
      </c>
      <c r="B146" s="12" t="str">
        <f t="shared" si="0"/>
        <v>Old World Alliance13</v>
      </c>
      <c r="C146" s="12" t="s">
        <v>647</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227</v>
      </c>
      <c r="P146" s="11" t="s">
        <v>226</v>
      </c>
      <c r="Q146" s="11" t="s">
        <v>226</v>
      </c>
      <c r="R146" s="11">
        <v>0</v>
      </c>
      <c r="S146" s="11">
        <v>0</v>
      </c>
      <c r="T146" s="45" t="str">
        <f t="shared" si="48"/>
        <v>PM</v>
      </c>
      <c r="U146" s="45" t="s">
        <v>490</v>
      </c>
      <c r="V146" s="45" t="s">
        <v>491</v>
      </c>
      <c r="W146" s="45" t="s">
        <v>492</v>
      </c>
      <c r="X146" s="45" t="s">
        <v>493</v>
      </c>
      <c r="Y146" s="45"/>
      <c r="Z146" s="45"/>
    </row>
    <row r="147" spans="1:26" ht="12.75" customHeight="1">
      <c r="A147" s="12" t="s">
        <v>184</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5"/>
      <c r="U147" s="45">
        <v>0</v>
      </c>
      <c r="V147" s="45">
        <v>0</v>
      </c>
      <c r="W147" s="45">
        <v>0</v>
      </c>
      <c r="X147" s="45">
        <v>0</v>
      </c>
      <c r="Y147" s="45">
        <v>0</v>
      </c>
      <c r="Z147" s="45"/>
    </row>
    <row r="148" spans="1:26" ht="12.75" customHeight="1">
      <c r="A148" s="12" t="s">
        <v>184</v>
      </c>
      <c r="B148" s="12" t="str">
        <f t="shared" si="0"/>
        <v>Orc2</v>
      </c>
      <c r="C148" s="12" t="s">
        <v>521</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227</v>
      </c>
      <c r="P148" s="11" t="s">
        <v>226</v>
      </c>
      <c r="Q148" s="11" t="s">
        <v>226</v>
      </c>
      <c r="R148" s="11">
        <v>0</v>
      </c>
      <c r="S148" s="11">
        <v>0</v>
      </c>
      <c r="T148" s="45" t="str">
        <f t="shared" ref="T148:T154" si="51">IF(AND(R148&lt;&gt;0,S148&lt;&gt;0),"FULL",(IF(AND(R148=0,S148=0),"PM",IF(R148=0,"P",(IF(S148=0,"M"))))))</f>
        <v>PM</v>
      </c>
      <c r="U148" s="45" t="s">
        <v>843</v>
      </c>
      <c r="V148" s="45" t="s">
        <v>844</v>
      </c>
      <c r="W148" s="45" t="s">
        <v>845</v>
      </c>
      <c r="X148" s="45" t="s">
        <v>846</v>
      </c>
      <c r="Y148" s="45"/>
      <c r="Z148" s="45"/>
    </row>
    <row r="149" spans="1:26" ht="12.75" customHeight="1">
      <c r="A149" s="12" t="s">
        <v>184</v>
      </c>
      <c r="B149" s="12" t="str">
        <f t="shared" si="0"/>
        <v>Orc3</v>
      </c>
      <c r="C149" s="12" t="s">
        <v>847</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226</v>
      </c>
      <c r="P149" s="11" t="s">
        <v>227</v>
      </c>
      <c r="Q149" s="11" t="s">
        <v>226</v>
      </c>
      <c r="R149" s="11">
        <v>0</v>
      </c>
      <c r="S149" s="11">
        <v>0</v>
      </c>
      <c r="T149" s="45" t="str">
        <f t="shared" si="51"/>
        <v>PM</v>
      </c>
      <c r="U149" s="45" t="s">
        <v>576</v>
      </c>
      <c r="V149" s="45" t="s">
        <v>577</v>
      </c>
      <c r="W149" s="45" t="s">
        <v>578</v>
      </c>
      <c r="X149" s="45" t="s">
        <v>579</v>
      </c>
      <c r="Y149" s="45"/>
      <c r="Z149" s="45"/>
    </row>
    <row r="150" spans="1:26" ht="12.75" customHeight="1">
      <c r="A150" s="12" t="s">
        <v>184</v>
      </c>
      <c r="B150" s="12" t="str">
        <f t="shared" si="0"/>
        <v>Orc4</v>
      </c>
      <c r="C150" s="12" t="s">
        <v>409</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227</v>
      </c>
      <c r="P150" s="11" t="s">
        <v>226</v>
      </c>
      <c r="Q150" s="11" t="s">
        <v>227</v>
      </c>
      <c r="R150" s="11" t="s">
        <v>227</v>
      </c>
      <c r="S150" s="11">
        <v>0</v>
      </c>
      <c r="T150" s="45" t="str">
        <f t="shared" si="51"/>
        <v>M</v>
      </c>
      <c r="U150" s="45" t="s">
        <v>848</v>
      </c>
      <c r="V150" s="45" t="s">
        <v>849</v>
      </c>
      <c r="W150" s="45" t="s">
        <v>850</v>
      </c>
      <c r="X150" s="45" t="s">
        <v>851</v>
      </c>
      <c r="Y150" s="45"/>
      <c r="Z150" s="45"/>
    </row>
    <row r="151" spans="1:26" ht="12.75" customHeight="1">
      <c r="A151" s="12" t="s">
        <v>184</v>
      </c>
      <c r="B151" s="12" t="str">
        <f t="shared" si="0"/>
        <v>Orc5</v>
      </c>
      <c r="C151" s="12" t="s">
        <v>852</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227</v>
      </c>
      <c r="P151" s="11" t="s">
        <v>226</v>
      </c>
      <c r="Q151" s="11" t="s">
        <v>227</v>
      </c>
      <c r="R151" s="237">
        <v>0</v>
      </c>
      <c r="S151" s="11">
        <v>0</v>
      </c>
      <c r="T151" s="45" t="str">
        <f t="shared" si="51"/>
        <v>PM</v>
      </c>
      <c r="U151" s="45" t="s">
        <v>853</v>
      </c>
      <c r="V151" s="45" t="s">
        <v>854</v>
      </c>
      <c r="W151" s="45" t="s">
        <v>855</v>
      </c>
      <c r="X151" s="45" t="s">
        <v>856</v>
      </c>
      <c r="Y151" s="45"/>
      <c r="Z151" s="45"/>
    </row>
    <row r="152" spans="1:26" ht="12.75" customHeight="1">
      <c r="A152" s="12" t="s">
        <v>184</v>
      </c>
      <c r="B152" s="12" t="str">
        <f t="shared" si="0"/>
        <v>Orc6</v>
      </c>
      <c r="C152" s="12" t="s">
        <v>419</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227</v>
      </c>
      <c r="P152" s="11" t="s">
        <v>226</v>
      </c>
      <c r="Q152" s="11" t="s">
        <v>227</v>
      </c>
      <c r="R152" s="11" t="s">
        <v>226</v>
      </c>
      <c r="S152" s="11">
        <v>0</v>
      </c>
      <c r="T152" s="45" t="str">
        <f t="shared" si="51"/>
        <v>M</v>
      </c>
      <c r="U152" s="45" t="s">
        <v>857</v>
      </c>
      <c r="V152" s="12" t="s">
        <v>858</v>
      </c>
      <c r="W152" s="45" t="s">
        <v>859</v>
      </c>
      <c r="X152" s="45" t="s">
        <v>860</v>
      </c>
      <c r="Y152" s="45"/>
      <c r="Z152" s="45"/>
    </row>
    <row r="153" spans="1:26" ht="12.75" customHeight="1">
      <c r="A153" s="12" t="s">
        <v>184</v>
      </c>
      <c r="B153" s="12" t="str">
        <f t="shared" si="0"/>
        <v>Orc7</v>
      </c>
      <c r="C153" s="12" t="s">
        <v>861</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226</v>
      </c>
      <c r="P153" s="11" t="s">
        <v>226</v>
      </c>
      <c r="Q153" s="11" t="s">
        <v>227</v>
      </c>
      <c r="R153" s="11" t="s">
        <v>226</v>
      </c>
      <c r="S153" s="11">
        <v>0</v>
      </c>
      <c r="T153" s="45" t="str">
        <f t="shared" si="51"/>
        <v>M</v>
      </c>
      <c r="U153" s="45" t="s">
        <v>454</v>
      </c>
      <c r="V153" s="12" t="s">
        <v>455</v>
      </c>
      <c r="W153" s="45" t="s">
        <v>456</v>
      </c>
      <c r="X153" s="45" t="s">
        <v>457</v>
      </c>
      <c r="Y153" s="45"/>
      <c r="Z153" s="45"/>
    </row>
    <row r="154" spans="1:26" ht="12.75" customHeight="1">
      <c r="A154" s="12" t="s">
        <v>184</v>
      </c>
      <c r="B154" s="12" t="str">
        <f t="shared" si="0"/>
        <v>Orc8</v>
      </c>
      <c r="C154" s="12" t="s">
        <v>862</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227</v>
      </c>
      <c r="P154" s="11" t="s">
        <v>226</v>
      </c>
      <c r="Q154" s="11" t="s">
        <v>226</v>
      </c>
      <c r="R154" s="11">
        <v>0</v>
      </c>
      <c r="S154" s="11">
        <v>0</v>
      </c>
      <c r="T154" s="45" t="str">
        <f t="shared" si="51"/>
        <v>PM</v>
      </c>
      <c r="U154" s="45" t="s">
        <v>863</v>
      </c>
      <c r="V154" s="45" t="s">
        <v>864</v>
      </c>
      <c r="W154" s="45" t="s">
        <v>865</v>
      </c>
      <c r="X154" s="45" t="s">
        <v>866</v>
      </c>
      <c r="Y154" s="45"/>
      <c r="Z154" s="45"/>
    </row>
    <row r="155" spans="1:26" ht="12.75" customHeight="1">
      <c r="A155" s="12" t="s">
        <v>188</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5"/>
      <c r="U155" s="45">
        <v>0</v>
      </c>
      <c r="V155" s="45">
        <v>0</v>
      </c>
      <c r="W155" s="45">
        <v>0</v>
      </c>
      <c r="X155" s="45">
        <v>0</v>
      </c>
      <c r="Y155" s="45">
        <v>0</v>
      </c>
      <c r="Z155" s="45"/>
    </row>
    <row r="156" spans="1:26" ht="12.75" customHeight="1">
      <c r="A156" s="12" t="s">
        <v>188</v>
      </c>
      <c r="B156" s="12" t="str">
        <f t="shared" si="0"/>
        <v>Shambling Undead2</v>
      </c>
      <c r="C156" s="12" t="s">
        <v>867</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227</v>
      </c>
      <c r="P156" s="11" t="s">
        <v>226</v>
      </c>
      <c r="Q156" s="11" t="s">
        <v>226</v>
      </c>
      <c r="R156" s="11">
        <v>0</v>
      </c>
      <c r="S156" s="11">
        <v>0</v>
      </c>
      <c r="T156" s="45" t="str">
        <f t="shared" ref="T156:T163" si="53">IF(AND(R156&lt;&gt;0,S156&lt;&gt;0),"FULL",(IF(AND(R156=0,S156=0),"PM",IF(R156=0,"P",(IF(S156=0,"M"))))))</f>
        <v>PM</v>
      </c>
      <c r="U156" s="45" t="s">
        <v>868</v>
      </c>
      <c r="V156" s="12" t="s">
        <v>869</v>
      </c>
      <c r="W156" s="45" t="s">
        <v>870</v>
      </c>
      <c r="X156" s="45" t="s">
        <v>871</v>
      </c>
      <c r="Y156" s="45"/>
      <c r="Z156" s="45"/>
    </row>
    <row r="157" spans="1:26" ht="12.75" customHeight="1">
      <c r="A157" s="12" t="s">
        <v>188</v>
      </c>
      <c r="B157" s="12" t="str">
        <f t="shared" si="0"/>
        <v>Shambling Undead3</v>
      </c>
      <c r="C157" s="12" t="s">
        <v>710</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227</v>
      </c>
      <c r="P157" s="11" t="s">
        <v>226</v>
      </c>
      <c r="Q157" s="11" t="s">
        <v>226</v>
      </c>
      <c r="R157" s="237">
        <v>0</v>
      </c>
      <c r="S157" s="11">
        <v>0</v>
      </c>
      <c r="T157" s="45" t="str">
        <f t="shared" si="53"/>
        <v>PM</v>
      </c>
      <c r="U157" s="45" t="s">
        <v>378</v>
      </c>
      <c r="V157" s="12" t="s">
        <v>711</v>
      </c>
      <c r="W157" s="45" t="s">
        <v>378</v>
      </c>
      <c r="X157" s="45" t="s">
        <v>712</v>
      </c>
      <c r="Y157" s="45"/>
      <c r="Z157" s="45"/>
    </row>
    <row r="158" spans="1:26" ht="12.75" customHeight="1">
      <c r="A158" s="12" t="s">
        <v>188</v>
      </c>
      <c r="B158" s="12" t="str">
        <f t="shared" si="0"/>
        <v>Shambling Undead4</v>
      </c>
      <c r="C158" s="12" t="s">
        <v>713</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227</v>
      </c>
      <c r="P158" s="11" t="s">
        <v>227</v>
      </c>
      <c r="Q158" s="11" t="s">
        <v>226</v>
      </c>
      <c r="R158" s="11" t="s">
        <v>226</v>
      </c>
      <c r="S158" s="11">
        <v>0</v>
      </c>
      <c r="T158" s="45" t="str">
        <f t="shared" si="53"/>
        <v>M</v>
      </c>
      <c r="U158" s="45" t="s">
        <v>330</v>
      </c>
      <c r="V158" s="45" t="s">
        <v>406</v>
      </c>
      <c r="W158" s="45" t="s">
        <v>407</v>
      </c>
      <c r="X158" s="45" t="s">
        <v>408</v>
      </c>
      <c r="Y158" s="45"/>
      <c r="Z158" s="45"/>
    </row>
    <row r="159" spans="1:26" ht="12.75" customHeight="1">
      <c r="A159" s="12" t="s">
        <v>188</v>
      </c>
      <c r="B159" s="12" t="str">
        <f t="shared" si="0"/>
        <v>Shambling Undead5</v>
      </c>
      <c r="C159" s="12" t="s">
        <v>872</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227</v>
      </c>
      <c r="P159" s="11" t="s">
        <v>226</v>
      </c>
      <c r="Q159" s="11" t="s">
        <v>227</v>
      </c>
      <c r="R159" s="11" t="s">
        <v>226</v>
      </c>
      <c r="S159" s="11">
        <v>0</v>
      </c>
      <c r="T159" s="45" t="str">
        <f t="shared" si="53"/>
        <v>M</v>
      </c>
      <c r="U159" s="45" t="s">
        <v>873</v>
      </c>
      <c r="V159" s="45" t="s">
        <v>874</v>
      </c>
      <c r="W159" s="45" t="s">
        <v>873</v>
      </c>
      <c r="X159" s="45" t="s">
        <v>875</v>
      </c>
      <c r="Y159" s="45"/>
      <c r="Z159" s="45"/>
    </row>
    <row r="160" spans="1:26" ht="12.75" customHeight="1">
      <c r="A160" s="12" t="s">
        <v>188</v>
      </c>
      <c r="B160" s="12" t="str">
        <f t="shared" si="0"/>
        <v>Shambling Undead6</v>
      </c>
      <c r="C160" s="12" t="s">
        <v>876</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226</v>
      </c>
      <c r="P160" s="11" t="s">
        <v>226</v>
      </c>
      <c r="Q160" s="11" t="s">
        <v>227</v>
      </c>
      <c r="R160" s="237">
        <v>0</v>
      </c>
      <c r="S160" s="11">
        <v>0</v>
      </c>
      <c r="T160" s="45" t="str">
        <f t="shared" si="53"/>
        <v>PM</v>
      </c>
      <c r="U160" s="45" t="s">
        <v>877</v>
      </c>
      <c r="V160" s="12" t="s">
        <v>878</v>
      </c>
      <c r="W160" s="45" t="s">
        <v>879</v>
      </c>
      <c r="X160" s="45" t="s">
        <v>880</v>
      </c>
      <c r="Y160" s="45"/>
      <c r="Z160" s="45"/>
    </row>
    <row r="161" spans="1:26" ht="12.75" customHeight="1">
      <c r="A161" s="12" t="s">
        <v>188</v>
      </c>
      <c r="B161" s="12" t="str">
        <f t="shared" si="0"/>
        <v>Shambling Undead7</v>
      </c>
      <c r="C161" s="12" t="s">
        <v>729</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227</v>
      </c>
      <c r="P161" s="11" t="s">
        <v>226</v>
      </c>
      <c r="Q161" s="11" t="s">
        <v>226</v>
      </c>
      <c r="R161" s="237">
        <v>0</v>
      </c>
      <c r="S161" s="11">
        <v>0</v>
      </c>
      <c r="T161" s="45" t="str">
        <f t="shared" si="53"/>
        <v>PM</v>
      </c>
      <c r="U161" s="45"/>
      <c r="V161" s="12"/>
      <c r="W161" s="45"/>
      <c r="X161" s="45"/>
      <c r="Y161" s="45"/>
      <c r="Z161" s="45"/>
    </row>
    <row r="162" spans="1:26" ht="12.75" customHeight="1">
      <c r="A162" s="12" t="s">
        <v>188</v>
      </c>
      <c r="B162" s="12" t="str">
        <f t="shared" si="0"/>
        <v>Shambling Undead8</v>
      </c>
      <c r="C162" s="12" t="s">
        <v>881</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227</v>
      </c>
      <c r="P162" s="11" t="s">
        <v>226</v>
      </c>
      <c r="Q162" s="11" t="s">
        <v>226</v>
      </c>
      <c r="R162" s="11">
        <v>0</v>
      </c>
      <c r="S162" s="11">
        <v>0</v>
      </c>
      <c r="T162" s="45" t="str">
        <f t="shared" si="53"/>
        <v>PM</v>
      </c>
      <c r="U162" s="45" t="s">
        <v>882</v>
      </c>
      <c r="V162" s="12" t="s">
        <v>883</v>
      </c>
      <c r="W162" s="45" t="s">
        <v>884</v>
      </c>
      <c r="X162" s="45" t="s">
        <v>885</v>
      </c>
      <c r="Y162" s="45"/>
      <c r="Z162" s="45"/>
    </row>
    <row r="163" spans="1:26" ht="12.75" customHeight="1">
      <c r="A163" s="12" t="s">
        <v>188</v>
      </c>
      <c r="B163" s="12" t="str">
        <f t="shared" si="0"/>
        <v>Shambling Undead9</v>
      </c>
      <c r="C163" s="12" t="s">
        <v>886</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227</v>
      </c>
      <c r="P163" s="11" t="s">
        <v>226</v>
      </c>
      <c r="Q163" s="11" t="s">
        <v>226</v>
      </c>
      <c r="R163" s="237">
        <v>0</v>
      </c>
      <c r="S163" s="11">
        <v>0</v>
      </c>
      <c r="T163" s="45" t="str">
        <f t="shared" si="53"/>
        <v>PM</v>
      </c>
      <c r="U163" s="45" t="s">
        <v>731</v>
      </c>
      <c r="V163" s="12" t="s">
        <v>732</v>
      </c>
      <c r="W163" s="45" t="s">
        <v>733</v>
      </c>
      <c r="X163" s="45" t="s">
        <v>734</v>
      </c>
      <c r="Y163" s="45"/>
      <c r="Z163" s="45"/>
    </row>
    <row r="164" spans="1:26" ht="12.75" customHeight="1">
      <c r="A164" s="12" t="s">
        <v>193</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37"/>
      <c r="S164" s="11"/>
      <c r="T164" s="45"/>
      <c r="U164" s="45" t="s">
        <v>378</v>
      </c>
      <c r="V164" s="12" t="s">
        <v>711</v>
      </c>
      <c r="W164" s="45" t="s">
        <v>378</v>
      </c>
      <c r="X164" s="45" t="s">
        <v>712</v>
      </c>
      <c r="Y164" s="45">
        <v>0</v>
      </c>
      <c r="Z164" s="45"/>
    </row>
    <row r="165" spans="1:26" ht="12.75" customHeight="1">
      <c r="A165" s="12" t="s">
        <v>193</v>
      </c>
      <c r="B165" s="12" t="str">
        <f t="shared" si="0"/>
        <v>Slann2</v>
      </c>
      <c r="C165" s="12" t="s">
        <v>521</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227</v>
      </c>
      <c r="P165" s="11" t="s">
        <v>226</v>
      </c>
      <c r="Q165" s="11" t="s">
        <v>226</v>
      </c>
      <c r="R165" s="11">
        <v>0</v>
      </c>
      <c r="S165" s="11">
        <v>0</v>
      </c>
      <c r="T165" s="45" t="str">
        <f t="shared" ref="T165:T169" si="55">IF(AND(R165&lt;&gt;0,S165&lt;&gt;0),"FULL",(IF(AND(R165=0,S165=0),"PM",IF(R165=0,"P",(IF(S165=0,"M"))))))</f>
        <v>PM</v>
      </c>
      <c r="U165" s="45" t="s">
        <v>887</v>
      </c>
      <c r="V165" s="12" t="s">
        <v>888</v>
      </c>
      <c r="W165" s="45" t="s">
        <v>889</v>
      </c>
      <c r="X165" s="45" t="s">
        <v>890</v>
      </c>
      <c r="Y165" s="45"/>
      <c r="Z165" s="45"/>
    </row>
    <row r="166" spans="1:26" ht="12.75" customHeight="1">
      <c r="A166" s="12" t="s">
        <v>193</v>
      </c>
      <c r="B166" s="12" t="str">
        <f t="shared" si="0"/>
        <v>Slann3</v>
      </c>
      <c r="C166" s="12" t="s">
        <v>414</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227</v>
      </c>
      <c r="P166" s="11" t="s">
        <v>227</v>
      </c>
      <c r="Q166" s="11" t="s">
        <v>226</v>
      </c>
      <c r="R166" s="11" t="s">
        <v>226</v>
      </c>
      <c r="S166" s="11">
        <v>0</v>
      </c>
      <c r="T166" s="45" t="str">
        <f t="shared" si="55"/>
        <v>M</v>
      </c>
      <c r="U166" s="45" t="s">
        <v>891</v>
      </c>
      <c r="V166" s="45" t="s">
        <v>892</v>
      </c>
      <c r="W166" s="45" t="s">
        <v>893</v>
      </c>
      <c r="X166" s="45" t="s">
        <v>894</v>
      </c>
      <c r="Y166" s="45"/>
      <c r="Z166" s="45"/>
    </row>
    <row r="167" spans="1:26" ht="12.75" customHeight="1">
      <c r="A167" s="12" t="s">
        <v>193</v>
      </c>
      <c r="B167" s="12" t="str">
        <f t="shared" si="0"/>
        <v>Slann4</v>
      </c>
      <c r="C167" s="12" t="s">
        <v>419</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227</v>
      </c>
      <c r="P167" s="11" t="s">
        <v>227</v>
      </c>
      <c r="Q167" s="11" t="s">
        <v>227</v>
      </c>
      <c r="R167" s="11" t="s">
        <v>226</v>
      </c>
      <c r="S167" s="11">
        <v>0</v>
      </c>
      <c r="T167" s="45" t="str">
        <f t="shared" si="55"/>
        <v>M</v>
      </c>
      <c r="U167" s="45" t="s">
        <v>895</v>
      </c>
      <c r="V167" s="45" t="s">
        <v>896</v>
      </c>
      <c r="W167" s="45" t="s">
        <v>897</v>
      </c>
      <c r="X167" s="45" t="s">
        <v>898</v>
      </c>
      <c r="Y167" s="45"/>
      <c r="Z167" s="45"/>
    </row>
    <row r="168" spans="1:26" ht="12.75" customHeight="1">
      <c r="A168" s="12" t="s">
        <v>193</v>
      </c>
      <c r="B168" s="12" t="str">
        <f t="shared" si="0"/>
        <v>Slann5</v>
      </c>
      <c r="C168" s="12" t="s">
        <v>700</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226</v>
      </c>
      <c r="P168" s="11" t="s">
        <v>226</v>
      </c>
      <c r="Q168" s="11" t="s">
        <v>227</v>
      </c>
      <c r="R168" s="237">
        <v>0</v>
      </c>
      <c r="S168" s="11">
        <v>0</v>
      </c>
      <c r="T168" s="45" t="str">
        <f t="shared" si="55"/>
        <v>PM</v>
      </c>
      <c r="U168" s="45" t="s">
        <v>899</v>
      </c>
      <c r="V168" s="45" t="s">
        <v>702</v>
      </c>
      <c r="W168" s="45" t="s">
        <v>900</v>
      </c>
      <c r="X168" s="45" t="s">
        <v>901</v>
      </c>
      <c r="Y168" s="45"/>
      <c r="Z168" s="45"/>
    </row>
    <row r="169" spans="1:26" ht="12.75" customHeight="1">
      <c r="A169" s="12" t="s">
        <v>193</v>
      </c>
      <c r="B169" s="12" t="str">
        <f t="shared" si="0"/>
        <v>Slann6</v>
      </c>
      <c r="C169" s="12" t="s">
        <v>902</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227</v>
      </c>
      <c r="P169" s="11" t="s">
        <v>226</v>
      </c>
      <c r="Q169" s="11" t="s">
        <v>226</v>
      </c>
      <c r="R169" s="11">
        <v>0</v>
      </c>
      <c r="S169" s="11">
        <v>0</v>
      </c>
      <c r="T169" s="45" t="str">
        <f t="shared" si="55"/>
        <v>PM</v>
      </c>
      <c r="U169" s="45" t="s">
        <v>903</v>
      </c>
      <c r="V169" s="12" t="s">
        <v>904</v>
      </c>
      <c r="W169" s="45" t="s">
        <v>905</v>
      </c>
      <c r="X169" s="45" t="s">
        <v>906</v>
      </c>
      <c r="Y169" s="45"/>
      <c r="Z169" s="45"/>
    </row>
    <row r="170" spans="1:26" ht="12.75" customHeight="1">
      <c r="A170" s="12" t="s">
        <v>198</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5"/>
      <c r="U170" s="45">
        <v>0</v>
      </c>
      <c r="V170" s="45">
        <v>0</v>
      </c>
      <c r="W170" s="45">
        <v>0</v>
      </c>
      <c r="X170" s="45">
        <v>0</v>
      </c>
      <c r="Y170" s="45">
        <v>0</v>
      </c>
      <c r="Z170" s="45"/>
    </row>
    <row r="171" spans="1:26" ht="12.75" customHeight="1">
      <c r="A171" s="12" t="s">
        <v>198</v>
      </c>
      <c r="B171" s="12" t="str">
        <f t="shared" si="0"/>
        <v>Skaven2</v>
      </c>
      <c r="C171" s="12" t="s">
        <v>521</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227</v>
      </c>
      <c r="P171" s="11" t="s">
        <v>226</v>
      </c>
      <c r="Q171" s="11" t="s">
        <v>226</v>
      </c>
      <c r="R171" s="11">
        <v>0</v>
      </c>
      <c r="S171" s="11" t="s">
        <v>226</v>
      </c>
      <c r="T171" s="45" t="str">
        <f t="shared" ref="T171:T176" si="57">IF(AND(R171&lt;&gt;0,S171&lt;&gt;0),"FULL",(IF(AND(R171=0,S171=0),"PM",IF(R171=0,"P",(IF(S171=0,"M"))))))</f>
        <v>P</v>
      </c>
      <c r="U171" s="45" t="str">
        <f t="shared" ref="U171:Y171" si="58">""</f>
        <v/>
      </c>
      <c r="V171" s="45" t="str">
        <f t="shared" si="58"/>
        <v/>
      </c>
      <c r="W171" s="45" t="str">
        <f t="shared" si="58"/>
        <v/>
      </c>
      <c r="X171" s="45" t="str">
        <f t="shared" si="58"/>
        <v/>
      </c>
      <c r="Y171" s="45" t="str">
        <f t="shared" si="58"/>
        <v/>
      </c>
      <c r="Z171" s="45"/>
    </row>
    <row r="172" spans="1:26" ht="12.75" customHeight="1">
      <c r="A172" s="12" t="s">
        <v>198</v>
      </c>
      <c r="B172" s="12" t="str">
        <f t="shared" si="0"/>
        <v>Skaven3</v>
      </c>
      <c r="C172" s="12" t="s">
        <v>409</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227</v>
      </c>
      <c r="P172" s="11" t="s">
        <v>226</v>
      </c>
      <c r="Q172" s="11" t="s">
        <v>226</v>
      </c>
      <c r="R172" s="11" t="s">
        <v>227</v>
      </c>
      <c r="S172" s="11" t="s">
        <v>226</v>
      </c>
      <c r="T172" s="45" t="str">
        <f t="shared" si="57"/>
        <v>FULL</v>
      </c>
      <c r="U172" s="45" t="s">
        <v>643</v>
      </c>
      <c r="V172" s="12" t="s">
        <v>644</v>
      </c>
      <c r="W172" s="45" t="s">
        <v>645</v>
      </c>
      <c r="X172" s="45" t="s">
        <v>646</v>
      </c>
      <c r="Y172" s="45"/>
      <c r="Z172" s="45"/>
    </row>
    <row r="173" spans="1:26" ht="12.75" customHeight="1">
      <c r="A173" s="12" t="s">
        <v>198</v>
      </c>
      <c r="B173" s="12" t="str">
        <f t="shared" si="0"/>
        <v>Skaven4</v>
      </c>
      <c r="C173" s="12" t="s">
        <v>907</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227</v>
      </c>
      <c r="P173" s="11" t="s">
        <v>227</v>
      </c>
      <c r="Q173" s="11" t="s">
        <v>226</v>
      </c>
      <c r="R173" s="11" t="s">
        <v>226</v>
      </c>
      <c r="S173" s="11" t="s">
        <v>226</v>
      </c>
      <c r="T173" s="45" t="str">
        <f t="shared" si="57"/>
        <v>FULL</v>
      </c>
      <c r="U173" s="45" t="s">
        <v>330</v>
      </c>
      <c r="V173" s="45" t="s">
        <v>406</v>
      </c>
      <c r="W173" s="45" t="s">
        <v>407</v>
      </c>
      <c r="X173" s="45" t="s">
        <v>408</v>
      </c>
      <c r="Y173" s="45"/>
      <c r="Z173" s="45"/>
    </row>
    <row r="174" spans="1:26" ht="12.75" customHeight="1">
      <c r="A174" s="12" t="s">
        <v>198</v>
      </c>
      <c r="B174" s="12" t="str">
        <f t="shared" si="0"/>
        <v>Skaven5</v>
      </c>
      <c r="C174" s="12" t="s">
        <v>419</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227</v>
      </c>
      <c r="P174" s="11" t="s">
        <v>226</v>
      </c>
      <c r="Q174" s="11" t="s">
        <v>227</v>
      </c>
      <c r="R174" s="11" t="s">
        <v>226</v>
      </c>
      <c r="S174" s="11" t="s">
        <v>226</v>
      </c>
      <c r="T174" s="45" t="str">
        <f t="shared" si="57"/>
        <v>FULL</v>
      </c>
      <c r="U174" s="45" t="s">
        <v>532</v>
      </c>
      <c r="V174" s="12" t="s">
        <v>533</v>
      </c>
      <c r="W174" s="45" t="s">
        <v>532</v>
      </c>
      <c r="X174" s="45" t="s">
        <v>534</v>
      </c>
      <c r="Y174" s="45"/>
      <c r="Z174" s="45"/>
    </row>
    <row r="175" spans="1:26" ht="12.75" customHeight="1">
      <c r="A175" s="12" t="s">
        <v>198</v>
      </c>
      <c r="B175" s="12" t="str">
        <f t="shared" si="0"/>
        <v>Skaven6</v>
      </c>
      <c r="C175" s="12" t="s">
        <v>908</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226</v>
      </c>
      <c r="P175" s="11" t="s">
        <v>226</v>
      </c>
      <c r="Q175" s="11" t="s">
        <v>227</v>
      </c>
      <c r="R175" s="237">
        <v>0</v>
      </c>
      <c r="S175" s="11" t="s">
        <v>226</v>
      </c>
      <c r="T175" s="45" t="str">
        <f t="shared" si="57"/>
        <v>P</v>
      </c>
      <c r="U175" s="45" t="s">
        <v>516</v>
      </c>
      <c r="V175" s="12" t="s">
        <v>517</v>
      </c>
      <c r="W175" s="45" t="s">
        <v>518</v>
      </c>
      <c r="X175" s="45" t="s">
        <v>519</v>
      </c>
      <c r="Y175" s="45"/>
      <c r="Z175" s="45"/>
    </row>
    <row r="176" spans="1:26" ht="12.75" customHeight="1">
      <c r="A176" s="12" t="s">
        <v>198</v>
      </c>
      <c r="B176" s="12" t="str">
        <f t="shared" si="0"/>
        <v>Skaven7</v>
      </c>
      <c r="C176" s="12" t="s">
        <v>909</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227</v>
      </c>
      <c r="P176" s="11" t="s">
        <v>226</v>
      </c>
      <c r="Q176" s="11" t="s">
        <v>226</v>
      </c>
      <c r="R176" s="11">
        <v>0</v>
      </c>
      <c r="S176" s="11" t="s">
        <v>226</v>
      </c>
      <c r="T176" s="45" t="str">
        <f t="shared" si="57"/>
        <v>P</v>
      </c>
      <c r="U176" s="45" t="s">
        <v>490</v>
      </c>
      <c r="V176" s="45" t="s">
        <v>491</v>
      </c>
      <c r="W176" s="45" t="s">
        <v>492</v>
      </c>
      <c r="X176" s="45" t="s">
        <v>493</v>
      </c>
      <c r="Y176" s="45"/>
      <c r="Z176" s="45"/>
    </row>
    <row r="177" spans="1:26" ht="12.75" customHeight="1">
      <c r="A177" s="12" t="s">
        <v>209</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5"/>
      <c r="U177" s="45">
        <v>0</v>
      </c>
      <c r="V177" s="45">
        <v>0</v>
      </c>
      <c r="W177" s="45">
        <v>0</v>
      </c>
      <c r="X177" s="45">
        <v>0</v>
      </c>
      <c r="Y177" s="45">
        <v>0</v>
      </c>
      <c r="Z177" s="45"/>
    </row>
    <row r="178" spans="1:26" ht="12.75" customHeight="1">
      <c r="A178" s="12" t="s">
        <v>209</v>
      </c>
      <c r="B178" s="12" t="str">
        <f t="shared" si="0"/>
        <v>Tomb King2</v>
      </c>
      <c r="C178" s="12" t="s">
        <v>867</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227</v>
      </c>
      <c r="P178" s="11" t="s">
        <v>226</v>
      </c>
      <c r="Q178" s="11" t="s">
        <v>226</v>
      </c>
      <c r="R178" s="11">
        <v>0</v>
      </c>
      <c r="S178" s="11">
        <v>0</v>
      </c>
      <c r="T178" s="45" t="str">
        <f t="shared" ref="T178:T182" si="60">IF(AND(R178&lt;&gt;0,S178&lt;&gt;0),"FULL",(IF(AND(R178=0,S178=0),"PM",IF(R178=0,"P",(IF(S178=0,"M"))))))</f>
        <v>PM</v>
      </c>
      <c r="U178" s="45" t="s">
        <v>868</v>
      </c>
      <c r="V178" s="12" t="s">
        <v>869</v>
      </c>
      <c r="W178" s="45" t="s">
        <v>870</v>
      </c>
      <c r="X178" s="45" t="s">
        <v>871</v>
      </c>
      <c r="Y178" s="45"/>
      <c r="Z178" s="45"/>
    </row>
    <row r="179" spans="1:26" ht="12.75" customHeight="1">
      <c r="A179" s="12" t="s">
        <v>209</v>
      </c>
      <c r="B179" s="12" t="str">
        <f t="shared" si="0"/>
        <v>Tomb King3</v>
      </c>
      <c r="C179" s="12" t="s">
        <v>910</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227</v>
      </c>
      <c r="P179" s="11" t="s">
        <v>226</v>
      </c>
      <c r="Q179" s="11" t="s">
        <v>226</v>
      </c>
      <c r="R179" s="11" t="s">
        <v>227</v>
      </c>
      <c r="S179" s="11">
        <v>0</v>
      </c>
      <c r="T179" s="45" t="str">
        <f t="shared" si="60"/>
        <v>M</v>
      </c>
      <c r="U179" s="45" t="s">
        <v>911</v>
      </c>
      <c r="V179" s="45" t="s">
        <v>912</v>
      </c>
      <c r="W179" s="45" t="s">
        <v>913</v>
      </c>
      <c r="X179" s="45" t="s">
        <v>914</v>
      </c>
      <c r="Y179" s="45"/>
      <c r="Z179" s="45"/>
    </row>
    <row r="180" spans="1:26" ht="12.75" customHeight="1">
      <c r="A180" s="12" t="s">
        <v>209</v>
      </c>
      <c r="B180" s="12" t="str">
        <f t="shared" si="0"/>
        <v>Tomb King4</v>
      </c>
      <c r="C180" s="12" t="s">
        <v>915</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227</v>
      </c>
      <c r="P180" s="11" t="s">
        <v>226</v>
      </c>
      <c r="Q180" s="11" t="s">
        <v>227</v>
      </c>
      <c r="R180" s="11" t="s">
        <v>226</v>
      </c>
      <c r="S180" s="11">
        <v>0</v>
      </c>
      <c r="T180" s="45" t="str">
        <f t="shared" si="60"/>
        <v>M</v>
      </c>
      <c r="U180" s="45" t="s">
        <v>916</v>
      </c>
      <c r="V180" s="12" t="s">
        <v>917</v>
      </c>
      <c r="W180" s="45" t="s">
        <v>918</v>
      </c>
      <c r="X180" s="45" t="s">
        <v>919</v>
      </c>
      <c r="Y180" s="45"/>
      <c r="Z180" s="45"/>
    </row>
    <row r="181" spans="1:26" ht="12.75" customHeight="1">
      <c r="A181" s="12" t="s">
        <v>209</v>
      </c>
      <c r="B181" s="12" t="str">
        <f t="shared" si="0"/>
        <v>Tomb King5</v>
      </c>
      <c r="C181" s="12" t="s">
        <v>920</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226</v>
      </c>
      <c r="P181" s="11" t="s">
        <v>226</v>
      </c>
      <c r="Q181" s="11" t="s">
        <v>227</v>
      </c>
      <c r="R181" s="237">
        <v>0</v>
      </c>
      <c r="S181" s="11">
        <v>0</v>
      </c>
      <c r="T181" s="45" t="str">
        <f t="shared" si="60"/>
        <v>PM</v>
      </c>
      <c r="U181" s="45" t="s">
        <v>921</v>
      </c>
      <c r="V181" s="12" t="s">
        <v>922</v>
      </c>
      <c r="W181" s="45" t="s">
        <v>923</v>
      </c>
      <c r="X181" s="45" t="s">
        <v>924</v>
      </c>
      <c r="Y181" s="45"/>
      <c r="Z181" s="45"/>
    </row>
    <row r="182" spans="1:26" ht="12.75" customHeight="1">
      <c r="A182" s="12" t="s">
        <v>209</v>
      </c>
      <c r="B182" s="12" t="str">
        <f t="shared" si="0"/>
        <v>Tomb King6</v>
      </c>
      <c r="C182" s="12" t="s">
        <v>925</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227</v>
      </c>
      <c r="P182" s="11" t="s">
        <v>226</v>
      </c>
      <c r="Q182" s="11" t="s">
        <v>226</v>
      </c>
      <c r="R182" s="11">
        <v>0</v>
      </c>
      <c r="S182" s="11">
        <v>0</v>
      </c>
      <c r="T182" s="45" t="str">
        <f t="shared" si="60"/>
        <v>PM</v>
      </c>
      <c r="U182" s="45" t="s">
        <v>882</v>
      </c>
      <c r="V182" s="12" t="s">
        <v>883</v>
      </c>
      <c r="W182" s="45" t="s">
        <v>884</v>
      </c>
      <c r="X182" s="45" t="s">
        <v>885</v>
      </c>
      <c r="Y182" s="45"/>
      <c r="Z182" s="45"/>
    </row>
    <row r="183" spans="1:26" ht="12.75" customHeight="1">
      <c r="A183" s="12" t="s">
        <v>204</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5"/>
      <c r="U183" s="45">
        <v>0</v>
      </c>
      <c r="V183" s="45">
        <v>0</v>
      </c>
      <c r="W183" s="45">
        <v>0</v>
      </c>
      <c r="X183" s="45">
        <v>0</v>
      </c>
      <c r="Y183" s="45">
        <v>0</v>
      </c>
      <c r="Z183" s="45"/>
    </row>
    <row r="184" spans="1:26" ht="12.75" customHeight="1">
      <c r="A184" s="12" t="s">
        <v>204</v>
      </c>
      <c r="B184" s="12" t="str">
        <f t="shared" si="0"/>
        <v>Snotling2</v>
      </c>
      <c r="C184" s="12" t="s">
        <v>204</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226</v>
      </c>
      <c r="P184" s="11" t="s">
        <v>227</v>
      </c>
      <c r="Q184" s="11" t="s">
        <v>226</v>
      </c>
      <c r="R184" s="11">
        <v>0</v>
      </c>
      <c r="S184" s="11">
        <v>0</v>
      </c>
      <c r="T184" s="45" t="str">
        <f t="shared" ref="T184:T190" si="61">IF(AND(R184&lt;&gt;0,S184&lt;&gt;0),"FULL",(IF(AND(R184=0,S184=0),"PM",IF(R184=0,"P",(IF(S184=0,"M"))))))</f>
        <v>PM</v>
      </c>
      <c r="U184" s="45" t="s">
        <v>926</v>
      </c>
      <c r="V184" s="12" t="s">
        <v>927</v>
      </c>
      <c r="W184" s="45" t="s">
        <v>928</v>
      </c>
      <c r="X184" s="45" t="s">
        <v>929</v>
      </c>
      <c r="Y184" s="45"/>
      <c r="Z184" s="45"/>
    </row>
    <row r="185" spans="1:26" ht="12.75" customHeight="1">
      <c r="A185" s="12" t="s">
        <v>204</v>
      </c>
      <c r="B185" s="12" t="str">
        <f t="shared" si="0"/>
        <v>Snotling3</v>
      </c>
      <c r="C185" s="12" t="s">
        <v>930</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226</v>
      </c>
      <c r="P185" s="11" t="s">
        <v>227</v>
      </c>
      <c r="Q185" s="11" t="s">
        <v>226</v>
      </c>
      <c r="R185" s="11" t="s">
        <v>227</v>
      </c>
      <c r="S185" s="11">
        <v>0</v>
      </c>
      <c r="T185" s="45" t="str">
        <f t="shared" si="61"/>
        <v>M</v>
      </c>
      <c r="U185" s="45" t="s">
        <v>931</v>
      </c>
      <c r="V185" s="12" t="s">
        <v>932</v>
      </c>
      <c r="W185" s="45" t="s">
        <v>933</v>
      </c>
      <c r="X185" s="45" t="s">
        <v>934</v>
      </c>
      <c r="Y185" s="45"/>
      <c r="Z185" s="45"/>
    </row>
    <row r="186" spans="1:26" ht="12.75" customHeight="1">
      <c r="A186" s="12" t="s">
        <v>204</v>
      </c>
      <c r="B186" s="12" t="str">
        <f t="shared" si="0"/>
        <v>Snotling4</v>
      </c>
      <c r="C186" s="12" t="s">
        <v>935</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226</v>
      </c>
      <c r="P186" s="11" t="s">
        <v>227</v>
      </c>
      <c r="Q186" s="11" t="s">
        <v>226</v>
      </c>
      <c r="R186" s="11">
        <v>0</v>
      </c>
      <c r="S186" s="11">
        <v>0</v>
      </c>
      <c r="T186" s="45" t="str">
        <f t="shared" si="61"/>
        <v>PM</v>
      </c>
      <c r="U186" s="45" t="s">
        <v>936</v>
      </c>
      <c r="V186" s="12" t="s">
        <v>937</v>
      </c>
      <c r="W186" s="45" t="s">
        <v>938</v>
      </c>
      <c r="X186" s="45" t="s">
        <v>939</v>
      </c>
      <c r="Y186" s="45"/>
      <c r="Z186" s="45"/>
    </row>
    <row r="187" spans="1:26" ht="12.75" customHeight="1">
      <c r="A187" s="12" t="s">
        <v>204</v>
      </c>
      <c r="B187" s="12" t="str">
        <f t="shared" si="0"/>
        <v>Snotling5</v>
      </c>
      <c r="C187" s="12" t="s">
        <v>940</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226</v>
      </c>
      <c r="P187" s="11" t="s">
        <v>227</v>
      </c>
      <c r="Q187" s="11" t="s">
        <v>226</v>
      </c>
      <c r="R187" s="11">
        <v>0</v>
      </c>
      <c r="S187" s="11">
        <v>0</v>
      </c>
      <c r="T187" s="45" t="str">
        <f t="shared" si="61"/>
        <v>PM</v>
      </c>
      <c r="U187" s="45" t="s">
        <v>941</v>
      </c>
      <c r="V187" s="45" t="s">
        <v>942</v>
      </c>
      <c r="W187" s="45" t="s">
        <v>943</v>
      </c>
      <c r="X187" s="45" t="s">
        <v>944</v>
      </c>
      <c r="Y187" s="45"/>
      <c r="Z187" s="45"/>
    </row>
    <row r="188" spans="1:26" ht="12.75" customHeight="1">
      <c r="A188" s="12" t="s">
        <v>204</v>
      </c>
      <c r="B188" s="12" t="str">
        <f t="shared" si="0"/>
        <v>Snotling6</v>
      </c>
      <c r="C188" s="12" t="s">
        <v>945</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226</v>
      </c>
      <c r="P188" s="11" t="s">
        <v>226</v>
      </c>
      <c r="Q188" s="11" t="s">
        <v>227</v>
      </c>
      <c r="R188" s="237">
        <v>0</v>
      </c>
      <c r="S188" s="11">
        <v>0</v>
      </c>
      <c r="T188" s="45" t="str">
        <f t="shared" si="61"/>
        <v>PM</v>
      </c>
      <c r="U188" s="45" t="s">
        <v>946</v>
      </c>
      <c r="V188" s="12" t="s">
        <v>947</v>
      </c>
      <c r="W188" s="45" t="s">
        <v>948</v>
      </c>
      <c r="X188" s="45" t="s">
        <v>949</v>
      </c>
      <c r="Y188" s="45"/>
      <c r="Z188" s="45"/>
    </row>
    <row r="189" spans="1:26" ht="12.75" customHeight="1">
      <c r="A189" s="12" t="s">
        <v>204</v>
      </c>
      <c r="B189" s="12" t="str">
        <f t="shared" si="0"/>
        <v>Snotling7</v>
      </c>
      <c r="C189" s="12" t="s">
        <v>438</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226</v>
      </c>
      <c r="P189" s="11" t="s">
        <v>226</v>
      </c>
      <c r="Q189" s="11" t="s">
        <v>227</v>
      </c>
      <c r="R189" s="11" t="s">
        <v>226</v>
      </c>
      <c r="S189" s="11">
        <v>0</v>
      </c>
      <c r="T189" s="45" t="str">
        <f t="shared" si="61"/>
        <v>M</v>
      </c>
      <c r="U189" s="45" t="s">
        <v>439</v>
      </c>
      <c r="V189" s="12" t="s">
        <v>440</v>
      </c>
      <c r="W189" s="45" t="s">
        <v>441</v>
      </c>
      <c r="X189" s="45" t="s">
        <v>442</v>
      </c>
      <c r="Y189" s="45"/>
      <c r="Z189" s="45"/>
    </row>
    <row r="190" spans="1:26" ht="12.75" customHeight="1">
      <c r="A190" s="12" t="s">
        <v>204</v>
      </c>
      <c r="B190" s="12" t="str">
        <f t="shared" si="0"/>
        <v>Snotling8</v>
      </c>
      <c r="C190" s="12" t="s">
        <v>950</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226</v>
      </c>
      <c r="P190" s="11" t="s">
        <v>227</v>
      </c>
      <c r="Q190" s="11" t="s">
        <v>226</v>
      </c>
      <c r="R190" s="11">
        <v>0</v>
      </c>
      <c r="S190" s="11">
        <v>0</v>
      </c>
      <c r="T190" s="45" t="str">
        <f t="shared" si="61"/>
        <v>PM</v>
      </c>
      <c r="U190" s="45" t="s">
        <v>951</v>
      </c>
      <c r="V190" s="12" t="s">
        <v>952</v>
      </c>
      <c r="W190" s="45" t="s">
        <v>953</v>
      </c>
      <c r="X190" s="45" t="s">
        <v>954</v>
      </c>
      <c r="Y190" s="45"/>
      <c r="Z190" s="45"/>
    </row>
    <row r="191" spans="1:26" ht="12.75" customHeight="1">
      <c r="A191" s="12" t="s">
        <v>213</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5"/>
      <c r="U191" s="45">
        <v>0</v>
      </c>
      <c r="V191" s="45">
        <v>0</v>
      </c>
      <c r="W191" s="45">
        <v>0</v>
      </c>
      <c r="X191" s="45">
        <v>0</v>
      </c>
      <c r="Y191" s="45">
        <v>0</v>
      </c>
      <c r="Z191" s="45"/>
    </row>
    <row r="192" spans="1:26" ht="12.75" customHeight="1">
      <c r="A192" s="12" t="s">
        <v>213</v>
      </c>
      <c r="B192" s="12" t="str">
        <f t="shared" si="0"/>
        <v>Underworld Denizens2</v>
      </c>
      <c r="C192" s="12" t="s">
        <v>122</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226</v>
      </c>
      <c r="P192" s="11" t="s">
        <v>227</v>
      </c>
      <c r="Q192" s="11" t="s">
        <v>226</v>
      </c>
      <c r="R192" s="11">
        <v>0</v>
      </c>
      <c r="S192" s="11" t="s">
        <v>227</v>
      </c>
      <c r="T192" s="45" t="str">
        <f t="shared" ref="T192:T200" si="64">IF(AND(R192&lt;&gt;0,S192&lt;&gt;0),"FULL",(IF(AND(R192=0,S192=0),"PM",IF(R192=0,"P",(IF(S192=0,"M"))))))</f>
        <v>P</v>
      </c>
      <c r="U192" s="45" t="s">
        <v>576</v>
      </c>
      <c r="V192" s="12" t="s">
        <v>577</v>
      </c>
      <c r="W192" s="45" t="s">
        <v>578</v>
      </c>
      <c r="X192" s="45" t="s">
        <v>579</v>
      </c>
      <c r="Y192" s="45"/>
      <c r="Z192" s="45"/>
    </row>
    <row r="193" spans="1:26" ht="12.75" customHeight="1">
      <c r="A193" s="12" t="s">
        <v>213</v>
      </c>
      <c r="B193" s="12" t="str">
        <f t="shared" si="0"/>
        <v>Underworld Denizens3</v>
      </c>
      <c r="C193" s="12" t="s">
        <v>204</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226</v>
      </c>
      <c r="P193" s="11" t="s">
        <v>227</v>
      </c>
      <c r="Q193" s="11" t="s">
        <v>226</v>
      </c>
      <c r="R193" s="11">
        <v>0</v>
      </c>
      <c r="S193" s="11" t="s">
        <v>227</v>
      </c>
      <c r="T193" s="45" t="str">
        <f t="shared" si="64"/>
        <v>P</v>
      </c>
      <c r="U193" s="45" t="s">
        <v>926</v>
      </c>
      <c r="V193" s="45" t="s">
        <v>927</v>
      </c>
      <c r="W193" s="45" t="s">
        <v>928</v>
      </c>
      <c r="X193" s="45" t="s">
        <v>929</v>
      </c>
      <c r="Y193" s="45"/>
      <c r="Z193" s="45"/>
    </row>
    <row r="194" spans="1:26" ht="12.75" customHeight="1">
      <c r="A194" s="12" t="s">
        <v>213</v>
      </c>
      <c r="B194" s="12" t="str">
        <f t="shared" si="0"/>
        <v>Underworld Denizens4</v>
      </c>
      <c r="C194" s="12" t="s">
        <v>955</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227</v>
      </c>
      <c r="P194" s="11" t="s">
        <v>226</v>
      </c>
      <c r="Q194" s="11" t="s">
        <v>226</v>
      </c>
      <c r="R194" s="11">
        <v>0</v>
      </c>
      <c r="S194" s="11" t="s">
        <v>227</v>
      </c>
      <c r="T194" s="45" t="str">
        <f t="shared" si="64"/>
        <v>P</v>
      </c>
      <c r="U194" s="45" t="s">
        <v>956</v>
      </c>
      <c r="V194" s="45" t="s">
        <v>957</v>
      </c>
      <c r="W194" s="45" t="s">
        <v>958</v>
      </c>
      <c r="X194" s="45" t="s">
        <v>959</v>
      </c>
      <c r="Y194" s="45"/>
      <c r="Z194" s="45"/>
    </row>
    <row r="195" spans="1:26" ht="12.75" customHeight="1">
      <c r="A195" s="12" t="s">
        <v>213</v>
      </c>
      <c r="B195" s="12" t="str">
        <f t="shared" si="0"/>
        <v>Underworld Denizens5</v>
      </c>
      <c r="C195" s="12" t="s">
        <v>960</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227</v>
      </c>
      <c r="P195" s="11" t="s">
        <v>226</v>
      </c>
      <c r="Q195" s="11" t="s">
        <v>226</v>
      </c>
      <c r="R195" s="11" t="s">
        <v>227</v>
      </c>
      <c r="S195" s="11" t="s">
        <v>227</v>
      </c>
      <c r="T195" s="45" t="str">
        <f t="shared" si="64"/>
        <v>FULL</v>
      </c>
      <c r="U195" s="45" t="s">
        <v>961</v>
      </c>
      <c r="V195" s="12" t="s">
        <v>962</v>
      </c>
      <c r="W195" s="45" t="s">
        <v>963</v>
      </c>
      <c r="X195" s="45" t="s">
        <v>964</v>
      </c>
      <c r="Y195" s="45"/>
      <c r="Z195" s="45"/>
    </row>
    <row r="196" spans="1:26" ht="12.75" customHeight="1">
      <c r="A196" s="12" t="s">
        <v>213</v>
      </c>
      <c r="B196" s="12" t="str">
        <f t="shared" si="0"/>
        <v>Underworld Denizens6</v>
      </c>
      <c r="C196" s="12" t="s">
        <v>907</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227</v>
      </c>
      <c r="P196" s="11" t="s">
        <v>227</v>
      </c>
      <c r="Q196" s="11" t="s">
        <v>226</v>
      </c>
      <c r="R196" s="11" t="s">
        <v>226</v>
      </c>
      <c r="S196" s="11" t="s">
        <v>227</v>
      </c>
      <c r="T196" s="45" t="str">
        <f t="shared" si="64"/>
        <v>FULL</v>
      </c>
      <c r="U196" s="45" t="s">
        <v>965</v>
      </c>
      <c r="V196" s="12" t="s">
        <v>966</v>
      </c>
      <c r="W196" s="45" t="s">
        <v>967</v>
      </c>
      <c r="X196" s="45" t="s">
        <v>968</v>
      </c>
      <c r="Y196" s="45"/>
      <c r="Z196" s="45"/>
    </row>
    <row r="197" spans="1:26" ht="12.75" customHeight="1">
      <c r="A197" s="12" t="s">
        <v>213</v>
      </c>
      <c r="B197" s="12" t="str">
        <f t="shared" si="0"/>
        <v>Underworld Denizens7</v>
      </c>
      <c r="C197" s="12" t="s">
        <v>969</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227</v>
      </c>
      <c r="P197" s="11" t="s">
        <v>226</v>
      </c>
      <c r="Q197" s="11" t="s">
        <v>227</v>
      </c>
      <c r="R197" s="11" t="s">
        <v>226</v>
      </c>
      <c r="S197" s="11" t="s">
        <v>227</v>
      </c>
      <c r="T197" s="45" t="str">
        <f t="shared" si="64"/>
        <v>FULL</v>
      </c>
      <c r="U197" s="45" t="s">
        <v>970</v>
      </c>
      <c r="V197" s="45" t="s">
        <v>971</v>
      </c>
      <c r="W197" s="45" t="s">
        <v>972</v>
      </c>
      <c r="X197" s="45" t="s">
        <v>973</v>
      </c>
      <c r="Y197" s="45"/>
      <c r="Z197" s="45"/>
    </row>
    <row r="198" spans="1:26" ht="12.75" customHeight="1">
      <c r="A198" s="12" t="s">
        <v>213</v>
      </c>
      <c r="B198" s="12" t="str">
        <f t="shared" si="0"/>
        <v>Underworld Denizens8</v>
      </c>
      <c r="C198" s="12" t="s">
        <v>974</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226</v>
      </c>
      <c r="P198" s="11" t="s">
        <v>226</v>
      </c>
      <c r="Q198" s="11" t="s">
        <v>227</v>
      </c>
      <c r="R198" s="11" t="s">
        <v>226</v>
      </c>
      <c r="S198" s="11" t="s">
        <v>227</v>
      </c>
      <c r="T198" s="45" t="str">
        <f t="shared" si="64"/>
        <v>FULL</v>
      </c>
      <c r="U198" s="45" t="s">
        <v>454</v>
      </c>
      <c r="V198" s="12" t="s">
        <v>455</v>
      </c>
      <c r="W198" s="45" t="s">
        <v>456</v>
      </c>
      <c r="X198" s="45" t="s">
        <v>457</v>
      </c>
      <c r="Y198" s="45"/>
      <c r="Z198" s="45"/>
    </row>
    <row r="199" spans="1:26" ht="12.75" customHeight="1">
      <c r="A199" s="12" t="s">
        <v>213</v>
      </c>
      <c r="B199" s="12" t="str">
        <f t="shared" si="0"/>
        <v>Underworld Denizens9</v>
      </c>
      <c r="C199" s="12" t="s">
        <v>975</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226</v>
      </c>
      <c r="P199" s="11" t="s">
        <v>226</v>
      </c>
      <c r="Q199" s="11" t="s">
        <v>227</v>
      </c>
      <c r="R199" s="237">
        <v>0</v>
      </c>
      <c r="S199" s="11" t="s">
        <v>227</v>
      </c>
      <c r="T199" s="45" t="str">
        <f t="shared" si="64"/>
        <v>P</v>
      </c>
      <c r="U199" s="45" t="s">
        <v>516</v>
      </c>
      <c r="V199" s="12" t="s">
        <v>517</v>
      </c>
      <c r="W199" s="45" t="s">
        <v>518</v>
      </c>
      <c r="X199" s="45" t="s">
        <v>519</v>
      </c>
      <c r="Y199" s="45"/>
      <c r="Z199" s="45"/>
    </row>
    <row r="200" spans="1:26" ht="12.75" customHeight="1">
      <c r="A200" s="12" t="s">
        <v>213</v>
      </c>
      <c r="B200" s="12" t="str">
        <f t="shared" si="0"/>
        <v>Underworld Denizens10</v>
      </c>
      <c r="C200" s="12" t="s">
        <v>443</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226</v>
      </c>
      <c r="P200" s="11" t="s">
        <v>227</v>
      </c>
      <c r="Q200" s="11" t="s">
        <v>226</v>
      </c>
      <c r="R200" s="11">
        <v>0</v>
      </c>
      <c r="S200" s="11" t="s">
        <v>227</v>
      </c>
      <c r="T200" s="45" t="str">
        <f t="shared" si="64"/>
        <v>P</v>
      </c>
      <c r="U200" s="45" t="s">
        <v>610</v>
      </c>
      <c r="V200" s="12" t="s">
        <v>611</v>
      </c>
      <c r="W200" s="45" t="s">
        <v>612</v>
      </c>
      <c r="X200" s="45" t="s">
        <v>613</v>
      </c>
      <c r="Y200" s="45"/>
      <c r="Z200" s="45"/>
    </row>
    <row r="201" spans="1:26" ht="12.75" customHeight="1">
      <c r="A201" s="12" t="s">
        <v>216</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5"/>
      <c r="U201" s="45">
        <v>0</v>
      </c>
      <c r="V201" s="45">
        <v>0</v>
      </c>
      <c r="W201" s="45">
        <v>0</v>
      </c>
      <c r="X201" s="45">
        <v>0</v>
      </c>
      <c r="Y201" s="45">
        <v>0</v>
      </c>
      <c r="Z201" s="45"/>
    </row>
    <row r="202" spans="1:26" ht="12.75" customHeight="1">
      <c r="A202" s="12" t="s">
        <v>216</v>
      </c>
      <c r="B202" s="12" t="str">
        <f t="shared" si="0"/>
        <v>Vampire2</v>
      </c>
      <c r="C202" s="12" t="s">
        <v>976</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227</v>
      </c>
      <c r="P202" s="11" t="s">
        <v>226</v>
      </c>
      <c r="Q202" s="11" t="s">
        <v>226</v>
      </c>
      <c r="R202" s="11">
        <v>0</v>
      </c>
      <c r="S202" s="11">
        <v>0</v>
      </c>
      <c r="T202" s="45" t="str">
        <f t="shared" ref="T202:T204" si="66">IF(AND(R202&lt;&gt;0,S202&lt;&gt;0),"FULL",(IF(AND(R202=0,S202=0),"PM",IF(R202=0,"P",(IF(S202=0,"M"))))))</f>
        <v>PM</v>
      </c>
      <c r="U202" s="45" t="str">
        <f t="shared" ref="U202:Y202" si="67">""</f>
        <v/>
      </c>
      <c r="V202" s="45" t="str">
        <f t="shared" si="67"/>
        <v/>
      </c>
      <c r="W202" s="45" t="str">
        <f t="shared" si="67"/>
        <v/>
      </c>
      <c r="X202" s="45" t="str">
        <f t="shared" si="67"/>
        <v/>
      </c>
      <c r="Y202" s="45" t="str">
        <f t="shared" si="67"/>
        <v/>
      </c>
      <c r="Z202" s="45"/>
    </row>
    <row r="203" spans="1:26" ht="12.75" customHeight="1">
      <c r="A203" s="12" t="s">
        <v>216</v>
      </c>
      <c r="B203" s="12" t="str">
        <f t="shared" si="0"/>
        <v>Vampire3</v>
      </c>
      <c r="C203" s="12" t="s">
        <v>216</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227</v>
      </c>
      <c r="P203" s="11" t="s">
        <v>227</v>
      </c>
      <c r="Q203" s="11" t="s">
        <v>227</v>
      </c>
      <c r="R203" s="11" t="s">
        <v>226</v>
      </c>
      <c r="S203" s="11">
        <v>0</v>
      </c>
      <c r="T203" s="45" t="str">
        <f t="shared" si="66"/>
        <v>M</v>
      </c>
      <c r="U203" s="45" t="s">
        <v>977</v>
      </c>
      <c r="V203" s="12" t="s">
        <v>978</v>
      </c>
      <c r="W203" s="45" t="s">
        <v>979</v>
      </c>
      <c r="X203" s="45" t="s">
        <v>980</v>
      </c>
      <c r="Y203" s="45"/>
      <c r="Z203" s="45"/>
    </row>
    <row r="204" spans="1:26" ht="12.75" customHeight="1">
      <c r="A204" s="12" t="s">
        <v>216</v>
      </c>
      <c r="B204" s="12" t="str">
        <f t="shared" si="0"/>
        <v>Vampire4</v>
      </c>
      <c r="C204" s="12" t="s">
        <v>981</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227</v>
      </c>
      <c r="P204" s="11" t="s">
        <v>226</v>
      </c>
      <c r="Q204" s="11" t="s">
        <v>226</v>
      </c>
      <c r="R204" s="11">
        <v>0</v>
      </c>
      <c r="S204" s="11">
        <v>0</v>
      </c>
      <c r="T204" s="45" t="str">
        <f t="shared" si="66"/>
        <v>PM</v>
      </c>
      <c r="U204" s="45" t="s">
        <v>490</v>
      </c>
      <c r="V204" s="45" t="s">
        <v>491</v>
      </c>
      <c r="W204" s="45" t="s">
        <v>492</v>
      </c>
      <c r="X204" s="45" t="s">
        <v>493</v>
      </c>
      <c r="Y204" s="45"/>
      <c r="Z204" s="45"/>
    </row>
    <row r="205" spans="1:26" ht="12.75" customHeight="1">
      <c r="A205" s="12" t="s">
        <v>220</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5"/>
      <c r="U205" s="45">
        <v>0</v>
      </c>
      <c r="V205" s="45">
        <v>0</v>
      </c>
      <c r="W205" s="45">
        <v>0</v>
      </c>
      <c r="X205" s="45">
        <v>0</v>
      </c>
      <c r="Y205" s="45">
        <v>0</v>
      </c>
      <c r="Z205" s="45"/>
    </row>
    <row r="206" spans="1:26" ht="12.75" customHeight="1">
      <c r="A206" s="12" t="s">
        <v>220</v>
      </c>
      <c r="B206" s="12" t="str">
        <f t="shared" si="0"/>
        <v>Wood Elf2</v>
      </c>
      <c r="C206" s="12" t="s">
        <v>521</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227</v>
      </c>
      <c r="P206" s="11" t="s">
        <v>227</v>
      </c>
      <c r="Q206" s="11" t="s">
        <v>226</v>
      </c>
      <c r="R206" s="11">
        <v>0</v>
      </c>
      <c r="S206" s="11">
        <v>0</v>
      </c>
      <c r="T206" s="45" t="str">
        <f t="shared" ref="T206:T211" si="68">IF(AND(R206&lt;&gt;0,S206&lt;&gt;0),"FULL",(IF(AND(R206=0,S206=0),"PM",IF(R206=0,"P",(IF(S206=0,"M"))))))</f>
        <v>PM</v>
      </c>
      <c r="U206" s="45" t="str">
        <f t="shared" ref="U206:Y206" si="69">""</f>
        <v/>
      </c>
      <c r="V206" s="45" t="str">
        <f t="shared" si="69"/>
        <v/>
      </c>
      <c r="W206" s="45" t="str">
        <f t="shared" si="69"/>
        <v/>
      </c>
      <c r="X206" s="45" t="str">
        <f t="shared" si="69"/>
        <v/>
      </c>
      <c r="Y206" s="45" t="str">
        <f t="shared" si="69"/>
        <v/>
      </c>
      <c r="Z206" s="45"/>
    </row>
    <row r="207" spans="1:26" ht="12.75" customHeight="1">
      <c r="A207" s="12" t="s">
        <v>220</v>
      </c>
      <c r="B207" s="12" t="str">
        <f t="shared" si="0"/>
        <v>Wood Elf3</v>
      </c>
      <c r="C207" s="12" t="s">
        <v>414</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227</v>
      </c>
      <c r="P207" s="11" t="s">
        <v>227</v>
      </c>
      <c r="Q207" s="11" t="s">
        <v>226</v>
      </c>
      <c r="R207" s="11" t="s">
        <v>226</v>
      </c>
      <c r="S207" s="11">
        <v>0</v>
      </c>
      <c r="T207" s="45" t="str">
        <f t="shared" si="68"/>
        <v>M</v>
      </c>
      <c r="U207" s="45" t="s">
        <v>639</v>
      </c>
      <c r="V207" s="12" t="s">
        <v>640</v>
      </c>
      <c r="W207" s="45" t="s">
        <v>641</v>
      </c>
      <c r="X207" s="45" t="s">
        <v>642</v>
      </c>
      <c r="Y207" s="45"/>
      <c r="Z207" s="45"/>
    </row>
    <row r="208" spans="1:26" ht="12.75" customHeight="1">
      <c r="A208" s="12" t="s">
        <v>220</v>
      </c>
      <c r="B208" s="12" t="str">
        <f t="shared" si="0"/>
        <v>Wood Elf4</v>
      </c>
      <c r="C208" s="12" t="s">
        <v>409</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227</v>
      </c>
      <c r="P208" s="11" t="s">
        <v>227</v>
      </c>
      <c r="Q208" s="11" t="s">
        <v>226</v>
      </c>
      <c r="R208" s="11" t="s">
        <v>227</v>
      </c>
      <c r="S208" s="11">
        <v>0</v>
      </c>
      <c r="T208" s="45" t="str">
        <f t="shared" si="68"/>
        <v>M</v>
      </c>
      <c r="U208" s="45" t="s">
        <v>564</v>
      </c>
      <c r="V208" s="45" t="s">
        <v>565</v>
      </c>
      <c r="W208" s="45" t="s">
        <v>566</v>
      </c>
      <c r="X208" s="45" t="s">
        <v>567</v>
      </c>
      <c r="Y208" s="45"/>
      <c r="Z208" s="45"/>
    </row>
    <row r="209" spans="1:26" ht="12.75" customHeight="1">
      <c r="A209" s="12" t="s">
        <v>220</v>
      </c>
      <c r="B209" s="12" t="str">
        <f t="shared" si="0"/>
        <v>Wood Elf5</v>
      </c>
      <c r="C209" s="12" t="s">
        <v>982</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227</v>
      </c>
      <c r="P209" s="11" t="s">
        <v>227</v>
      </c>
      <c r="Q209" s="11" t="s">
        <v>226</v>
      </c>
      <c r="R209" s="11" t="s">
        <v>226</v>
      </c>
      <c r="S209" s="11">
        <v>0</v>
      </c>
      <c r="T209" s="45" t="str">
        <f t="shared" si="68"/>
        <v>M</v>
      </c>
      <c r="U209" s="45" t="s">
        <v>983</v>
      </c>
      <c r="V209" s="45" t="s">
        <v>984</v>
      </c>
      <c r="W209" s="45" t="s">
        <v>985</v>
      </c>
      <c r="X209" s="45" t="s">
        <v>986</v>
      </c>
      <c r="Y209" s="45"/>
      <c r="Z209" s="45"/>
    </row>
    <row r="210" spans="1:26" ht="12.75" customHeight="1">
      <c r="A210" s="12" t="s">
        <v>220</v>
      </c>
      <c r="B210" s="12" t="str">
        <f t="shared" si="0"/>
        <v>Wood Elf6</v>
      </c>
      <c r="C210" s="12" t="s">
        <v>987</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226</v>
      </c>
      <c r="P210" s="11" t="s">
        <v>226</v>
      </c>
      <c r="Q210" s="11" t="s">
        <v>227</v>
      </c>
      <c r="R210" s="11">
        <v>0</v>
      </c>
      <c r="S210" s="11">
        <v>0</v>
      </c>
      <c r="T210" s="45" t="str">
        <f t="shared" si="68"/>
        <v>PM</v>
      </c>
      <c r="U210" s="45" t="s">
        <v>988</v>
      </c>
      <c r="V210" s="45" t="s">
        <v>989</v>
      </c>
      <c r="W210" s="45" t="s">
        <v>990</v>
      </c>
      <c r="X210" s="45" t="s">
        <v>991</v>
      </c>
      <c r="Y210" s="45"/>
      <c r="Z210" s="45"/>
    </row>
    <row r="211" spans="1:26" ht="12.75" customHeight="1">
      <c r="A211" s="12" t="s">
        <v>220</v>
      </c>
      <c r="B211" s="12" t="str">
        <f t="shared" si="0"/>
        <v>Wood Elf7</v>
      </c>
      <c r="C211" s="12" t="s">
        <v>540</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227</v>
      </c>
      <c r="P211" s="11" t="s">
        <v>227</v>
      </c>
      <c r="Q211" s="11" t="s">
        <v>226</v>
      </c>
      <c r="R211" s="11">
        <v>0</v>
      </c>
      <c r="S211" s="11">
        <v>0</v>
      </c>
      <c r="T211" s="45" t="str">
        <f t="shared" si="68"/>
        <v>PM</v>
      </c>
      <c r="U211" s="45" t="s">
        <v>490</v>
      </c>
      <c r="V211" s="45" t="s">
        <v>491</v>
      </c>
      <c r="W211" s="45" t="s">
        <v>492</v>
      </c>
      <c r="X211" s="45" t="s">
        <v>493</v>
      </c>
      <c r="Y211" s="45"/>
      <c r="Z211" s="45"/>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5"/>
      <c r="U212" s="45"/>
      <c r="V212" s="45"/>
      <c r="W212" s="45"/>
      <c r="X212" s="45"/>
      <c r="Y212" s="45"/>
      <c r="Z212" s="45"/>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5"/>
      <c r="U213" s="45"/>
      <c r="V213" s="45"/>
      <c r="W213" s="45"/>
      <c r="X213" s="45"/>
      <c r="Y213" s="45"/>
      <c r="Z213" s="45"/>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5"/>
      <c r="U214" s="45"/>
      <c r="V214" s="45"/>
      <c r="W214" s="45"/>
      <c r="X214" s="45"/>
      <c r="Y214" s="45"/>
      <c r="Z214" s="45"/>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5"/>
      <c r="U215" s="45"/>
      <c r="V215" s="45"/>
      <c r="W215" s="45"/>
      <c r="X215" s="45"/>
      <c r="Y215" s="45"/>
      <c r="Z215" s="45"/>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5"/>
      <c r="U216" s="45"/>
      <c r="V216" s="45"/>
      <c r="W216" s="45"/>
      <c r="X216" s="45"/>
      <c r="Y216" s="45"/>
      <c r="Z216" s="45"/>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5"/>
      <c r="U217" s="45"/>
      <c r="V217" s="45"/>
      <c r="W217" s="45"/>
      <c r="X217" s="45"/>
      <c r="Y217" s="45"/>
      <c r="Z217" s="45"/>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5"/>
      <c r="U218" s="45"/>
      <c r="V218" s="45"/>
      <c r="W218" s="45"/>
      <c r="X218" s="45"/>
      <c r="Y218" s="45"/>
      <c r="Z218" s="45"/>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5"/>
      <c r="U219" s="45"/>
      <c r="V219" s="45"/>
      <c r="W219" s="45"/>
      <c r="X219" s="45"/>
      <c r="Y219" s="45"/>
      <c r="Z219" s="45"/>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5"/>
      <c r="U220" s="45"/>
      <c r="V220" s="45"/>
      <c r="W220" s="45"/>
      <c r="X220" s="45"/>
      <c r="Y220" s="45"/>
      <c r="Z220" s="45"/>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5"/>
      <c r="U221" s="45"/>
      <c r="V221" s="45"/>
      <c r="W221" s="45"/>
      <c r="X221" s="45"/>
      <c r="Y221" s="45"/>
      <c r="Z221" s="45"/>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5"/>
      <c r="U222" s="45"/>
      <c r="V222" s="45"/>
      <c r="W222" s="45"/>
      <c r="X222" s="45"/>
      <c r="Y222" s="45"/>
      <c r="Z222" s="45"/>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5"/>
      <c r="U223" s="45"/>
      <c r="V223" s="45"/>
      <c r="W223" s="45"/>
      <c r="X223" s="45"/>
      <c r="Y223" s="45"/>
      <c r="Z223" s="45"/>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5"/>
      <c r="U224" s="45"/>
      <c r="V224" s="45"/>
      <c r="W224" s="45"/>
      <c r="X224" s="45"/>
      <c r="Y224" s="45"/>
      <c r="Z224" s="45"/>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5"/>
      <c r="U225" s="45"/>
      <c r="V225" s="45"/>
      <c r="W225" s="45"/>
      <c r="X225" s="45"/>
      <c r="Y225" s="45"/>
      <c r="Z225" s="45"/>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5"/>
      <c r="U226" s="45"/>
      <c r="V226" s="45"/>
      <c r="W226" s="45"/>
      <c r="X226" s="45"/>
      <c r="Y226" s="45"/>
      <c r="Z226" s="45"/>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5"/>
      <c r="U227" s="45"/>
      <c r="V227" s="45"/>
      <c r="W227" s="45"/>
      <c r="X227" s="45"/>
      <c r="Y227" s="45"/>
      <c r="Z227" s="45"/>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5"/>
      <c r="U228" s="45"/>
      <c r="V228" s="45"/>
      <c r="W228" s="45"/>
      <c r="X228" s="45"/>
      <c r="Y228" s="45"/>
      <c r="Z228" s="45"/>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5"/>
      <c r="U229" s="45"/>
      <c r="V229" s="45"/>
      <c r="W229" s="45"/>
      <c r="X229" s="45"/>
      <c r="Y229" s="45"/>
      <c r="Z229" s="45"/>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5"/>
      <c r="U230" s="45"/>
      <c r="V230" s="45"/>
      <c r="W230" s="45"/>
      <c r="X230" s="45"/>
      <c r="Y230" s="45"/>
      <c r="Z230" s="45"/>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5"/>
      <c r="U231" s="45"/>
      <c r="V231" s="45"/>
      <c r="W231" s="45"/>
      <c r="X231" s="45"/>
      <c r="Y231" s="45"/>
      <c r="Z231" s="45"/>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5"/>
      <c r="U232" s="45"/>
      <c r="V232" s="45"/>
      <c r="W232" s="45"/>
      <c r="X232" s="45"/>
      <c r="Y232" s="45"/>
      <c r="Z232" s="45"/>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5"/>
      <c r="U233" s="45"/>
      <c r="V233" s="45"/>
      <c r="W233" s="45"/>
      <c r="X233" s="45"/>
      <c r="Y233" s="45"/>
      <c r="Z233" s="45"/>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5"/>
      <c r="U234" s="45"/>
      <c r="V234" s="45"/>
      <c r="W234" s="45"/>
      <c r="X234" s="45"/>
      <c r="Y234" s="45"/>
      <c r="Z234" s="45"/>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5"/>
      <c r="U235" s="45"/>
      <c r="V235" s="45"/>
      <c r="W235" s="45"/>
      <c r="X235" s="45"/>
      <c r="Y235" s="45"/>
      <c r="Z235" s="45"/>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5"/>
      <c r="U236" s="45"/>
      <c r="V236" s="45"/>
      <c r="W236" s="45"/>
      <c r="X236" s="45"/>
      <c r="Y236" s="45"/>
      <c r="Z236" s="45"/>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5"/>
      <c r="U237" s="45"/>
      <c r="V237" s="45"/>
      <c r="W237" s="45"/>
      <c r="X237" s="45"/>
      <c r="Y237" s="45"/>
      <c r="Z237" s="45"/>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5"/>
      <c r="U238" s="45"/>
      <c r="V238" s="45"/>
      <c r="W238" s="45"/>
      <c r="X238" s="45"/>
      <c r="Y238" s="45"/>
      <c r="Z238" s="45"/>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5"/>
      <c r="U239" s="45"/>
      <c r="V239" s="45"/>
      <c r="W239" s="45"/>
      <c r="X239" s="45"/>
      <c r="Y239" s="45"/>
      <c r="Z239" s="45"/>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5"/>
      <c r="U240" s="45"/>
      <c r="V240" s="45"/>
      <c r="W240" s="45"/>
      <c r="X240" s="45"/>
      <c r="Y240" s="45"/>
      <c r="Z240" s="45"/>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5"/>
      <c r="U241" s="45"/>
      <c r="V241" s="45"/>
      <c r="W241" s="45"/>
      <c r="X241" s="45"/>
      <c r="Y241" s="45"/>
      <c r="Z241" s="45"/>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5"/>
      <c r="U242" s="45"/>
      <c r="V242" s="45"/>
      <c r="W242" s="45"/>
      <c r="X242" s="45"/>
      <c r="Y242" s="45"/>
      <c r="Z242" s="45"/>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5"/>
      <c r="U243" s="45"/>
      <c r="V243" s="45"/>
      <c r="W243" s="45"/>
      <c r="X243" s="45"/>
      <c r="Y243" s="45"/>
      <c r="Z243" s="45"/>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5"/>
      <c r="U244" s="45"/>
      <c r="V244" s="45"/>
      <c r="W244" s="45"/>
      <c r="X244" s="45"/>
      <c r="Y244" s="45"/>
      <c r="Z244" s="45"/>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5"/>
      <c r="U245" s="45"/>
      <c r="V245" s="45"/>
      <c r="W245" s="45"/>
      <c r="X245" s="45"/>
      <c r="Y245" s="45"/>
      <c r="Z245" s="45"/>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5"/>
      <c r="U246" s="45"/>
      <c r="V246" s="45"/>
      <c r="W246" s="45"/>
      <c r="X246" s="45"/>
      <c r="Y246" s="45"/>
      <c r="Z246" s="45"/>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5"/>
      <c r="U247" s="45"/>
      <c r="V247" s="45"/>
      <c r="W247" s="45"/>
      <c r="X247" s="45"/>
      <c r="Y247" s="45"/>
      <c r="Z247" s="45"/>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5"/>
      <c r="U248" s="45"/>
      <c r="V248" s="45"/>
      <c r="W248" s="45"/>
      <c r="X248" s="45"/>
      <c r="Y248" s="45"/>
      <c r="Z248" s="45"/>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5"/>
      <c r="U249" s="45"/>
      <c r="V249" s="45"/>
      <c r="W249" s="45"/>
      <c r="X249" s="45"/>
      <c r="Y249" s="45"/>
      <c r="Z249" s="45"/>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5"/>
      <c r="U250" s="45"/>
      <c r="V250" s="45"/>
      <c r="W250" s="45"/>
      <c r="X250" s="45"/>
      <c r="Y250" s="45"/>
      <c r="Z250" s="45"/>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5"/>
      <c r="U251" s="45"/>
      <c r="V251" s="45"/>
      <c r="W251" s="45"/>
      <c r="X251" s="45"/>
      <c r="Y251" s="45"/>
      <c r="Z251" s="45"/>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5"/>
      <c r="U252" s="45"/>
      <c r="V252" s="45"/>
      <c r="W252" s="45"/>
      <c r="X252" s="45"/>
      <c r="Y252" s="45"/>
      <c r="Z252" s="45"/>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5"/>
      <c r="U253" s="45"/>
      <c r="V253" s="45"/>
      <c r="W253" s="45"/>
      <c r="X253" s="45"/>
      <c r="Y253" s="45"/>
      <c r="Z253" s="45"/>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5"/>
      <c r="U254" s="45"/>
      <c r="V254" s="45"/>
      <c r="W254" s="45"/>
      <c r="X254" s="45"/>
      <c r="Y254" s="45"/>
      <c r="Z254" s="45"/>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5"/>
      <c r="U255" s="45"/>
      <c r="V255" s="45"/>
      <c r="W255" s="45"/>
      <c r="X255" s="45"/>
      <c r="Y255" s="45"/>
      <c r="Z255" s="45"/>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5"/>
      <c r="U256" s="45"/>
      <c r="V256" s="45"/>
      <c r="W256" s="45"/>
      <c r="X256" s="45"/>
      <c r="Y256" s="45"/>
      <c r="Z256" s="45"/>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5"/>
      <c r="U257" s="45"/>
      <c r="V257" s="45"/>
      <c r="W257" s="45"/>
      <c r="X257" s="45"/>
      <c r="Y257" s="45"/>
      <c r="Z257" s="45"/>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5"/>
      <c r="U258" s="45"/>
      <c r="V258" s="45"/>
      <c r="W258" s="45"/>
      <c r="X258" s="45"/>
      <c r="Y258" s="45"/>
      <c r="Z258" s="45"/>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5"/>
      <c r="U259" s="45"/>
      <c r="V259" s="45"/>
      <c r="W259" s="45"/>
      <c r="X259" s="45"/>
      <c r="Y259" s="45"/>
      <c r="Z259" s="45"/>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5"/>
      <c r="U260" s="45"/>
      <c r="V260" s="45"/>
      <c r="W260" s="45"/>
      <c r="X260" s="45"/>
      <c r="Y260" s="45"/>
      <c r="Z260" s="45"/>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5"/>
      <c r="U261" s="45"/>
      <c r="V261" s="45"/>
      <c r="W261" s="45"/>
      <c r="X261" s="45"/>
      <c r="Y261" s="45"/>
      <c r="Z261" s="45"/>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5"/>
      <c r="U262" s="45"/>
      <c r="V262" s="45"/>
      <c r="W262" s="45"/>
      <c r="X262" s="45"/>
      <c r="Y262" s="45"/>
      <c r="Z262" s="45"/>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5"/>
      <c r="U263" s="45"/>
      <c r="V263" s="45"/>
      <c r="W263" s="45"/>
      <c r="X263" s="45"/>
      <c r="Y263" s="45"/>
      <c r="Z263" s="45"/>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5"/>
      <c r="U264" s="45"/>
      <c r="V264" s="45"/>
      <c r="W264" s="45"/>
      <c r="X264" s="45"/>
      <c r="Y264" s="45"/>
      <c r="Z264" s="45"/>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5"/>
      <c r="U265" s="45"/>
      <c r="V265" s="45"/>
      <c r="W265" s="45"/>
      <c r="X265" s="45"/>
      <c r="Y265" s="45"/>
      <c r="Z265" s="45"/>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5"/>
      <c r="U266" s="45"/>
      <c r="V266" s="45"/>
      <c r="W266" s="45"/>
      <c r="X266" s="45"/>
      <c r="Y266" s="45"/>
      <c r="Z266" s="45"/>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5"/>
      <c r="U267" s="45"/>
      <c r="V267" s="45"/>
      <c r="W267" s="45"/>
      <c r="X267" s="45"/>
      <c r="Y267" s="45"/>
      <c r="Z267" s="45"/>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5"/>
      <c r="U268" s="45"/>
      <c r="V268" s="45"/>
      <c r="W268" s="45"/>
      <c r="X268" s="45"/>
      <c r="Y268" s="45"/>
      <c r="Z268" s="45"/>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5"/>
      <c r="U269" s="45"/>
      <c r="V269" s="45"/>
      <c r="W269" s="45"/>
      <c r="X269" s="45"/>
      <c r="Y269" s="45"/>
      <c r="Z269" s="45"/>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5"/>
      <c r="U270" s="45"/>
      <c r="V270" s="45"/>
      <c r="W270" s="45"/>
      <c r="X270" s="45"/>
      <c r="Y270" s="45"/>
      <c r="Z270" s="45"/>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5"/>
      <c r="U271" s="45"/>
      <c r="V271" s="45"/>
      <c r="W271" s="45"/>
      <c r="X271" s="45"/>
      <c r="Y271" s="45"/>
      <c r="Z271" s="45"/>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5"/>
      <c r="U272" s="45"/>
      <c r="V272" s="45"/>
      <c r="W272" s="45"/>
      <c r="X272" s="45"/>
      <c r="Y272" s="45"/>
      <c r="Z272" s="45"/>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5"/>
      <c r="U273" s="45"/>
      <c r="V273" s="45"/>
      <c r="W273" s="45"/>
      <c r="X273" s="45"/>
      <c r="Y273" s="45"/>
      <c r="Z273" s="45"/>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5"/>
      <c r="U274" s="45"/>
      <c r="V274" s="45"/>
      <c r="W274" s="45"/>
      <c r="X274" s="45"/>
      <c r="Y274" s="45"/>
      <c r="Z274" s="45"/>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5"/>
      <c r="U275" s="45"/>
      <c r="V275" s="45"/>
      <c r="W275" s="45"/>
      <c r="X275" s="45"/>
      <c r="Y275" s="45"/>
      <c r="Z275" s="45"/>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5"/>
      <c r="U276" s="45"/>
      <c r="V276" s="45"/>
      <c r="W276" s="45"/>
      <c r="X276" s="45"/>
      <c r="Y276" s="45"/>
      <c r="Z276" s="45"/>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5"/>
      <c r="U277" s="45"/>
      <c r="V277" s="45"/>
      <c r="W277" s="45"/>
      <c r="X277" s="45"/>
      <c r="Y277" s="45"/>
      <c r="Z277" s="45"/>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5"/>
      <c r="U278" s="45"/>
      <c r="V278" s="45"/>
      <c r="W278" s="45"/>
      <c r="X278" s="45"/>
      <c r="Y278" s="45"/>
      <c r="Z278" s="45"/>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5"/>
      <c r="U279" s="45"/>
      <c r="V279" s="45"/>
      <c r="W279" s="45"/>
      <c r="X279" s="45"/>
      <c r="Y279" s="45"/>
      <c r="Z279" s="45"/>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5"/>
      <c r="U280" s="45"/>
      <c r="V280" s="45"/>
      <c r="W280" s="45"/>
      <c r="X280" s="45"/>
      <c r="Y280" s="45"/>
      <c r="Z280" s="45"/>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5"/>
      <c r="U281" s="45"/>
      <c r="V281" s="45"/>
      <c r="W281" s="45"/>
      <c r="X281" s="45"/>
      <c r="Y281" s="45"/>
      <c r="Z281" s="45"/>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5"/>
      <c r="U282" s="45"/>
      <c r="V282" s="45"/>
      <c r="W282" s="45"/>
      <c r="X282" s="45"/>
      <c r="Y282" s="45"/>
      <c r="Z282" s="45"/>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5"/>
      <c r="U283" s="45"/>
      <c r="V283" s="45"/>
      <c r="W283" s="45"/>
      <c r="X283" s="45"/>
      <c r="Y283" s="45"/>
      <c r="Z283" s="45"/>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5"/>
      <c r="U284" s="45"/>
      <c r="V284" s="45"/>
      <c r="W284" s="45"/>
      <c r="X284" s="45"/>
      <c r="Y284" s="45"/>
      <c r="Z284" s="45"/>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5"/>
      <c r="U285" s="45"/>
      <c r="V285" s="45"/>
      <c r="W285" s="45"/>
      <c r="X285" s="45"/>
      <c r="Y285" s="45"/>
      <c r="Z285" s="45"/>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5"/>
      <c r="U286" s="45"/>
      <c r="V286" s="45"/>
      <c r="W286" s="45"/>
      <c r="X286" s="45"/>
      <c r="Y286" s="45"/>
      <c r="Z286" s="45"/>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5"/>
      <c r="U287" s="45"/>
      <c r="V287" s="45"/>
      <c r="W287" s="45"/>
      <c r="X287" s="45"/>
      <c r="Y287" s="45"/>
      <c r="Z287" s="45"/>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5"/>
      <c r="U288" s="45"/>
      <c r="V288" s="45"/>
      <c r="W288" s="45"/>
      <c r="X288" s="45"/>
      <c r="Y288" s="45"/>
      <c r="Z288" s="45"/>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5"/>
      <c r="U289" s="45"/>
      <c r="V289" s="45"/>
      <c r="W289" s="45"/>
      <c r="X289" s="45"/>
      <c r="Y289" s="45"/>
      <c r="Z289" s="45"/>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5"/>
      <c r="U290" s="45"/>
      <c r="V290" s="45"/>
      <c r="W290" s="45"/>
      <c r="X290" s="45"/>
      <c r="Y290" s="45"/>
      <c r="Z290" s="45"/>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5"/>
      <c r="U291" s="45"/>
      <c r="V291" s="45"/>
      <c r="W291" s="45"/>
      <c r="X291" s="45"/>
      <c r="Y291" s="45"/>
      <c r="Z291" s="45"/>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5"/>
      <c r="U292" s="45"/>
      <c r="V292" s="45"/>
      <c r="W292" s="45"/>
      <c r="X292" s="45"/>
      <c r="Y292" s="45"/>
      <c r="Z292" s="45"/>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5"/>
      <c r="U293" s="45"/>
      <c r="V293" s="45"/>
      <c r="W293" s="45"/>
      <c r="X293" s="45"/>
      <c r="Y293" s="45"/>
      <c r="Z293" s="45"/>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5"/>
      <c r="U294" s="45"/>
      <c r="V294" s="45"/>
      <c r="W294" s="45"/>
      <c r="X294" s="45"/>
      <c r="Y294" s="45"/>
      <c r="Z294" s="45"/>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5"/>
      <c r="U295" s="45"/>
      <c r="V295" s="45"/>
      <c r="W295" s="45"/>
      <c r="X295" s="45"/>
      <c r="Y295" s="45"/>
      <c r="Z295" s="45"/>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5"/>
      <c r="U296" s="45"/>
      <c r="V296" s="45"/>
      <c r="W296" s="45"/>
      <c r="X296" s="45"/>
      <c r="Y296" s="45"/>
      <c r="Z296" s="45"/>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5"/>
      <c r="U297" s="45"/>
      <c r="V297" s="45"/>
      <c r="W297" s="45"/>
      <c r="X297" s="45"/>
      <c r="Y297" s="45"/>
      <c r="Z297" s="45"/>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5"/>
      <c r="U298" s="45"/>
      <c r="V298" s="45"/>
      <c r="W298" s="45"/>
      <c r="X298" s="45"/>
      <c r="Y298" s="45"/>
      <c r="Z298" s="45"/>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5"/>
      <c r="U299" s="45"/>
      <c r="V299" s="45"/>
      <c r="W299" s="45"/>
      <c r="X299" s="45"/>
      <c r="Y299" s="45"/>
      <c r="Z299" s="45"/>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5"/>
      <c r="U300" s="45"/>
      <c r="V300" s="45"/>
      <c r="W300" s="45"/>
      <c r="X300" s="45"/>
      <c r="Y300" s="45"/>
      <c r="Z300" s="45"/>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5"/>
      <c r="U301" s="45"/>
      <c r="V301" s="45"/>
      <c r="W301" s="45"/>
      <c r="X301" s="45"/>
      <c r="Y301" s="45"/>
      <c r="Z301" s="45"/>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5"/>
      <c r="U302" s="45"/>
      <c r="V302" s="45"/>
      <c r="W302" s="45"/>
      <c r="X302" s="45"/>
      <c r="Y302" s="45"/>
      <c r="Z302" s="45"/>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5"/>
      <c r="U303" s="45"/>
      <c r="V303" s="45"/>
      <c r="W303" s="45"/>
      <c r="X303" s="45"/>
      <c r="Y303" s="45"/>
      <c r="Z303" s="45"/>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5"/>
      <c r="U304" s="45"/>
      <c r="V304" s="45"/>
      <c r="W304" s="45"/>
      <c r="X304" s="45"/>
      <c r="Y304" s="45"/>
      <c r="Z304" s="45"/>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5"/>
      <c r="U305" s="45"/>
      <c r="V305" s="45"/>
      <c r="W305" s="45"/>
      <c r="X305" s="45"/>
      <c r="Y305" s="45"/>
      <c r="Z305" s="45"/>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5"/>
      <c r="U306" s="45"/>
      <c r="V306" s="45"/>
      <c r="W306" s="45"/>
      <c r="X306" s="45"/>
      <c r="Y306" s="45"/>
      <c r="Z306" s="45"/>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5"/>
      <c r="U307" s="45"/>
      <c r="V307" s="45"/>
      <c r="W307" s="45"/>
      <c r="X307" s="45"/>
      <c r="Y307" s="45"/>
      <c r="Z307" s="45"/>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5"/>
      <c r="U308" s="45"/>
      <c r="V308" s="45"/>
      <c r="W308" s="45"/>
      <c r="X308" s="45"/>
      <c r="Y308" s="45"/>
      <c r="Z308" s="45"/>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5"/>
      <c r="U309" s="45"/>
      <c r="V309" s="45"/>
      <c r="W309" s="45"/>
      <c r="X309" s="45"/>
      <c r="Y309" s="45"/>
      <c r="Z309" s="45"/>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5"/>
      <c r="U310" s="45"/>
      <c r="V310" s="45"/>
      <c r="W310" s="45"/>
      <c r="X310" s="45"/>
      <c r="Y310" s="45"/>
      <c r="Z310" s="45"/>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5"/>
      <c r="U311" s="45"/>
      <c r="V311" s="45"/>
      <c r="W311" s="45"/>
      <c r="X311" s="45"/>
      <c r="Y311" s="45"/>
      <c r="Z311" s="45"/>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5"/>
      <c r="U312" s="45"/>
      <c r="V312" s="45"/>
      <c r="W312" s="45"/>
      <c r="X312" s="45"/>
      <c r="Y312" s="45"/>
      <c r="Z312" s="45"/>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5"/>
      <c r="U313" s="45"/>
      <c r="V313" s="45"/>
      <c r="W313" s="45"/>
      <c r="X313" s="45"/>
      <c r="Y313" s="45"/>
      <c r="Z313" s="45"/>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5"/>
      <c r="U314" s="45"/>
      <c r="V314" s="45"/>
      <c r="W314" s="45"/>
      <c r="X314" s="45"/>
      <c r="Y314" s="45"/>
      <c r="Z314" s="45"/>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5"/>
      <c r="U315" s="45"/>
      <c r="V315" s="45"/>
      <c r="W315" s="45"/>
      <c r="X315" s="45"/>
      <c r="Y315" s="45"/>
      <c r="Z315" s="45"/>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5"/>
      <c r="U316" s="45"/>
      <c r="V316" s="45"/>
      <c r="W316" s="45"/>
      <c r="X316" s="45"/>
      <c r="Y316" s="45"/>
      <c r="Z316" s="45"/>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5"/>
      <c r="U317" s="45"/>
      <c r="V317" s="45"/>
      <c r="W317" s="45"/>
      <c r="X317" s="45"/>
      <c r="Y317" s="45"/>
      <c r="Z317" s="45"/>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5"/>
      <c r="U318" s="45"/>
      <c r="V318" s="45"/>
      <c r="W318" s="45"/>
      <c r="X318" s="45"/>
      <c r="Y318" s="45"/>
      <c r="Z318" s="45"/>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5"/>
      <c r="U319" s="45"/>
      <c r="V319" s="45"/>
      <c r="W319" s="45"/>
      <c r="X319" s="45"/>
      <c r="Y319" s="45"/>
      <c r="Z319" s="45"/>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5"/>
      <c r="U320" s="45"/>
      <c r="V320" s="45"/>
      <c r="W320" s="45"/>
      <c r="X320" s="45"/>
      <c r="Y320" s="45"/>
      <c r="Z320" s="45"/>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5"/>
      <c r="U321" s="45"/>
      <c r="V321" s="45"/>
      <c r="W321" s="45"/>
      <c r="X321" s="45"/>
      <c r="Y321" s="45"/>
      <c r="Z321" s="45"/>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5"/>
      <c r="U322" s="45"/>
      <c r="V322" s="45"/>
      <c r="W322" s="45"/>
      <c r="X322" s="45"/>
      <c r="Y322" s="45"/>
      <c r="Z322" s="45"/>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5"/>
      <c r="U323" s="45"/>
      <c r="V323" s="45"/>
      <c r="W323" s="45"/>
      <c r="X323" s="45"/>
      <c r="Y323" s="45"/>
      <c r="Z323" s="45"/>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5"/>
      <c r="U324" s="45"/>
      <c r="V324" s="45"/>
      <c r="W324" s="45"/>
      <c r="X324" s="45"/>
      <c r="Y324" s="45"/>
      <c r="Z324" s="45"/>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5"/>
      <c r="U325" s="45"/>
      <c r="V325" s="45"/>
      <c r="W325" s="45"/>
      <c r="X325" s="45"/>
      <c r="Y325" s="45"/>
      <c r="Z325" s="45"/>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5"/>
      <c r="U326" s="45"/>
      <c r="V326" s="45"/>
      <c r="W326" s="45"/>
      <c r="X326" s="45"/>
      <c r="Y326" s="45"/>
      <c r="Z326" s="45"/>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5"/>
      <c r="U327" s="45"/>
      <c r="V327" s="45"/>
      <c r="W327" s="45"/>
      <c r="X327" s="45"/>
      <c r="Y327" s="45"/>
      <c r="Z327" s="45"/>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5"/>
      <c r="U328" s="45"/>
      <c r="V328" s="45"/>
      <c r="W328" s="45"/>
      <c r="X328" s="45"/>
      <c r="Y328" s="45"/>
      <c r="Z328" s="45"/>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5"/>
      <c r="U329" s="45"/>
      <c r="V329" s="45"/>
      <c r="W329" s="45"/>
      <c r="X329" s="45"/>
      <c r="Y329" s="45"/>
      <c r="Z329" s="45"/>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5"/>
      <c r="U330" s="45"/>
      <c r="V330" s="45"/>
      <c r="W330" s="45"/>
      <c r="X330" s="45"/>
      <c r="Y330" s="45"/>
      <c r="Z330" s="45"/>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5"/>
      <c r="U331" s="45"/>
      <c r="V331" s="45"/>
      <c r="W331" s="45"/>
      <c r="X331" s="45"/>
      <c r="Y331" s="45"/>
      <c r="Z331" s="45"/>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5"/>
      <c r="U332" s="45"/>
      <c r="V332" s="45"/>
      <c r="W332" s="45"/>
      <c r="X332" s="45"/>
      <c r="Y332" s="45"/>
      <c r="Z332" s="45"/>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5"/>
      <c r="U333" s="45"/>
      <c r="V333" s="45"/>
      <c r="W333" s="45"/>
      <c r="X333" s="45"/>
      <c r="Y333" s="45"/>
      <c r="Z333" s="45"/>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5"/>
      <c r="U334" s="45"/>
      <c r="V334" s="45"/>
      <c r="W334" s="45"/>
      <c r="X334" s="45"/>
      <c r="Y334" s="45"/>
      <c r="Z334" s="45"/>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5"/>
      <c r="U335" s="45"/>
      <c r="V335" s="45"/>
      <c r="W335" s="45"/>
      <c r="X335" s="45"/>
      <c r="Y335" s="45"/>
      <c r="Z335" s="45"/>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5"/>
      <c r="U336" s="45"/>
      <c r="V336" s="45"/>
      <c r="W336" s="45"/>
      <c r="X336" s="45"/>
      <c r="Y336" s="45"/>
      <c r="Z336" s="45"/>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5"/>
      <c r="U337" s="45"/>
      <c r="V337" s="45"/>
      <c r="W337" s="45"/>
      <c r="X337" s="45"/>
      <c r="Y337" s="45"/>
      <c r="Z337" s="45"/>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5"/>
      <c r="U338" s="45"/>
      <c r="V338" s="45"/>
      <c r="W338" s="45"/>
      <c r="X338" s="45"/>
      <c r="Y338" s="45"/>
      <c r="Z338" s="45"/>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5"/>
      <c r="U339" s="45"/>
      <c r="V339" s="45"/>
      <c r="W339" s="45"/>
      <c r="X339" s="45"/>
      <c r="Y339" s="45"/>
      <c r="Z339" s="45"/>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5"/>
      <c r="U340" s="45"/>
      <c r="V340" s="45"/>
      <c r="W340" s="45"/>
      <c r="X340" s="45"/>
      <c r="Y340" s="45"/>
      <c r="Z340" s="45"/>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5"/>
      <c r="U341" s="45"/>
      <c r="V341" s="45"/>
      <c r="W341" s="45"/>
      <c r="X341" s="45"/>
      <c r="Y341" s="45"/>
      <c r="Z341" s="45"/>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5"/>
      <c r="U342" s="45"/>
      <c r="V342" s="45"/>
      <c r="W342" s="45"/>
      <c r="X342" s="45"/>
      <c r="Y342" s="45"/>
      <c r="Z342" s="45"/>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5"/>
      <c r="U343" s="45"/>
      <c r="V343" s="45"/>
      <c r="W343" s="45"/>
      <c r="X343" s="45"/>
      <c r="Y343" s="45"/>
      <c r="Z343" s="45"/>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5"/>
      <c r="U344" s="45"/>
      <c r="V344" s="45"/>
      <c r="W344" s="45"/>
      <c r="X344" s="45"/>
      <c r="Y344" s="45"/>
      <c r="Z344" s="45"/>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5"/>
      <c r="U345" s="45"/>
      <c r="V345" s="45"/>
      <c r="W345" s="45"/>
      <c r="X345" s="45"/>
      <c r="Y345" s="45"/>
      <c r="Z345" s="45"/>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5"/>
      <c r="U346" s="45"/>
      <c r="V346" s="45"/>
      <c r="W346" s="45"/>
      <c r="X346" s="45"/>
      <c r="Y346" s="45"/>
      <c r="Z346" s="45"/>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5"/>
      <c r="U347" s="45"/>
      <c r="V347" s="45"/>
      <c r="W347" s="45"/>
      <c r="X347" s="45"/>
      <c r="Y347" s="45"/>
      <c r="Z347" s="45"/>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5"/>
      <c r="U348" s="45"/>
      <c r="V348" s="45"/>
      <c r="W348" s="45"/>
      <c r="X348" s="45"/>
      <c r="Y348" s="45"/>
      <c r="Z348" s="45"/>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5"/>
      <c r="U349" s="45"/>
      <c r="V349" s="45"/>
      <c r="W349" s="45"/>
      <c r="X349" s="45"/>
      <c r="Y349" s="45"/>
      <c r="Z349" s="45"/>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5"/>
      <c r="U350" s="45"/>
      <c r="V350" s="45"/>
      <c r="W350" s="45"/>
      <c r="X350" s="45"/>
      <c r="Y350" s="45"/>
      <c r="Z350" s="45"/>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5"/>
      <c r="U351" s="45"/>
      <c r="V351" s="45"/>
      <c r="W351" s="45"/>
      <c r="X351" s="45"/>
      <c r="Y351" s="45"/>
      <c r="Z351" s="45"/>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5"/>
      <c r="U352" s="45"/>
      <c r="V352" s="45"/>
      <c r="W352" s="45"/>
      <c r="X352" s="45"/>
      <c r="Y352" s="45"/>
      <c r="Z352" s="45"/>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5"/>
      <c r="U353" s="45"/>
      <c r="V353" s="45"/>
      <c r="W353" s="45"/>
      <c r="X353" s="45"/>
      <c r="Y353" s="45"/>
      <c r="Z353" s="45"/>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5"/>
      <c r="U354" s="45"/>
      <c r="V354" s="45"/>
      <c r="W354" s="45"/>
      <c r="X354" s="45"/>
      <c r="Y354" s="45"/>
      <c r="Z354" s="45"/>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5"/>
      <c r="U355" s="45"/>
      <c r="V355" s="45"/>
      <c r="W355" s="45"/>
      <c r="X355" s="45"/>
      <c r="Y355" s="45"/>
      <c r="Z355" s="45"/>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5"/>
      <c r="U356" s="45"/>
      <c r="V356" s="45"/>
      <c r="W356" s="45"/>
      <c r="X356" s="45"/>
      <c r="Y356" s="45"/>
      <c r="Z356" s="45"/>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5"/>
      <c r="U357" s="45"/>
      <c r="V357" s="45"/>
      <c r="W357" s="45"/>
      <c r="X357" s="45"/>
      <c r="Y357" s="45"/>
      <c r="Z357" s="45"/>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5"/>
      <c r="U358" s="45"/>
      <c r="V358" s="45"/>
      <c r="W358" s="45"/>
      <c r="X358" s="45"/>
      <c r="Y358" s="45"/>
      <c r="Z358" s="45"/>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5"/>
      <c r="U359" s="45"/>
      <c r="V359" s="45"/>
      <c r="W359" s="45"/>
      <c r="X359" s="45"/>
      <c r="Y359" s="45"/>
      <c r="Z359" s="45"/>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5"/>
      <c r="U360" s="45"/>
      <c r="V360" s="45"/>
      <c r="W360" s="45"/>
      <c r="X360" s="45"/>
      <c r="Y360" s="45"/>
      <c r="Z360" s="45"/>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5"/>
      <c r="U361" s="45"/>
      <c r="V361" s="45"/>
      <c r="W361" s="45"/>
      <c r="X361" s="45"/>
      <c r="Y361" s="45"/>
      <c r="Z361" s="45"/>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5"/>
      <c r="U362" s="45"/>
      <c r="V362" s="45"/>
      <c r="W362" s="45"/>
      <c r="X362" s="45"/>
      <c r="Y362" s="45"/>
      <c r="Z362" s="45"/>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5"/>
      <c r="U363" s="45"/>
      <c r="V363" s="45"/>
      <c r="W363" s="45"/>
      <c r="X363" s="45"/>
      <c r="Y363" s="45"/>
      <c r="Z363" s="45"/>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5"/>
      <c r="U364" s="45"/>
      <c r="V364" s="45"/>
      <c r="W364" s="45"/>
      <c r="X364" s="45"/>
      <c r="Y364" s="45"/>
      <c r="Z364" s="45"/>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5"/>
      <c r="U365" s="45"/>
      <c r="V365" s="45"/>
      <c r="W365" s="45"/>
      <c r="X365" s="45"/>
      <c r="Y365" s="45"/>
      <c r="Z365" s="45"/>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5"/>
      <c r="U366" s="45"/>
      <c r="V366" s="45"/>
      <c r="W366" s="45"/>
      <c r="X366" s="45"/>
      <c r="Y366" s="45"/>
      <c r="Z366" s="45"/>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5"/>
      <c r="U367" s="45"/>
      <c r="V367" s="45"/>
      <c r="W367" s="45"/>
      <c r="X367" s="45"/>
      <c r="Y367" s="45"/>
      <c r="Z367" s="45"/>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5"/>
      <c r="U368" s="45"/>
      <c r="V368" s="45"/>
      <c r="W368" s="45"/>
      <c r="X368" s="45"/>
      <c r="Y368" s="45"/>
      <c r="Z368" s="45"/>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5"/>
      <c r="U369" s="45"/>
      <c r="V369" s="45"/>
      <c r="W369" s="45"/>
      <c r="X369" s="45"/>
      <c r="Y369" s="45"/>
      <c r="Z369" s="45"/>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5"/>
      <c r="U370" s="45"/>
      <c r="V370" s="45"/>
      <c r="W370" s="45"/>
      <c r="X370" s="45"/>
      <c r="Y370" s="45"/>
      <c r="Z370" s="45"/>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5"/>
      <c r="U371" s="45"/>
      <c r="V371" s="45"/>
      <c r="W371" s="45"/>
      <c r="X371" s="45"/>
      <c r="Y371" s="45"/>
      <c r="Z371" s="45"/>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5"/>
      <c r="U372" s="45"/>
      <c r="V372" s="45"/>
      <c r="W372" s="45"/>
      <c r="X372" s="45"/>
      <c r="Y372" s="45"/>
      <c r="Z372" s="45"/>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5"/>
      <c r="U373" s="45"/>
      <c r="V373" s="45"/>
      <c r="W373" s="45"/>
      <c r="X373" s="45"/>
      <c r="Y373" s="45"/>
      <c r="Z373" s="45"/>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5"/>
      <c r="U374" s="45"/>
      <c r="V374" s="45"/>
      <c r="W374" s="45"/>
      <c r="X374" s="45"/>
      <c r="Y374" s="45"/>
      <c r="Z374" s="45"/>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5"/>
      <c r="U375" s="45"/>
      <c r="V375" s="45"/>
      <c r="W375" s="45"/>
      <c r="X375" s="45"/>
      <c r="Y375" s="45"/>
      <c r="Z375" s="45"/>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5"/>
      <c r="U376" s="45"/>
      <c r="V376" s="45"/>
      <c r="W376" s="45"/>
      <c r="X376" s="45"/>
      <c r="Y376" s="45"/>
      <c r="Z376" s="45"/>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5"/>
      <c r="U377" s="45"/>
      <c r="V377" s="45"/>
      <c r="W377" s="45"/>
      <c r="X377" s="45"/>
      <c r="Y377" s="45"/>
      <c r="Z377" s="45"/>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5"/>
      <c r="U378" s="45"/>
      <c r="V378" s="45"/>
      <c r="W378" s="45"/>
      <c r="X378" s="45"/>
      <c r="Y378" s="45"/>
      <c r="Z378" s="45"/>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5"/>
      <c r="U379" s="45"/>
      <c r="V379" s="45"/>
      <c r="W379" s="45"/>
      <c r="X379" s="45"/>
      <c r="Y379" s="45"/>
      <c r="Z379" s="45"/>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5"/>
      <c r="U380" s="45"/>
      <c r="V380" s="45"/>
      <c r="W380" s="45"/>
      <c r="X380" s="45"/>
      <c r="Y380" s="45"/>
      <c r="Z380" s="45"/>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5"/>
      <c r="U381" s="45"/>
      <c r="V381" s="45"/>
      <c r="W381" s="45"/>
      <c r="X381" s="45"/>
      <c r="Y381" s="45"/>
      <c r="Z381" s="45"/>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5"/>
      <c r="U382" s="45"/>
      <c r="V382" s="45"/>
      <c r="W382" s="45"/>
      <c r="X382" s="45"/>
      <c r="Y382" s="45"/>
      <c r="Z382" s="45"/>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5"/>
      <c r="U383" s="45"/>
      <c r="V383" s="45"/>
      <c r="W383" s="45"/>
      <c r="X383" s="45"/>
      <c r="Y383" s="45"/>
      <c r="Z383" s="45"/>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5"/>
      <c r="U384" s="45"/>
      <c r="V384" s="45"/>
      <c r="W384" s="45"/>
      <c r="X384" s="45"/>
      <c r="Y384" s="45"/>
      <c r="Z384" s="45"/>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5"/>
      <c r="U385" s="45"/>
      <c r="V385" s="45"/>
      <c r="W385" s="45"/>
      <c r="X385" s="45"/>
      <c r="Y385" s="45"/>
      <c r="Z385" s="45"/>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5"/>
      <c r="U386" s="45"/>
      <c r="V386" s="45"/>
      <c r="W386" s="45"/>
      <c r="X386" s="45"/>
      <c r="Y386" s="45"/>
      <c r="Z386" s="45"/>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5"/>
      <c r="U387" s="45"/>
      <c r="V387" s="45"/>
      <c r="W387" s="45"/>
      <c r="X387" s="45"/>
      <c r="Y387" s="45"/>
      <c r="Z387" s="45"/>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5"/>
      <c r="U388" s="45"/>
      <c r="V388" s="45"/>
      <c r="W388" s="45"/>
      <c r="X388" s="45"/>
      <c r="Y388" s="45"/>
      <c r="Z388" s="45"/>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5"/>
      <c r="U389" s="45"/>
      <c r="V389" s="45"/>
      <c r="W389" s="45"/>
      <c r="X389" s="45"/>
      <c r="Y389" s="45"/>
      <c r="Z389" s="45"/>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5"/>
      <c r="U390" s="45"/>
      <c r="V390" s="45"/>
      <c r="W390" s="45"/>
      <c r="X390" s="45"/>
      <c r="Y390" s="45"/>
      <c r="Z390" s="45"/>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5"/>
      <c r="U391" s="45"/>
      <c r="V391" s="45"/>
      <c r="W391" s="45"/>
      <c r="X391" s="45"/>
      <c r="Y391" s="45"/>
      <c r="Z391" s="45"/>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5"/>
      <c r="U392" s="45"/>
      <c r="V392" s="45"/>
      <c r="W392" s="45"/>
      <c r="X392" s="45"/>
      <c r="Y392" s="45"/>
      <c r="Z392" s="45"/>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5"/>
      <c r="U393" s="45"/>
      <c r="V393" s="45"/>
      <c r="W393" s="45"/>
      <c r="X393" s="45"/>
      <c r="Y393" s="45"/>
      <c r="Z393" s="45"/>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5"/>
      <c r="U394" s="45"/>
      <c r="V394" s="45"/>
      <c r="W394" s="45"/>
      <c r="X394" s="45"/>
      <c r="Y394" s="45"/>
      <c r="Z394" s="45"/>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5"/>
      <c r="U395" s="45"/>
      <c r="V395" s="45"/>
      <c r="W395" s="45"/>
      <c r="X395" s="45"/>
      <c r="Y395" s="45"/>
      <c r="Z395" s="45"/>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5"/>
      <c r="U396" s="45"/>
      <c r="V396" s="45"/>
      <c r="W396" s="45"/>
      <c r="X396" s="45"/>
      <c r="Y396" s="45"/>
      <c r="Z396" s="45"/>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5"/>
      <c r="U397" s="45"/>
      <c r="V397" s="45"/>
      <c r="W397" s="45"/>
      <c r="X397" s="45"/>
      <c r="Y397" s="45"/>
      <c r="Z397" s="45"/>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5"/>
      <c r="U398" s="45"/>
      <c r="V398" s="45"/>
      <c r="W398" s="45"/>
      <c r="X398" s="45"/>
      <c r="Y398" s="45"/>
      <c r="Z398" s="45"/>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5"/>
      <c r="U399" s="45"/>
      <c r="V399" s="45"/>
      <c r="W399" s="45"/>
      <c r="X399" s="45"/>
      <c r="Y399" s="45"/>
      <c r="Z399" s="45"/>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5"/>
      <c r="U400" s="45"/>
      <c r="V400" s="45"/>
      <c r="W400" s="45"/>
      <c r="X400" s="45"/>
      <c r="Y400" s="45"/>
      <c r="Z400" s="45"/>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5"/>
      <c r="U401" s="45"/>
      <c r="V401" s="45"/>
      <c r="W401" s="45"/>
      <c r="X401" s="45"/>
      <c r="Y401" s="45"/>
      <c r="Z401" s="45"/>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5"/>
      <c r="U402" s="45"/>
      <c r="V402" s="45"/>
      <c r="W402" s="45"/>
      <c r="X402" s="45"/>
      <c r="Y402" s="45"/>
      <c r="Z402" s="45"/>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5"/>
      <c r="U403" s="45"/>
      <c r="V403" s="45"/>
      <c r="W403" s="45"/>
      <c r="X403" s="45"/>
      <c r="Y403" s="45"/>
      <c r="Z403" s="45"/>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5"/>
      <c r="U404" s="45"/>
      <c r="V404" s="45"/>
      <c r="W404" s="45"/>
      <c r="X404" s="45"/>
      <c r="Y404" s="45"/>
      <c r="Z404" s="45"/>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5"/>
      <c r="U405" s="45"/>
      <c r="V405" s="45"/>
      <c r="W405" s="45"/>
      <c r="X405" s="45"/>
      <c r="Y405" s="45"/>
      <c r="Z405" s="45"/>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5"/>
      <c r="U406" s="45"/>
      <c r="V406" s="45"/>
      <c r="W406" s="45"/>
      <c r="X406" s="45"/>
      <c r="Y406" s="45"/>
      <c r="Z406" s="45"/>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5"/>
      <c r="U407" s="45"/>
      <c r="V407" s="45"/>
      <c r="W407" s="45"/>
      <c r="X407" s="45"/>
      <c r="Y407" s="45"/>
      <c r="Z407" s="45"/>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5"/>
      <c r="U408" s="45"/>
      <c r="V408" s="45"/>
      <c r="W408" s="45"/>
      <c r="X408" s="45"/>
      <c r="Y408" s="45"/>
      <c r="Z408" s="45"/>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5"/>
      <c r="U409" s="45"/>
      <c r="V409" s="45"/>
      <c r="W409" s="45"/>
      <c r="X409" s="45"/>
      <c r="Y409" s="45"/>
      <c r="Z409" s="45"/>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5"/>
      <c r="U410" s="45"/>
      <c r="V410" s="45"/>
      <c r="W410" s="45"/>
      <c r="X410" s="45"/>
      <c r="Y410" s="45"/>
      <c r="Z410" s="45"/>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5"/>
      <c r="U411" s="45"/>
      <c r="V411" s="45"/>
      <c r="W411" s="45"/>
      <c r="X411" s="45"/>
      <c r="Y411" s="45"/>
      <c r="Z411" s="45"/>
    </row>
    <row r="412" spans="1:26" ht="15.75" customHeight="1"/>
    <row r="413" spans="1:26" ht="15.75" customHeight="1"/>
    <row r="414" spans="1:26" ht="15.75" customHeight="1"/>
    <row r="415" spans="1:26" ht="15.75" customHeight="1"/>
    <row r="416" spans="1:2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5" t="s">
        <v>992</v>
      </c>
      <c r="C1" s="25" t="s">
        <v>229</v>
      </c>
      <c r="D1" s="25" t="s">
        <v>233</v>
      </c>
      <c r="E1" s="25" t="s">
        <v>231</v>
      </c>
      <c r="F1" s="25" t="s">
        <v>232</v>
      </c>
      <c r="G1" s="25" t="s">
        <v>230</v>
      </c>
      <c r="H1" s="25" t="s">
        <v>396</v>
      </c>
      <c r="I1" s="25" t="s">
        <v>993</v>
      </c>
      <c r="J1" s="25" t="s">
        <v>397</v>
      </c>
      <c r="K1" s="25" t="s">
        <v>398</v>
      </c>
      <c r="L1" s="2"/>
      <c r="M1" s="26" t="s">
        <v>994</v>
      </c>
      <c r="N1" s="26" t="s">
        <v>995</v>
      </c>
      <c r="O1" s="26" t="s">
        <v>996</v>
      </c>
      <c r="P1" s="26" t="s">
        <v>997</v>
      </c>
      <c r="Q1" s="26" t="s">
        <v>998</v>
      </c>
      <c r="R1" s="157"/>
      <c r="S1" s="26" t="s">
        <v>999</v>
      </c>
      <c r="T1" s="26" t="s">
        <v>1000</v>
      </c>
      <c r="U1" s="26" t="s">
        <v>1001</v>
      </c>
      <c r="V1" s="26" t="s">
        <v>1002</v>
      </c>
      <c r="W1" s="26" t="s">
        <v>1003</v>
      </c>
      <c r="X1" s="2"/>
      <c r="Y1" s="2"/>
      <c r="Z1" s="2"/>
      <c r="AA1" s="2"/>
      <c r="AB1" s="2"/>
      <c r="AC1" s="2"/>
      <c r="AD1" s="2"/>
      <c r="AE1" s="2"/>
      <c r="AF1" s="2"/>
      <c r="AG1" s="2"/>
      <c r="AH1" s="2"/>
    </row>
    <row r="2" spans="1:34" ht="12.75" customHeight="1">
      <c r="A2" s="2"/>
      <c r="B2" s="2" t="s">
        <v>1004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291</v>
      </c>
      <c r="C3" s="12">
        <v>0</v>
      </c>
      <c r="D3" s="12">
        <v>0</v>
      </c>
      <c r="E3" s="12">
        <v>0</v>
      </c>
      <c r="F3" s="12">
        <v>0</v>
      </c>
      <c r="G3" s="12">
        <v>0</v>
      </c>
      <c r="H3" s="12">
        <v>0</v>
      </c>
      <c r="I3" s="12">
        <v>0</v>
      </c>
      <c r="J3" s="11">
        <v>0</v>
      </c>
      <c r="K3" s="11">
        <v>2</v>
      </c>
      <c r="L3" s="2"/>
      <c r="M3" s="157">
        <v>0</v>
      </c>
      <c r="N3" s="157">
        <v>0</v>
      </c>
      <c r="O3" s="157">
        <v>0</v>
      </c>
      <c r="P3" s="157">
        <v>0</v>
      </c>
      <c r="Q3" s="157">
        <v>0</v>
      </c>
      <c r="R3" s="157"/>
      <c r="S3" s="157">
        <v>0</v>
      </c>
      <c r="T3" s="157">
        <v>0</v>
      </c>
      <c r="U3" s="157">
        <v>0</v>
      </c>
      <c r="V3" s="157">
        <v>0</v>
      </c>
      <c r="W3" s="157">
        <v>0</v>
      </c>
      <c r="X3" s="2"/>
      <c r="Y3" s="2"/>
      <c r="Z3" s="2"/>
      <c r="AA3" s="2"/>
      <c r="AB3" s="2"/>
      <c r="AC3" s="2"/>
      <c r="AD3" s="2"/>
      <c r="AE3" s="2"/>
      <c r="AF3" s="2"/>
      <c r="AG3" s="2"/>
      <c r="AH3" s="2"/>
    </row>
    <row r="4" spans="1:34" ht="12.75" customHeight="1">
      <c r="A4" s="12" t="s">
        <v>1005</v>
      </c>
      <c r="B4" s="12" t="s">
        <v>1006</v>
      </c>
      <c r="C4" s="12">
        <v>7</v>
      </c>
      <c r="D4" s="12">
        <v>1</v>
      </c>
      <c r="E4" s="12" t="s">
        <v>1007</v>
      </c>
      <c r="F4" s="12" t="s">
        <v>318</v>
      </c>
      <c r="G4" s="12" t="s">
        <v>1008</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57" t="s">
        <v>1009</v>
      </c>
      <c r="N4" s="157" t="s">
        <v>1010</v>
      </c>
      <c r="O4" s="157" t="s">
        <v>1011</v>
      </c>
      <c r="P4" s="157" t="s">
        <v>1012</v>
      </c>
      <c r="Q4" s="157"/>
      <c r="R4" s="157"/>
      <c r="S4" s="157" t="s">
        <v>1013</v>
      </c>
      <c r="T4" s="157" t="s">
        <v>1014</v>
      </c>
      <c r="U4" s="157" t="s">
        <v>1015</v>
      </c>
      <c r="V4" s="157" t="s">
        <v>1016</v>
      </c>
      <c r="W4" s="157"/>
      <c r="X4" s="2"/>
      <c r="Y4" s="2"/>
      <c r="Z4" s="2"/>
      <c r="AA4" s="2"/>
      <c r="AB4" s="2"/>
      <c r="AC4" s="2"/>
      <c r="AD4" s="2"/>
      <c r="AE4" s="2"/>
      <c r="AF4" s="2"/>
      <c r="AG4" s="2"/>
      <c r="AH4" s="2"/>
    </row>
    <row r="5" spans="1:34" ht="12.75" customHeight="1">
      <c r="A5" s="12" t="s">
        <v>1017</v>
      </c>
      <c r="B5" s="12" t="s">
        <v>1018</v>
      </c>
      <c r="C5" s="12">
        <v>6</v>
      </c>
      <c r="D5" s="12">
        <v>3</v>
      </c>
      <c r="E5" s="12" t="s">
        <v>1019</v>
      </c>
      <c r="F5" s="12" t="s">
        <v>318</v>
      </c>
      <c r="G5" s="12" t="s">
        <v>1020</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57" t="s">
        <v>1021</v>
      </c>
      <c r="N5" s="157" t="s">
        <v>1022</v>
      </c>
      <c r="O5" s="157" t="s">
        <v>1023</v>
      </c>
      <c r="P5" s="157" t="s">
        <v>1024</v>
      </c>
      <c r="Q5" s="157"/>
      <c r="R5" s="157"/>
      <c r="S5" s="157" t="s">
        <v>1025</v>
      </c>
      <c r="T5" s="157" t="s">
        <v>1026</v>
      </c>
      <c r="U5" s="157" t="s">
        <v>1027</v>
      </c>
      <c r="V5" s="157" t="s">
        <v>1028</v>
      </c>
      <c r="W5" s="157"/>
      <c r="X5" s="2"/>
      <c r="Y5" s="2"/>
      <c r="Z5" s="2"/>
      <c r="AA5" s="2"/>
      <c r="AB5" s="2"/>
      <c r="AC5" s="2"/>
      <c r="AD5" s="2"/>
      <c r="AE5" s="2"/>
      <c r="AF5" s="2"/>
      <c r="AG5" s="2"/>
      <c r="AH5" s="2"/>
    </row>
    <row r="6" spans="1:34" ht="12.75" customHeight="1">
      <c r="A6" s="12" t="s">
        <v>1029</v>
      </c>
      <c r="B6" s="12" t="s">
        <v>1030</v>
      </c>
      <c r="C6" s="12">
        <v>6</v>
      </c>
      <c r="D6" s="12">
        <v>2</v>
      </c>
      <c r="E6" s="12" t="s">
        <v>1019</v>
      </c>
      <c r="F6" s="12" t="s">
        <v>1019</v>
      </c>
      <c r="G6" s="12" t="s">
        <v>1020</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57" t="s">
        <v>1031</v>
      </c>
      <c r="N6" s="157" t="s">
        <v>1032</v>
      </c>
      <c r="O6" s="157" t="s">
        <v>1033</v>
      </c>
      <c r="P6" s="157" t="s">
        <v>1034</v>
      </c>
      <c r="Q6" s="157"/>
      <c r="R6" s="157"/>
      <c r="S6" s="157" t="s">
        <v>1035</v>
      </c>
      <c r="T6" s="157" t="s">
        <v>1036</v>
      </c>
      <c r="U6" s="157" t="s">
        <v>1037</v>
      </c>
      <c r="V6" s="157" t="s">
        <v>1038</v>
      </c>
      <c r="W6" s="157"/>
      <c r="X6" s="2"/>
      <c r="Y6" s="2"/>
      <c r="Z6" s="2"/>
      <c r="AA6" s="2"/>
      <c r="AB6" s="2"/>
      <c r="AC6" s="2"/>
      <c r="AD6" s="2"/>
      <c r="AE6" s="2"/>
      <c r="AF6" s="2"/>
      <c r="AG6" s="2"/>
      <c r="AH6" s="2"/>
    </row>
    <row r="7" spans="1:34" ht="12.75" customHeight="1">
      <c r="A7" s="12" t="s">
        <v>1039</v>
      </c>
      <c r="B7" s="12" t="s">
        <v>1040</v>
      </c>
      <c r="C7" s="12">
        <v>5</v>
      </c>
      <c r="D7" s="12">
        <v>5</v>
      </c>
      <c r="E7" s="12" t="s">
        <v>1041</v>
      </c>
      <c r="F7" s="12" t="s">
        <v>1041</v>
      </c>
      <c r="G7" s="12" t="s">
        <v>1042</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57" t="s">
        <v>1043</v>
      </c>
      <c r="N7" s="157" t="s">
        <v>1044</v>
      </c>
      <c r="O7" s="157" t="s">
        <v>1045</v>
      </c>
      <c r="P7" s="157" t="s">
        <v>1046</v>
      </c>
      <c r="Q7" s="157"/>
      <c r="R7" s="157"/>
      <c r="S7" s="157" t="s">
        <v>1047</v>
      </c>
      <c r="T7" s="157" t="s">
        <v>1048</v>
      </c>
      <c r="U7" s="157" t="s">
        <v>1049</v>
      </c>
      <c r="V7" s="157" t="s">
        <v>1050</v>
      </c>
      <c r="W7" s="157"/>
      <c r="X7" s="2"/>
      <c r="Y7" s="2"/>
      <c r="Z7" s="2"/>
      <c r="AA7" s="2"/>
      <c r="AB7" s="2"/>
      <c r="AC7" s="2"/>
      <c r="AD7" s="2"/>
      <c r="AE7" s="2"/>
      <c r="AF7" s="2"/>
      <c r="AG7" s="2"/>
      <c r="AH7" s="2"/>
    </row>
    <row r="8" spans="1:34" ht="12.75" customHeight="1">
      <c r="A8" s="12" t="s">
        <v>1051</v>
      </c>
      <c r="B8" s="12" t="s">
        <v>1052</v>
      </c>
      <c r="C8" s="12">
        <v>5</v>
      </c>
      <c r="D8" s="12">
        <v>2</v>
      </c>
      <c r="E8" s="12" t="s">
        <v>1019</v>
      </c>
      <c r="F8" s="12" t="s">
        <v>1008</v>
      </c>
      <c r="G8" s="12" t="s">
        <v>1053</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57" t="s">
        <v>1043</v>
      </c>
      <c r="N8" s="157" t="s">
        <v>1044</v>
      </c>
      <c r="O8" s="157" t="s">
        <v>1045</v>
      </c>
      <c r="P8" s="157" t="s">
        <v>1046</v>
      </c>
      <c r="Q8" s="157"/>
      <c r="R8" s="157"/>
      <c r="S8" s="157" t="s">
        <v>1054</v>
      </c>
      <c r="T8" s="157" t="s">
        <v>1055</v>
      </c>
      <c r="U8" s="157" t="s">
        <v>1056</v>
      </c>
      <c r="V8" s="157" t="s">
        <v>1057</v>
      </c>
      <c r="W8" s="157"/>
      <c r="X8" s="2"/>
      <c r="Y8" s="2"/>
      <c r="Z8" s="2"/>
      <c r="AA8" s="2"/>
      <c r="AB8" s="2"/>
      <c r="AC8" s="2"/>
      <c r="AD8" s="2"/>
      <c r="AE8" s="2"/>
      <c r="AF8" s="2"/>
      <c r="AG8" s="2"/>
      <c r="AH8" s="2"/>
    </row>
    <row r="9" spans="1:34" ht="12.75" customHeight="1">
      <c r="A9" s="12" t="s">
        <v>1058</v>
      </c>
      <c r="B9" s="12" t="s">
        <v>1059</v>
      </c>
      <c r="C9" s="12">
        <v>6</v>
      </c>
      <c r="D9" s="12">
        <v>5</v>
      </c>
      <c r="E9" s="12" t="s">
        <v>1019</v>
      </c>
      <c r="F9" s="12" t="s">
        <v>1060</v>
      </c>
      <c r="G9" s="12" t="s">
        <v>1042</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57" t="s">
        <v>1061</v>
      </c>
      <c r="N9" s="157" t="s">
        <v>1062</v>
      </c>
      <c r="O9" s="157" t="s">
        <v>1063</v>
      </c>
      <c r="P9" s="157" t="s">
        <v>1064</v>
      </c>
      <c r="Q9" s="157"/>
      <c r="R9" s="157"/>
      <c r="S9" s="157" t="s">
        <v>1065</v>
      </c>
      <c r="T9" s="157" t="s">
        <v>1066</v>
      </c>
      <c r="U9" s="157" t="s">
        <v>1067</v>
      </c>
      <c r="V9" s="157" t="s">
        <v>1068</v>
      </c>
      <c r="W9" s="157"/>
      <c r="X9" s="2"/>
      <c r="Y9" s="2"/>
      <c r="Z9" s="2"/>
      <c r="AA9" s="2"/>
      <c r="AB9" s="2"/>
      <c r="AC9" s="2"/>
      <c r="AD9" s="2"/>
      <c r="AE9" s="2"/>
      <c r="AF9" s="2"/>
      <c r="AG9" s="2"/>
      <c r="AH9" s="2"/>
    </row>
    <row r="10" spans="1:34" ht="12.75" customHeight="1">
      <c r="A10" s="12" t="s">
        <v>1069</v>
      </c>
      <c r="B10" s="12" t="s">
        <v>1070</v>
      </c>
      <c r="C10" s="12">
        <v>6</v>
      </c>
      <c r="D10" s="12">
        <v>6</v>
      </c>
      <c r="E10" s="12" t="s">
        <v>1019</v>
      </c>
      <c r="F10" s="12" t="s">
        <v>1041</v>
      </c>
      <c r="G10" s="12" t="s">
        <v>1071</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57" t="s">
        <v>1072</v>
      </c>
      <c r="N10" s="157" t="s">
        <v>1073</v>
      </c>
      <c r="O10" s="157" t="s">
        <v>1074</v>
      </c>
      <c r="P10" s="157" t="s">
        <v>1075</v>
      </c>
      <c r="Q10" s="157"/>
      <c r="R10" s="157"/>
      <c r="S10" s="157" t="s">
        <v>1076</v>
      </c>
      <c r="T10" s="157" t="s">
        <v>1077</v>
      </c>
      <c r="U10" s="157" t="s">
        <v>1078</v>
      </c>
      <c r="V10" s="157" t="s">
        <v>1079</v>
      </c>
      <c r="W10" s="157"/>
      <c r="X10" s="2"/>
      <c r="Y10" s="2"/>
      <c r="Z10" s="2"/>
      <c r="AA10" s="2"/>
      <c r="AB10" s="2"/>
      <c r="AC10" s="2"/>
      <c r="AD10" s="2"/>
      <c r="AE10" s="2"/>
      <c r="AF10" s="2"/>
      <c r="AG10" s="2"/>
      <c r="AH10" s="2"/>
    </row>
    <row r="11" spans="1:34" ht="12.75" customHeight="1">
      <c r="A11" s="12" t="s">
        <v>1080</v>
      </c>
      <c r="B11" s="12" t="s">
        <v>1081</v>
      </c>
      <c r="C11" s="12">
        <v>9</v>
      </c>
      <c r="D11" s="12">
        <v>3</v>
      </c>
      <c r="E11" s="12" t="s">
        <v>1007</v>
      </c>
      <c r="F11" s="12" t="s">
        <v>1019</v>
      </c>
      <c r="G11" s="12" t="s">
        <v>1082</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57" t="s">
        <v>1083</v>
      </c>
      <c r="N11" s="157" t="s">
        <v>1084</v>
      </c>
      <c r="O11" s="157" t="s">
        <v>1085</v>
      </c>
      <c r="P11" s="157" t="s">
        <v>1086</v>
      </c>
      <c r="Q11" s="157"/>
      <c r="R11" s="157"/>
      <c r="S11" s="157" t="s">
        <v>1087</v>
      </c>
      <c r="T11" s="157" t="s">
        <v>1088</v>
      </c>
      <c r="U11" s="157" t="s">
        <v>1089</v>
      </c>
      <c r="V11" s="157" t="s">
        <v>1090</v>
      </c>
      <c r="W11" s="157"/>
      <c r="X11" s="2"/>
      <c r="Y11" s="2"/>
      <c r="Z11" s="2"/>
      <c r="AA11" s="2"/>
      <c r="AB11" s="2"/>
      <c r="AC11" s="2"/>
      <c r="AD11" s="2"/>
      <c r="AE11" s="2"/>
      <c r="AF11" s="2"/>
      <c r="AG11" s="2"/>
      <c r="AH11" s="2"/>
    </row>
    <row r="12" spans="1:34" ht="12.75" customHeight="1">
      <c r="A12" s="12" t="s">
        <v>1091</v>
      </c>
      <c r="B12" s="12" t="s">
        <v>1092</v>
      </c>
      <c r="C12" s="12">
        <v>5</v>
      </c>
      <c r="D12" s="12">
        <v>4</v>
      </c>
      <c r="E12" s="12" t="s">
        <v>1041</v>
      </c>
      <c r="F12" s="12" t="s">
        <v>318</v>
      </c>
      <c r="G12" s="12" t="s">
        <v>1020</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57" t="s">
        <v>1093</v>
      </c>
      <c r="N12" s="157" t="s">
        <v>1094</v>
      </c>
      <c r="O12" s="157" t="s">
        <v>1095</v>
      </c>
      <c r="P12" s="157" t="s">
        <v>1096</v>
      </c>
      <c r="Q12" s="157"/>
      <c r="R12" s="157"/>
      <c r="S12" s="157" t="s">
        <v>1097</v>
      </c>
      <c r="T12" s="157" t="s">
        <v>1098</v>
      </c>
      <c r="U12" s="157" t="s">
        <v>1099</v>
      </c>
      <c r="V12" s="157" t="s">
        <v>1100</v>
      </c>
      <c r="W12" s="157"/>
      <c r="X12" s="2"/>
      <c r="Y12" s="2"/>
      <c r="Z12" s="2"/>
      <c r="AA12" s="2"/>
      <c r="AB12" s="2"/>
      <c r="AC12" s="2"/>
      <c r="AD12" s="2"/>
      <c r="AE12" s="2"/>
      <c r="AF12" s="2"/>
      <c r="AG12" s="2"/>
      <c r="AH12" s="2"/>
    </row>
    <row r="13" spans="1:34" ht="12.75" customHeight="1">
      <c r="A13" s="12" t="s">
        <v>1101</v>
      </c>
      <c r="B13" s="12" t="s">
        <v>1102</v>
      </c>
      <c r="C13" s="12">
        <v>6</v>
      </c>
      <c r="D13" s="12">
        <v>3</v>
      </c>
      <c r="E13" s="12" t="s">
        <v>1019</v>
      </c>
      <c r="F13" s="12" t="s">
        <v>318</v>
      </c>
      <c r="G13" s="12" t="s">
        <v>1082</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57" t="s">
        <v>1103</v>
      </c>
      <c r="N13" s="157" t="s">
        <v>1104</v>
      </c>
      <c r="O13" s="157" t="s">
        <v>1105</v>
      </c>
      <c r="P13" s="157" t="s">
        <v>1106</v>
      </c>
      <c r="Q13" s="157"/>
      <c r="R13" s="157"/>
      <c r="S13" s="157" t="s">
        <v>1107</v>
      </c>
      <c r="T13" s="157" t="s">
        <v>1108</v>
      </c>
      <c r="U13" s="157" t="s">
        <v>1109</v>
      </c>
      <c r="V13" s="157" t="s">
        <v>1110</v>
      </c>
      <c r="W13" s="157"/>
      <c r="X13" s="2"/>
      <c r="Y13" s="2"/>
      <c r="Z13" s="2"/>
      <c r="AA13" s="2"/>
      <c r="AB13" s="2"/>
      <c r="AC13" s="2"/>
      <c r="AD13" s="2"/>
      <c r="AE13" s="2"/>
      <c r="AF13" s="2"/>
      <c r="AG13" s="2"/>
      <c r="AH13" s="2"/>
    </row>
    <row r="14" spans="1:34" ht="12.75" customHeight="1">
      <c r="A14" s="12" t="s">
        <v>1111</v>
      </c>
      <c r="B14" s="12" t="s">
        <v>1112</v>
      </c>
      <c r="C14" s="12">
        <v>5</v>
      </c>
      <c r="D14" s="12">
        <v>4</v>
      </c>
      <c r="E14" s="12" t="s">
        <v>1019</v>
      </c>
      <c r="F14" s="12" t="s">
        <v>318</v>
      </c>
      <c r="G14" s="12" t="s">
        <v>1020</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57" t="s">
        <v>1113</v>
      </c>
      <c r="N14" s="157" t="s">
        <v>1114</v>
      </c>
      <c r="O14" s="157" t="s">
        <v>1115</v>
      </c>
      <c r="P14" s="157" t="s">
        <v>1116</v>
      </c>
      <c r="Q14" s="157"/>
      <c r="R14" s="157"/>
      <c r="S14" s="157" t="s">
        <v>1117</v>
      </c>
      <c r="T14" s="157" t="s">
        <v>1118</v>
      </c>
      <c r="U14" s="157" t="s">
        <v>1119</v>
      </c>
      <c r="V14" s="157" t="s">
        <v>1120</v>
      </c>
      <c r="W14" s="157"/>
      <c r="X14" s="2"/>
      <c r="Y14" s="2"/>
      <c r="Z14" s="2"/>
      <c r="AA14" s="2"/>
      <c r="AB14" s="2"/>
      <c r="AC14" s="2"/>
      <c r="AD14" s="2"/>
      <c r="AE14" s="2"/>
      <c r="AF14" s="2"/>
      <c r="AG14" s="2"/>
      <c r="AH14" s="2"/>
    </row>
    <row r="15" spans="1:34" ht="12.75" customHeight="1">
      <c r="A15" s="12" t="s">
        <v>1121</v>
      </c>
      <c r="B15" s="12" t="s">
        <v>1122</v>
      </c>
      <c r="C15" s="12">
        <v>5</v>
      </c>
      <c r="D15" s="12">
        <v>3</v>
      </c>
      <c r="E15" s="12" t="s">
        <v>1019</v>
      </c>
      <c r="F15" s="12" t="s">
        <v>1041</v>
      </c>
      <c r="G15" s="12" t="s">
        <v>1042</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57" t="s">
        <v>1123</v>
      </c>
      <c r="N15" s="157" t="s">
        <v>1124</v>
      </c>
      <c r="O15" s="157" t="s">
        <v>1125</v>
      </c>
      <c r="P15" s="157" t="s">
        <v>1126</v>
      </c>
      <c r="Q15" s="157"/>
      <c r="R15" s="157"/>
      <c r="S15" s="157" t="s">
        <v>1127</v>
      </c>
      <c r="T15" s="157" t="s">
        <v>1128</v>
      </c>
      <c r="U15" s="157" t="s">
        <v>1129</v>
      </c>
      <c r="V15" s="157" t="s">
        <v>1130</v>
      </c>
      <c r="W15" s="157"/>
      <c r="X15" s="2"/>
      <c r="Y15" s="2"/>
      <c r="Z15" s="2"/>
      <c r="AA15" s="2"/>
      <c r="AB15" s="2"/>
      <c r="AC15" s="2"/>
      <c r="AD15" s="2"/>
      <c r="AE15" s="2"/>
      <c r="AF15" s="2"/>
      <c r="AG15" s="2"/>
      <c r="AH15" s="2"/>
    </row>
    <row r="16" spans="1:34" ht="12.75" customHeight="1">
      <c r="A16" s="12" t="s">
        <v>1131</v>
      </c>
      <c r="B16" s="12" t="s">
        <v>1132</v>
      </c>
      <c r="C16" s="12">
        <v>6</v>
      </c>
      <c r="D16" s="12">
        <v>4</v>
      </c>
      <c r="E16" s="12" t="s">
        <v>1019</v>
      </c>
      <c r="F16" s="12" t="s">
        <v>1041</v>
      </c>
      <c r="G16" s="12" t="s">
        <v>1020</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57" t="s">
        <v>1133</v>
      </c>
      <c r="N16" s="157" t="s">
        <v>1134</v>
      </c>
      <c r="O16" s="157" t="s">
        <v>1135</v>
      </c>
      <c r="P16" s="157" t="s">
        <v>1136</v>
      </c>
      <c r="Q16" s="157"/>
      <c r="R16" s="157"/>
      <c r="S16" s="157" t="s">
        <v>1137</v>
      </c>
      <c r="T16" s="157" t="s">
        <v>1138</v>
      </c>
      <c r="U16" s="157" t="s">
        <v>1139</v>
      </c>
      <c r="V16" s="157" t="s">
        <v>1140</v>
      </c>
      <c r="W16" s="157"/>
      <c r="X16" s="2"/>
      <c r="Y16" s="2"/>
      <c r="Z16" s="2"/>
      <c r="AA16" s="2"/>
      <c r="AB16" s="2"/>
      <c r="AC16" s="2"/>
      <c r="AD16" s="2"/>
      <c r="AE16" s="2"/>
      <c r="AF16" s="2"/>
      <c r="AG16" s="2"/>
      <c r="AH16" s="2"/>
    </row>
    <row r="17" spans="1:34" ht="12.75" customHeight="1">
      <c r="A17" s="12" t="s">
        <v>1141</v>
      </c>
      <c r="B17" s="12" t="s">
        <v>1142</v>
      </c>
      <c r="C17" s="12">
        <v>2</v>
      </c>
      <c r="D17" s="12">
        <v>7</v>
      </c>
      <c r="E17" s="12" t="s">
        <v>1060</v>
      </c>
      <c r="F17" s="12" t="s">
        <v>1041</v>
      </c>
      <c r="G17" s="12" t="s">
        <v>1071</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57" t="s">
        <v>1143</v>
      </c>
      <c r="N17" s="157" t="s">
        <v>1144</v>
      </c>
      <c r="O17" s="157" t="s">
        <v>1145</v>
      </c>
      <c r="P17" s="157" t="s">
        <v>1146</v>
      </c>
      <c r="Q17" s="157"/>
      <c r="R17" s="157"/>
      <c r="S17" s="157" t="s">
        <v>1147</v>
      </c>
      <c r="T17" s="157" t="s">
        <v>1148</v>
      </c>
      <c r="U17" s="157" t="s">
        <v>1149</v>
      </c>
      <c r="V17" s="157" t="s">
        <v>1150</v>
      </c>
      <c r="W17" s="157"/>
      <c r="X17" s="2"/>
      <c r="Y17" s="2"/>
      <c r="Z17" s="2"/>
      <c r="AA17" s="2"/>
      <c r="AB17" s="2"/>
      <c r="AC17" s="2"/>
      <c r="AD17" s="2"/>
      <c r="AE17" s="2"/>
      <c r="AF17" s="2"/>
      <c r="AG17" s="2"/>
      <c r="AH17" s="2"/>
    </row>
    <row r="18" spans="1:34" ht="12.75" customHeight="1">
      <c r="A18" s="12" t="s">
        <v>1151</v>
      </c>
      <c r="B18" s="12" t="s">
        <v>1152</v>
      </c>
      <c r="C18" s="12">
        <v>7</v>
      </c>
      <c r="D18" s="12">
        <v>4</v>
      </c>
      <c r="E18" s="12" t="s">
        <v>1007</v>
      </c>
      <c r="F18" s="12" t="s">
        <v>1019</v>
      </c>
      <c r="G18" s="12" t="s">
        <v>1020</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57" t="s">
        <v>1153</v>
      </c>
      <c r="N18" s="157" t="s">
        <v>1154</v>
      </c>
      <c r="O18" s="157" t="s">
        <v>1155</v>
      </c>
      <c r="P18" s="157" t="s">
        <v>1156</v>
      </c>
      <c r="Q18" s="157"/>
      <c r="R18" s="157"/>
      <c r="S18" s="157" t="s">
        <v>1157</v>
      </c>
      <c r="T18" s="157" t="s">
        <v>1158</v>
      </c>
      <c r="U18" s="157" t="s">
        <v>1159</v>
      </c>
      <c r="V18" s="157" t="s">
        <v>1160</v>
      </c>
      <c r="W18" s="157"/>
      <c r="X18" s="2"/>
      <c r="Y18" s="2"/>
      <c r="Z18" s="2"/>
      <c r="AA18" s="2"/>
      <c r="AB18" s="2"/>
      <c r="AC18" s="2"/>
      <c r="AD18" s="2"/>
      <c r="AE18" s="2"/>
      <c r="AF18" s="2"/>
      <c r="AG18" s="2"/>
      <c r="AH18" s="2"/>
    </row>
    <row r="19" spans="1:34" ht="12.75" customHeight="1">
      <c r="A19" s="12" t="s">
        <v>1161</v>
      </c>
      <c r="B19" s="12" t="s">
        <v>1162</v>
      </c>
      <c r="C19" s="12">
        <v>4</v>
      </c>
      <c r="D19" s="12">
        <v>5</v>
      </c>
      <c r="E19" s="12" t="s">
        <v>1041</v>
      </c>
      <c r="F19" s="12" t="s">
        <v>318</v>
      </c>
      <c r="G19" s="12" t="s">
        <v>1042</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57" t="s">
        <v>1163</v>
      </c>
      <c r="N19" s="157"/>
      <c r="O19" s="157" t="s">
        <v>1164</v>
      </c>
      <c r="P19" s="157" t="s">
        <v>1165</v>
      </c>
      <c r="Q19" s="157"/>
      <c r="R19" s="157"/>
      <c r="S19" s="157" t="s">
        <v>1166</v>
      </c>
      <c r="T19" s="157" t="s">
        <v>1167</v>
      </c>
      <c r="U19" s="157" t="s">
        <v>1168</v>
      </c>
      <c r="V19" s="157" t="s">
        <v>1169</v>
      </c>
      <c r="W19" s="157"/>
      <c r="X19" s="2"/>
      <c r="Y19" s="2"/>
      <c r="Z19" s="2"/>
      <c r="AA19" s="2"/>
      <c r="AB19" s="2"/>
      <c r="AC19" s="2"/>
      <c r="AD19" s="2"/>
      <c r="AE19" s="2"/>
      <c r="AF19" s="2"/>
      <c r="AG19" s="2"/>
      <c r="AH19" s="2"/>
    </row>
    <row r="20" spans="1:34" ht="12.75" customHeight="1">
      <c r="A20" s="12" t="s">
        <v>1170</v>
      </c>
      <c r="B20" s="12" t="s">
        <v>1171</v>
      </c>
      <c r="C20" s="12">
        <v>6</v>
      </c>
      <c r="D20" s="12">
        <v>3</v>
      </c>
      <c r="E20" s="12" t="s">
        <v>1041</v>
      </c>
      <c r="F20" s="12" t="s">
        <v>1041</v>
      </c>
      <c r="G20" s="12" t="s">
        <v>1020</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57" t="s">
        <v>1172</v>
      </c>
      <c r="N20" s="157" t="s">
        <v>1173</v>
      </c>
      <c r="O20" s="157" t="s">
        <v>1174</v>
      </c>
      <c r="P20" s="157" t="s">
        <v>1175</v>
      </c>
      <c r="Q20" s="157"/>
      <c r="R20" s="157"/>
      <c r="S20" s="157" t="s">
        <v>1176</v>
      </c>
      <c r="T20" s="157" t="s">
        <v>1177</v>
      </c>
      <c r="U20" s="157" t="s">
        <v>1178</v>
      </c>
      <c r="V20" s="157" t="s">
        <v>1179</v>
      </c>
      <c r="W20" s="157"/>
      <c r="X20" s="2"/>
      <c r="Y20" s="2"/>
      <c r="Z20" s="2"/>
      <c r="AA20" s="2"/>
      <c r="AB20" s="2"/>
      <c r="AC20" s="2"/>
      <c r="AD20" s="2"/>
      <c r="AE20" s="2"/>
      <c r="AF20" s="2"/>
      <c r="AG20" s="2"/>
      <c r="AH20" s="2"/>
    </row>
    <row r="21" spans="1:34" ht="12.75" customHeight="1">
      <c r="A21" s="12" t="s">
        <v>1180</v>
      </c>
      <c r="B21" s="12" t="s">
        <v>1181</v>
      </c>
      <c r="C21" s="12">
        <v>7</v>
      </c>
      <c r="D21" s="12">
        <v>2</v>
      </c>
      <c r="E21" s="12" t="s">
        <v>1007</v>
      </c>
      <c r="F21" s="12" t="s">
        <v>1007</v>
      </c>
      <c r="G21" s="12" t="s">
        <v>1082</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57" t="s">
        <v>1182</v>
      </c>
      <c r="N21" s="157" t="s">
        <v>1183</v>
      </c>
      <c r="O21" s="157" t="s">
        <v>1184</v>
      </c>
      <c r="P21" s="157" t="s">
        <v>1185</v>
      </c>
      <c r="Q21" s="157"/>
      <c r="R21" s="157"/>
      <c r="S21" s="157" t="s">
        <v>1186</v>
      </c>
      <c r="T21" s="157" t="s">
        <v>1187</v>
      </c>
      <c r="U21" s="157" t="s">
        <v>1188</v>
      </c>
      <c r="V21" s="157" t="s">
        <v>1189</v>
      </c>
      <c r="W21" s="157"/>
      <c r="X21" s="2"/>
      <c r="Y21" s="2"/>
      <c r="Z21" s="2"/>
      <c r="AA21" s="2"/>
      <c r="AB21" s="2"/>
      <c r="AC21" s="2"/>
      <c r="AD21" s="2"/>
      <c r="AE21" s="2"/>
      <c r="AF21" s="2"/>
      <c r="AG21" s="2"/>
      <c r="AH21" s="2"/>
    </row>
    <row r="22" spans="1:34" ht="12.75" customHeight="1">
      <c r="A22" s="12" t="s">
        <v>1190</v>
      </c>
      <c r="B22" s="12" t="s">
        <v>1191</v>
      </c>
      <c r="C22" s="12">
        <v>5</v>
      </c>
      <c r="D22" s="12">
        <v>4</v>
      </c>
      <c r="E22" s="12" t="s">
        <v>1019</v>
      </c>
      <c r="F22" s="12" t="s">
        <v>1008</v>
      </c>
      <c r="G22" s="12" t="s">
        <v>1020</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57" t="s">
        <v>1192</v>
      </c>
      <c r="N22" s="157" t="s">
        <v>1193</v>
      </c>
      <c r="O22" s="157" t="s">
        <v>1194</v>
      </c>
      <c r="P22" s="157" t="s">
        <v>1195</v>
      </c>
      <c r="Q22" s="157"/>
      <c r="R22" s="157"/>
      <c r="S22" s="157" t="s">
        <v>1196</v>
      </c>
      <c r="T22" s="157" t="s">
        <v>1197</v>
      </c>
      <c r="U22" s="157" t="s">
        <v>1198</v>
      </c>
      <c r="V22" s="157" t="s">
        <v>1199</v>
      </c>
      <c r="W22" s="157"/>
      <c r="X22" s="2"/>
      <c r="Y22" s="2"/>
      <c r="Z22" s="2"/>
      <c r="AA22" s="2"/>
      <c r="AB22" s="2"/>
      <c r="AC22" s="2"/>
      <c r="AD22" s="2"/>
      <c r="AE22" s="2"/>
      <c r="AF22" s="2"/>
      <c r="AG22" s="2"/>
      <c r="AH22" s="2"/>
    </row>
    <row r="23" spans="1:34" ht="12.75" customHeight="1">
      <c r="A23" s="12" t="s">
        <v>1200</v>
      </c>
      <c r="B23" s="12" t="s">
        <v>1201</v>
      </c>
      <c r="C23" s="12">
        <v>8</v>
      </c>
      <c r="D23" s="12">
        <v>3</v>
      </c>
      <c r="E23" s="12" t="s">
        <v>1007</v>
      </c>
      <c r="F23" s="12" t="s">
        <v>1060</v>
      </c>
      <c r="G23" s="12" t="s">
        <v>1082</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57" t="s">
        <v>1202</v>
      </c>
      <c r="N23" s="157" t="s">
        <v>1203</v>
      </c>
      <c r="O23" s="157" t="s">
        <v>1204</v>
      </c>
      <c r="P23" s="157" t="s">
        <v>1205</v>
      </c>
      <c r="Q23" s="157"/>
      <c r="R23" s="157"/>
      <c r="S23" s="157" t="s">
        <v>1206</v>
      </c>
      <c r="T23" s="157" t="s">
        <v>1207</v>
      </c>
      <c r="U23" s="157" t="s">
        <v>1208</v>
      </c>
      <c r="V23" s="157" t="s">
        <v>1209</v>
      </c>
      <c r="W23" s="157"/>
      <c r="X23" s="2"/>
      <c r="Y23" s="2"/>
      <c r="Z23" s="2"/>
      <c r="AA23" s="2"/>
      <c r="AB23" s="2"/>
      <c r="AC23" s="2"/>
      <c r="AD23" s="2"/>
      <c r="AE23" s="2"/>
      <c r="AF23" s="2"/>
      <c r="AG23" s="2"/>
      <c r="AH23" s="2"/>
    </row>
    <row r="24" spans="1:34" ht="12.75" customHeight="1">
      <c r="A24" s="12" t="s">
        <v>1210</v>
      </c>
      <c r="B24" s="12" t="s">
        <v>1211</v>
      </c>
      <c r="C24" s="12">
        <v>5</v>
      </c>
      <c r="D24" s="12">
        <v>5</v>
      </c>
      <c r="E24" s="12" t="s">
        <v>1041</v>
      </c>
      <c r="F24" s="12" t="s">
        <v>1060</v>
      </c>
      <c r="G24" s="12" t="s">
        <v>1042</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57" t="s">
        <v>1212</v>
      </c>
      <c r="N24" s="157" t="s">
        <v>1213</v>
      </c>
      <c r="O24" s="157" t="s">
        <v>1214</v>
      </c>
      <c r="P24" s="157" t="s">
        <v>1215</v>
      </c>
      <c r="Q24" s="157"/>
      <c r="R24" s="157"/>
      <c r="S24" s="157" t="s">
        <v>1216</v>
      </c>
      <c r="T24" s="157" t="s">
        <v>1217</v>
      </c>
      <c r="U24" s="157" t="s">
        <v>1218</v>
      </c>
      <c r="V24" s="157" t="s">
        <v>1219</v>
      </c>
      <c r="W24" s="157"/>
      <c r="X24" s="2"/>
      <c r="Y24" s="2"/>
      <c r="Z24" s="2"/>
      <c r="AA24" s="2"/>
      <c r="AB24" s="2"/>
      <c r="AC24" s="2"/>
      <c r="AD24" s="2"/>
      <c r="AE24" s="2"/>
      <c r="AF24" s="2"/>
      <c r="AG24" s="2"/>
      <c r="AH24" s="2"/>
    </row>
    <row r="25" spans="1:34" ht="12.75" customHeight="1">
      <c r="A25" s="12" t="s">
        <v>1220</v>
      </c>
      <c r="B25" s="12" t="s">
        <v>1221</v>
      </c>
      <c r="C25" s="12">
        <v>8</v>
      </c>
      <c r="D25" s="12">
        <v>3</v>
      </c>
      <c r="E25" s="12" t="s">
        <v>1222</v>
      </c>
      <c r="F25" s="12" t="s">
        <v>1041</v>
      </c>
      <c r="G25" s="12" t="s">
        <v>1082</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57" t="s">
        <v>1223</v>
      </c>
      <c r="N25" s="157" t="s">
        <v>1224</v>
      </c>
      <c r="O25" s="157" t="s">
        <v>1225</v>
      </c>
      <c r="P25" s="157" t="s">
        <v>1226</v>
      </c>
      <c r="Q25" s="157"/>
      <c r="R25" s="157"/>
      <c r="S25" s="157" t="s">
        <v>1227</v>
      </c>
      <c r="T25" s="157" t="s">
        <v>1228</v>
      </c>
      <c r="U25" s="157" t="s">
        <v>1229</v>
      </c>
      <c r="V25" s="157" t="s">
        <v>1230</v>
      </c>
      <c r="W25" s="157"/>
      <c r="X25" s="2"/>
      <c r="Y25" s="2"/>
      <c r="Z25" s="2"/>
      <c r="AA25" s="2"/>
      <c r="AB25" s="2"/>
      <c r="AC25" s="2"/>
      <c r="AD25" s="2"/>
      <c r="AE25" s="2"/>
      <c r="AF25" s="2"/>
      <c r="AG25" s="2"/>
      <c r="AH25" s="2"/>
    </row>
    <row r="26" spans="1:34" ht="12.75" customHeight="1">
      <c r="A26" s="12" t="s">
        <v>1231</v>
      </c>
      <c r="B26" s="12" t="s">
        <v>1232</v>
      </c>
      <c r="C26" s="12">
        <v>7</v>
      </c>
      <c r="D26" s="12">
        <v>3</v>
      </c>
      <c r="E26" s="12" t="s">
        <v>1007</v>
      </c>
      <c r="F26" s="12" t="s">
        <v>1060</v>
      </c>
      <c r="G26" s="12" t="s">
        <v>1020</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57" t="s">
        <v>1233</v>
      </c>
      <c r="N26" s="157" t="s">
        <v>1234</v>
      </c>
      <c r="O26" s="157" t="s">
        <v>1235</v>
      </c>
      <c r="P26" s="157" t="s">
        <v>1236</v>
      </c>
      <c r="Q26" s="157"/>
      <c r="R26" s="157"/>
      <c r="S26" s="157" t="s">
        <v>1237</v>
      </c>
      <c r="T26" s="157" t="s">
        <v>1238</v>
      </c>
      <c r="U26" s="157" t="s">
        <v>1239</v>
      </c>
      <c r="V26" s="157" t="s">
        <v>1240</v>
      </c>
      <c r="W26" s="157"/>
      <c r="X26" s="2"/>
      <c r="Y26" s="2"/>
      <c r="Z26" s="2"/>
      <c r="AA26" s="2"/>
      <c r="AB26" s="2"/>
      <c r="AC26" s="2"/>
      <c r="AD26" s="2"/>
      <c r="AE26" s="2"/>
      <c r="AF26" s="2"/>
      <c r="AG26" s="2"/>
      <c r="AH26" s="2"/>
    </row>
    <row r="27" spans="1:34" ht="12.75" customHeight="1">
      <c r="A27" s="12" t="s">
        <v>1241</v>
      </c>
      <c r="B27" s="12" t="s">
        <v>1242</v>
      </c>
      <c r="C27" s="12">
        <v>7</v>
      </c>
      <c r="D27" s="12">
        <v>3</v>
      </c>
      <c r="E27" s="12" t="s">
        <v>1007</v>
      </c>
      <c r="F27" s="12" t="s">
        <v>1007</v>
      </c>
      <c r="G27" s="12" t="s">
        <v>1082</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57" t="s">
        <v>1233</v>
      </c>
      <c r="N27" s="157" t="s">
        <v>1234</v>
      </c>
      <c r="O27" s="157" t="s">
        <v>1235</v>
      </c>
      <c r="P27" s="157" t="s">
        <v>1236</v>
      </c>
      <c r="Q27" s="157"/>
      <c r="R27" s="157"/>
      <c r="S27" s="157" t="s">
        <v>1243</v>
      </c>
      <c r="T27" s="157" t="s">
        <v>1244</v>
      </c>
      <c r="U27" s="157" t="s">
        <v>1245</v>
      </c>
      <c r="V27" s="157" t="s">
        <v>1246</v>
      </c>
      <c r="W27" s="157"/>
      <c r="X27" s="2"/>
      <c r="Y27" s="2"/>
      <c r="Z27" s="2"/>
      <c r="AA27" s="2"/>
      <c r="AB27" s="2"/>
      <c r="AC27" s="2"/>
      <c r="AD27" s="2"/>
      <c r="AE27" s="2"/>
      <c r="AF27" s="2"/>
      <c r="AG27" s="2"/>
      <c r="AH27" s="2"/>
    </row>
    <row r="28" spans="1:34" ht="12.75" customHeight="1">
      <c r="A28" s="12" t="s">
        <v>1247</v>
      </c>
      <c r="B28" s="12" t="s">
        <v>1248</v>
      </c>
      <c r="C28" s="12">
        <v>5</v>
      </c>
      <c r="D28" s="12">
        <v>5</v>
      </c>
      <c r="E28" s="12" t="s">
        <v>1019</v>
      </c>
      <c r="F28" s="12" t="s">
        <v>1060</v>
      </c>
      <c r="G28" s="12" t="s">
        <v>1042</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57" t="s">
        <v>1249</v>
      </c>
      <c r="N28" s="157" t="s">
        <v>1250</v>
      </c>
      <c r="O28" s="157" t="s">
        <v>1251</v>
      </c>
      <c r="P28" s="157" t="s">
        <v>1252</v>
      </c>
      <c r="Q28" s="157"/>
      <c r="R28" s="157"/>
      <c r="S28" s="157" t="s">
        <v>1253</v>
      </c>
      <c r="T28" s="157" t="s">
        <v>1254</v>
      </c>
      <c r="U28" s="157" t="s">
        <v>1255</v>
      </c>
      <c r="V28" s="157" t="s">
        <v>1256</v>
      </c>
      <c r="W28" s="157"/>
      <c r="X28" s="2"/>
      <c r="Y28" s="2"/>
      <c r="Z28" s="2"/>
      <c r="AA28" s="2"/>
      <c r="AB28" s="2"/>
      <c r="AC28" s="2"/>
      <c r="AD28" s="2"/>
      <c r="AE28" s="2"/>
      <c r="AF28" s="2"/>
      <c r="AG28" s="2"/>
      <c r="AH28" s="2"/>
    </row>
    <row r="29" spans="1:34" ht="12.75" customHeight="1">
      <c r="A29" s="70" t="s">
        <v>1257</v>
      </c>
      <c r="B29" s="12" t="s">
        <v>1258</v>
      </c>
      <c r="C29" s="12">
        <v>5</v>
      </c>
      <c r="D29" s="12">
        <v>3</v>
      </c>
      <c r="E29" s="12" t="s">
        <v>1041</v>
      </c>
      <c r="F29" s="12" t="s">
        <v>318</v>
      </c>
      <c r="G29" s="12" t="s">
        <v>1020</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57" t="s">
        <v>1259</v>
      </c>
      <c r="N29" s="157" t="s">
        <v>1260</v>
      </c>
      <c r="O29" s="157" t="s">
        <v>1261</v>
      </c>
      <c r="P29" s="157" t="s">
        <v>1262</v>
      </c>
      <c r="Q29" s="157"/>
      <c r="R29" s="157"/>
      <c r="S29" s="157" t="s">
        <v>1263</v>
      </c>
      <c r="T29" s="157" t="s">
        <v>1264</v>
      </c>
      <c r="U29" s="157" t="s">
        <v>1265</v>
      </c>
      <c r="V29" s="157" t="s">
        <v>1266</v>
      </c>
      <c r="W29" s="157"/>
      <c r="X29" s="2"/>
      <c r="Y29" s="2"/>
      <c r="Z29" s="2"/>
      <c r="AA29" s="2"/>
      <c r="AB29" s="2"/>
      <c r="AC29" s="2"/>
      <c r="AD29" s="2"/>
      <c r="AE29" s="2"/>
      <c r="AF29" s="2"/>
      <c r="AG29" s="2"/>
      <c r="AH29" s="2"/>
    </row>
    <row r="30" spans="1:34" ht="12.75" customHeight="1">
      <c r="A30" s="12" t="s">
        <v>1267</v>
      </c>
      <c r="B30" s="12" t="s">
        <v>1268</v>
      </c>
      <c r="C30" s="12">
        <v>8</v>
      </c>
      <c r="D30" s="12">
        <v>4</v>
      </c>
      <c r="E30" s="12" t="s">
        <v>1019</v>
      </c>
      <c r="F30" s="12" t="s">
        <v>1041</v>
      </c>
      <c r="G30" s="12" t="s">
        <v>1020</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57" t="s">
        <v>1269</v>
      </c>
      <c r="N30" s="157" t="s">
        <v>1270</v>
      </c>
      <c r="O30" s="157" t="s">
        <v>1271</v>
      </c>
      <c r="P30" s="157" t="s">
        <v>1272</v>
      </c>
      <c r="Q30" s="157"/>
      <c r="R30" s="157"/>
      <c r="S30" s="157" t="s">
        <v>1273</v>
      </c>
      <c r="T30" s="157" t="s">
        <v>1274</v>
      </c>
      <c r="U30" s="157" t="s">
        <v>1275</v>
      </c>
      <c r="V30" s="157" t="s">
        <v>1276</v>
      </c>
      <c r="W30" s="157"/>
      <c r="X30" s="2"/>
      <c r="Y30" s="2"/>
      <c r="Z30" s="2"/>
      <c r="AA30" s="2"/>
      <c r="AB30" s="2"/>
      <c r="AC30" s="2"/>
      <c r="AD30" s="2"/>
      <c r="AE30" s="2"/>
      <c r="AF30" s="2"/>
      <c r="AG30" s="2"/>
      <c r="AH30" s="2"/>
    </row>
    <row r="31" spans="1:34" ht="12.75" customHeight="1">
      <c r="A31" s="12" t="s">
        <v>1277</v>
      </c>
      <c r="B31" s="12" t="s">
        <v>1278</v>
      </c>
      <c r="C31" s="12">
        <v>7</v>
      </c>
      <c r="D31" s="12">
        <v>3</v>
      </c>
      <c r="E31" s="12" t="s">
        <v>1007</v>
      </c>
      <c r="F31" s="12" t="s">
        <v>318</v>
      </c>
      <c r="G31" s="12" t="s">
        <v>1020</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57" t="s">
        <v>1279</v>
      </c>
      <c r="N31" s="157" t="s">
        <v>1280</v>
      </c>
      <c r="O31" s="157" t="s">
        <v>1281</v>
      </c>
      <c r="P31" s="157" t="s">
        <v>1282</v>
      </c>
      <c r="Q31" s="157"/>
      <c r="R31" s="157"/>
      <c r="S31" s="157" t="s">
        <v>1283</v>
      </c>
      <c r="T31" s="157" t="s">
        <v>1284</v>
      </c>
      <c r="U31" s="157" t="s">
        <v>1285</v>
      </c>
      <c r="V31" s="157" t="s">
        <v>1286</v>
      </c>
      <c r="W31" s="157"/>
      <c r="X31" s="2"/>
      <c r="Y31" s="2"/>
      <c r="Z31" s="2"/>
      <c r="AA31" s="2"/>
      <c r="AB31" s="2"/>
      <c r="AC31" s="2"/>
      <c r="AD31" s="2"/>
      <c r="AE31" s="2"/>
      <c r="AF31" s="2"/>
      <c r="AG31" s="2"/>
      <c r="AH31" s="2"/>
    </row>
    <row r="32" spans="1:34" ht="12.75" customHeight="1">
      <c r="A32" s="12" t="s">
        <v>1287</v>
      </c>
      <c r="B32" s="12" t="s">
        <v>1288</v>
      </c>
      <c r="C32" s="12">
        <v>4</v>
      </c>
      <c r="D32" s="12">
        <v>5</v>
      </c>
      <c r="E32" s="12" t="s">
        <v>1041</v>
      </c>
      <c r="F32" s="12" t="s">
        <v>1008</v>
      </c>
      <c r="G32" s="12" t="s">
        <v>1042</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57" t="s">
        <v>1289</v>
      </c>
      <c r="N32" s="157" t="s">
        <v>1290</v>
      </c>
      <c r="O32" s="157" t="s">
        <v>1291</v>
      </c>
      <c r="P32" s="157" t="s">
        <v>1292</v>
      </c>
      <c r="Q32" s="157"/>
      <c r="R32" s="157"/>
      <c r="S32" s="157" t="s">
        <v>1293</v>
      </c>
      <c r="T32" s="157" t="s">
        <v>1294</v>
      </c>
      <c r="U32" s="157" t="s">
        <v>1295</v>
      </c>
      <c r="V32" s="157" t="s">
        <v>1296</v>
      </c>
      <c r="W32" s="157"/>
      <c r="X32" s="2"/>
      <c r="Y32" s="2"/>
      <c r="Z32" s="2"/>
      <c r="AA32" s="2"/>
      <c r="AB32" s="2"/>
      <c r="AC32" s="2"/>
      <c r="AD32" s="2"/>
      <c r="AE32" s="2"/>
      <c r="AF32" s="2"/>
      <c r="AG32" s="2"/>
      <c r="AH32" s="2"/>
    </row>
    <row r="33" spans="1:37" ht="12.75" customHeight="1">
      <c r="A33" s="12" t="s">
        <v>1297</v>
      </c>
      <c r="B33" s="12" t="s">
        <v>1298</v>
      </c>
      <c r="C33" s="12">
        <v>6</v>
      </c>
      <c r="D33" s="12">
        <v>6</v>
      </c>
      <c r="E33" s="12" t="s">
        <v>1041</v>
      </c>
      <c r="F33" s="12" t="s">
        <v>318</v>
      </c>
      <c r="G33" s="12" t="s">
        <v>1020</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57" t="s">
        <v>1299</v>
      </c>
      <c r="N33" s="157" t="s">
        <v>1300</v>
      </c>
      <c r="O33" s="157" t="s">
        <v>1301</v>
      </c>
      <c r="P33" s="157" t="s">
        <v>1302</v>
      </c>
      <c r="Q33" s="157"/>
      <c r="R33" s="157"/>
      <c r="S33" s="157" t="s">
        <v>1303</v>
      </c>
      <c r="T33" s="157" t="s">
        <v>1304</v>
      </c>
      <c r="U33" s="157" t="s">
        <v>1305</v>
      </c>
      <c r="V33" s="157" t="s">
        <v>1306</v>
      </c>
      <c r="W33" s="157"/>
      <c r="X33" s="12"/>
      <c r="Y33" s="12"/>
      <c r="Z33" s="12"/>
      <c r="AA33" s="12"/>
      <c r="AB33" s="12"/>
      <c r="AC33" s="12"/>
      <c r="AD33" s="12"/>
      <c r="AE33" s="12"/>
      <c r="AF33" s="12"/>
      <c r="AG33" s="12"/>
      <c r="AH33" s="12"/>
    </row>
    <row r="34" spans="1:37" ht="12.75" customHeight="1">
      <c r="A34" s="12" t="s">
        <v>1307</v>
      </c>
      <c r="B34" s="12" t="s">
        <v>1308</v>
      </c>
      <c r="C34" s="12">
        <v>5</v>
      </c>
      <c r="D34" s="12">
        <v>5</v>
      </c>
      <c r="E34" s="12" t="s">
        <v>1041</v>
      </c>
      <c r="F34" s="12" t="s">
        <v>318</v>
      </c>
      <c r="G34" s="12" t="s">
        <v>1042</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57" t="s">
        <v>1309</v>
      </c>
      <c r="N34" s="157" t="s">
        <v>1310</v>
      </c>
      <c r="O34" s="157" t="s">
        <v>1311</v>
      </c>
      <c r="P34" s="157" t="s">
        <v>1312</v>
      </c>
      <c r="Q34" s="157"/>
      <c r="R34" s="12"/>
      <c r="S34" s="157" t="s">
        <v>1313</v>
      </c>
      <c r="T34" s="157" t="s">
        <v>1314</v>
      </c>
      <c r="U34" s="157" t="s">
        <v>1315</v>
      </c>
      <c r="V34" s="157" t="s">
        <v>1316</v>
      </c>
      <c r="W34" s="12"/>
      <c r="X34" s="12"/>
      <c r="Y34" s="12"/>
      <c r="Z34" s="12"/>
      <c r="AA34" s="12"/>
      <c r="AB34" s="12"/>
      <c r="AC34" s="12"/>
      <c r="AD34" s="12"/>
      <c r="AE34" s="12"/>
      <c r="AF34" s="12"/>
      <c r="AG34" s="12"/>
      <c r="AH34" s="12"/>
    </row>
    <row r="35" spans="1:37" ht="12.75" customHeight="1">
      <c r="A35" s="12" t="s">
        <v>1317</v>
      </c>
      <c r="B35" s="12" t="s">
        <v>1318</v>
      </c>
      <c r="C35" s="12">
        <v>5</v>
      </c>
      <c r="D35" s="12">
        <v>4</v>
      </c>
      <c r="E35" s="12" t="s">
        <v>1041</v>
      </c>
      <c r="F35" s="12" t="s">
        <v>318</v>
      </c>
      <c r="G35" s="12" t="s">
        <v>1020</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57" t="s">
        <v>1319</v>
      </c>
      <c r="N35" s="157" t="s">
        <v>1320</v>
      </c>
      <c r="O35" s="157" t="s">
        <v>1321</v>
      </c>
      <c r="P35" s="157" t="s">
        <v>1322</v>
      </c>
      <c r="Q35" s="157"/>
      <c r="R35" s="12"/>
      <c r="S35" s="157" t="s">
        <v>1323</v>
      </c>
      <c r="T35" s="157" t="s">
        <v>1324</v>
      </c>
      <c r="U35" s="157" t="s">
        <v>1325</v>
      </c>
      <c r="V35" s="157" t="s">
        <v>1326</v>
      </c>
      <c r="W35" s="157"/>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57"/>
      <c r="T36" s="157"/>
      <c r="U36" s="157"/>
      <c r="V36" s="157"/>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57"/>
      <c r="T37" s="157"/>
      <c r="U37" s="157"/>
      <c r="V37" s="157"/>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57"/>
      <c r="T38" s="157"/>
      <c r="U38" s="157"/>
      <c r="V38" s="157"/>
      <c r="W38" s="12"/>
      <c r="X38" s="12"/>
      <c r="Y38" s="12"/>
      <c r="Z38" s="12"/>
      <c r="AA38" s="12"/>
      <c r="AB38" s="12"/>
      <c r="AC38" s="12"/>
      <c r="AD38" s="12"/>
      <c r="AE38" s="12"/>
      <c r="AF38" s="12"/>
      <c r="AG38" s="12"/>
      <c r="AH38" s="12"/>
      <c r="AI38" s="2"/>
      <c r="AJ38" s="2"/>
      <c r="AK38" s="2"/>
    </row>
    <row r="39" spans="1:37" ht="12.75" customHeight="1">
      <c r="A39" s="12" t="s">
        <v>1327</v>
      </c>
      <c r="B39" s="12" t="str">
        <f>IF(Roster!$J$25="Italiano","Mercenario 1",(IF(Roster!$J$25="Español","Mercenario 1",(IF(Roster!$J$25="Français","Mercenaire 1","Mercenary 1")))))</f>
        <v>Mercenario 1</v>
      </c>
      <c r="C39" s="12">
        <f>Mercenaries!C3</f>
        <v>5</v>
      </c>
      <c r="D39" s="12">
        <f>Mercenaries!D3</f>
        <v>2</v>
      </c>
      <c r="E39" s="12" t="str">
        <f>Mercenaries!E3</f>
        <v>3+</v>
      </c>
      <c r="F39" s="12" t="str">
        <f>Mercenaries!F3</f>
        <v>4+</v>
      </c>
      <c r="G39" s="12" t="str">
        <f>Mercenaries!G3</f>
        <v>6+</v>
      </c>
      <c r="H39" s="13" t="str">
        <f>Mercenaries!H3</f>
        <v>Loner (4+), Dodge, Stunty, Right Stuff</v>
      </c>
      <c r="I39" s="13"/>
      <c r="J39" s="11">
        <f>Mercenaries!S3</f>
        <v>30000</v>
      </c>
      <c r="K39" s="11">
        <v>1</v>
      </c>
      <c r="L39" s="12"/>
      <c r="M39" s="12"/>
      <c r="N39" s="12"/>
      <c r="O39" s="12"/>
      <c r="P39" s="12"/>
      <c r="Q39" s="12"/>
      <c r="R39" s="12"/>
      <c r="S39" s="157"/>
      <c r="T39" s="157"/>
      <c r="U39" s="157"/>
      <c r="V39" s="157"/>
      <c r="W39" s="12"/>
      <c r="X39" s="12"/>
      <c r="Y39" s="12"/>
      <c r="Z39" s="12"/>
      <c r="AA39" s="12"/>
      <c r="AB39" s="12"/>
      <c r="AC39" s="12"/>
      <c r="AD39" s="12"/>
      <c r="AE39" s="12"/>
      <c r="AF39" s="12"/>
      <c r="AG39" s="12"/>
      <c r="AH39" s="12"/>
      <c r="AI39" s="2"/>
      <c r="AJ39" s="2"/>
      <c r="AK39" s="2"/>
    </row>
    <row r="40" spans="1:37" ht="12.75" customHeight="1">
      <c r="A40" s="12" t="s">
        <v>1328</v>
      </c>
      <c r="B40" s="12" t="str">
        <f>IF(Roster!$J$25="Italiano","Mercenario 2",(IF(Roster!$J$25="Español","Mercenario 2",(IF(Roster!$J$25="Français","Mercenaire 2","Mercenary 2")))))</f>
        <v>Mercenario 2</v>
      </c>
      <c r="C40" s="12" t="str">
        <f>Mercenaries!C16</f>
        <v/>
      </c>
      <c r="D40" s="12" t="str">
        <f>Mercenaries!D16</f>
        <v/>
      </c>
      <c r="E40" s="12" t="str">
        <f>Mercenaries!E16</f>
        <v/>
      </c>
      <c r="F40" s="12" t="str">
        <f>Mercenaries!F16</f>
        <v/>
      </c>
      <c r="G40" s="12" t="str">
        <f>Mercenaries!G16</f>
        <v/>
      </c>
      <c r="H40" s="13" t="str">
        <f>Mercenaries!H16</f>
        <v/>
      </c>
      <c r="I40" s="13"/>
      <c r="J40" s="11">
        <f>Mercenaries!S16</f>
        <v>0</v>
      </c>
      <c r="K40" s="11">
        <v>1</v>
      </c>
      <c r="L40" s="12"/>
      <c r="M40" s="12"/>
      <c r="N40" s="12"/>
      <c r="O40" s="12"/>
      <c r="P40" s="12"/>
      <c r="Q40" s="12"/>
      <c r="R40" s="12"/>
      <c r="S40" s="157"/>
      <c r="T40" s="157"/>
      <c r="U40" s="157"/>
      <c r="V40" s="157"/>
      <c r="W40" s="12"/>
      <c r="X40" s="12"/>
      <c r="Y40" s="12"/>
      <c r="Z40" s="12"/>
      <c r="AA40" s="12"/>
      <c r="AB40" s="12"/>
      <c r="AC40" s="12"/>
      <c r="AD40" s="12"/>
      <c r="AE40" s="12"/>
      <c r="AF40" s="12"/>
      <c r="AG40" s="12"/>
      <c r="AH40" s="12"/>
      <c r="AI40" s="2"/>
      <c r="AJ40" s="2"/>
      <c r="AK40" s="2"/>
    </row>
    <row r="41" spans="1:37" ht="12.75" customHeight="1">
      <c r="A41" s="12" t="s">
        <v>1329</v>
      </c>
      <c r="B41" s="12" t="str">
        <f>IF(Roster!$J$25="Italiano","Mercenario 3",(IF(Roster!$J$25="Español","Mercenario 3",(IF(Roster!$J$25="Français","Mercenaire 3","Mercenary 3")))))</f>
        <v>Mercenario 3</v>
      </c>
      <c r="C41" s="12">
        <f>Mercenaries!C29</f>
        <v>6</v>
      </c>
      <c r="D41" s="12">
        <f>Mercenaries!D29</f>
        <v>3</v>
      </c>
      <c r="E41" s="12" t="str">
        <f>Mercenaries!E29</f>
        <v>2+</v>
      </c>
      <c r="F41" s="12" t="str">
        <f>Mercenaries!F29</f>
        <v>3+</v>
      </c>
      <c r="G41" s="12" t="str">
        <f>Mercenaries!G29</f>
        <v>8+</v>
      </c>
      <c r="H41" s="13" t="str">
        <f>Mercenaries!H29</f>
        <v>Loner (4+)</v>
      </c>
      <c r="I41" s="13"/>
      <c r="J41" s="11">
        <f>Mercenaries!S29</f>
        <v>70000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
      </c>
      <c r="E44" s="12" t="str">
        <f t="shared" si="0"/>
        <v/>
      </c>
      <c r="F44" s="12" t="str">
        <f t="shared" si="0"/>
        <v>AAB</v>
      </c>
      <c r="G44" s="12" t="str">
        <f t="shared" si="0"/>
        <v/>
      </c>
      <c r="H44" s="12" t="str">
        <f t="shared" si="0"/>
        <v/>
      </c>
      <c r="I44" s="12" t="str">
        <f t="shared" si="0"/>
        <v/>
      </c>
      <c r="J44" s="12" t="str">
        <f t="shared" si="0"/>
        <v/>
      </c>
      <c r="K44" s="12" t="str">
        <f t="shared" si="0"/>
        <v>AAH</v>
      </c>
      <c r="L44" s="12" t="str">
        <f t="shared" si="0"/>
        <v>AAI</v>
      </c>
      <c r="M44" s="12" t="str">
        <f t="shared" si="0"/>
        <v/>
      </c>
      <c r="N44" s="12" t="str">
        <f t="shared" si="0"/>
        <v/>
      </c>
      <c r="O44" s="12" t="str">
        <f t="shared" si="0"/>
        <v/>
      </c>
      <c r="P44" s="12" t="str">
        <f t="shared" si="0"/>
        <v/>
      </c>
      <c r="Q44" s="12" t="str">
        <f t="shared" si="0"/>
        <v/>
      </c>
      <c r="R44" s="12" t="str">
        <f t="shared" si="0"/>
        <v/>
      </c>
      <c r="S44" s="12" t="str">
        <f t="shared" si="0"/>
        <v>AAC</v>
      </c>
      <c r="T44" s="12" t="str">
        <f t="shared" si="0"/>
        <v/>
      </c>
      <c r="U44" s="12" t="str">
        <f t="shared" si="0"/>
        <v/>
      </c>
      <c r="V44" s="12" t="str">
        <f t="shared" si="0"/>
        <v/>
      </c>
      <c r="W44" s="12" t="str">
        <f t="shared" si="0"/>
        <v/>
      </c>
      <c r="X44" s="12" t="str">
        <f t="shared" si="0"/>
        <v>AAD</v>
      </c>
      <c r="Y44" s="12" t="str">
        <f t="shared" si="0"/>
        <v>AAE</v>
      </c>
      <c r="Z44" s="12" t="str">
        <f t="shared" si="0"/>
        <v/>
      </c>
      <c r="AA44" s="12" t="str">
        <f t="shared" si="0"/>
        <v/>
      </c>
      <c r="AB44" s="12" t="str">
        <f t="shared" si="0"/>
        <v/>
      </c>
      <c r="AC44" s="12" t="str">
        <f t="shared" si="0"/>
        <v/>
      </c>
      <c r="AD44" s="12" t="str">
        <f t="shared" si="0"/>
        <v/>
      </c>
      <c r="AE44" s="12" t="str">
        <f t="shared" si="0"/>
        <v>AAF</v>
      </c>
      <c r="AF44" s="12" t="str">
        <f t="shared" si="0"/>
        <v/>
      </c>
      <c r="AG44" s="12" t="str">
        <f t="shared" si="0"/>
        <v/>
      </c>
      <c r="AH44" s="12" t="str">
        <f t="shared" si="0"/>
        <v>AAG</v>
      </c>
      <c r="AI44" s="12" t="s">
        <v>1327</v>
      </c>
      <c r="AJ44" s="12" t="s">
        <v>1328</v>
      </c>
      <c r="AK44" s="12" t="s">
        <v>1329</v>
      </c>
    </row>
    <row r="45" spans="1:37" ht="12.75" customHeight="1">
      <c r="A45" s="2"/>
      <c r="B45" s="12" t="str">
        <f>Roster!$BU$2</f>
        <v>UnderworldChallenge</v>
      </c>
      <c r="C45" s="12">
        <f>VLOOKUP($B$45,$B$48:$AH$62,2,FALSE)</f>
        <v>1</v>
      </c>
      <c r="D45" s="12">
        <f>VLOOKUP($B$45,$B$48:$AH$62,3,FALSE)</f>
        <v>0</v>
      </c>
      <c r="E45" s="12">
        <f>VLOOKUP($B$45,$B$48:$AH$62,4,FALSE)</f>
        <v>0</v>
      </c>
      <c r="F45" s="12">
        <f>VLOOKUP($B$45,$B$48:$AH$62,5,FALSE)</f>
        <v>1</v>
      </c>
      <c r="G45" s="12">
        <f>VLOOKUP($B$45,$B$48:$AH$62,6,FALSE)</f>
        <v>0</v>
      </c>
      <c r="H45" s="12">
        <f>VLOOKUP($B$45,$B$48:$AH$62,7,FALSE)</f>
        <v>0</v>
      </c>
      <c r="I45" s="12">
        <f>VLOOKUP($B$45,$B$48:$AH$62,8,FALSE)</f>
        <v>0</v>
      </c>
      <c r="J45" s="12">
        <f>VLOOKUP($B$45,$B$48:$AH$62,9,FALSE)</f>
        <v>0</v>
      </c>
      <c r="K45" s="12">
        <f>VLOOKUP($B$45,$B$48:$AH$62,10,FALSE)</f>
        <v>1</v>
      </c>
      <c r="L45" s="12">
        <f>VLOOKUP($B$45,$B$48:$AH$62,11,FALSE)</f>
        <v>1</v>
      </c>
      <c r="M45" s="12">
        <f>VLOOKUP($B$45,$B$48:$AH$62,12,FALSE)</f>
        <v>0</v>
      </c>
      <c r="N45" s="12">
        <f>VLOOKUP($B$45,$B$48:$AH$62,13,FALSE)</f>
        <v>0</v>
      </c>
      <c r="O45" s="12">
        <f>VLOOKUP($B$45,$B$48:$AH$62,14,FALSE)</f>
        <v>0</v>
      </c>
      <c r="P45" s="12">
        <f>VLOOKUP($B$45,$B$48:$AH$62,15,FALSE)</f>
        <v>0</v>
      </c>
      <c r="Q45" s="12">
        <f>VLOOKUP($B$45,$B$48:$AH$62,16,FALSE)</f>
        <v>0</v>
      </c>
      <c r="R45" s="12">
        <f>VLOOKUP($B$45,$B$48:$AH$62,17,FALSE)</f>
        <v>0</v>
      </c>
      <c r="S45" s="12">
        <f>VLOOKUP($B$45,$B$48:$AH$62,18,FALSE)</f>
        <v>1</v>
      </c>
      <c r="T45" s="12">
        <f>VLOOKUP($B$45,$B$48:$AH$62,19,FALSE)</f>
        <v>0</v>
      </c>
      <c r="U45" s="12">
        <f>VLOOKUP($B$45,$B$48:$AH$62,20,FALSE)</f>
        <v>0</v>
      </c>
      <c r="V45" s="12">
        <f>VLOOKUP($B$45,$B$48:$AH$62,21,FALSE)</f>
        <v>0</v>
      </c>
      <c r="W45" s="12">
        <f>VLOOKUP($B$45,$B$48:$AH$62,22,FALSE)</f>
        <v>0</v>
      </c>
      <c r="X45" s="12">
        <f>VLOOKUP($B$45,$B$48:$AH$62,23,FALSE)</f>
        <v>1</v>
      </c>
      <c r="Y45" s="12">
        <f>VLOOKUP($B$45,$B$48:$AH$62,24,FALSE)</f>
        <v>1</v>
      </c>
      <c r="Z45" s="12">
        <f>VLOOKUP($B$45,$B$48:$AH$62,25,FALSE)</f>
        <v>0</v>
      </c>
      <c r="AA45" s="12">
        <f>VLOOKUP($B$45,$B$48:$AH$62,26,FALSE)</f>
        <v>0</v>
      </c>
      <c r="AB45" s="12">
        <f>VLOOKUP($B$45,$B$48:$AH$62,27,FALSE)</f>
        <v>0</v>
      </c>
      <c r="AC45" s="12">
        <f>VLOOKUP($B$45,$B$48:$AH$62,28,FALSE)</f>
        <v>0</v>
      </c>
      <c r="AD45" s="12">
        <f>VLOOKUP($B$45,$B$48:$AH$62,29,FALSE)</f>
        <v>0</v>
      </c>
      <c r="AE45" s="12">
        <f>VLOOKUP($B$45,$B$48:$AH$62,30,FALSE)</f>
        <v>1</v>
      </c>
      <c r="AF45" s="12">
        <f>VLOOKUP($B$45,$B$48:$AH$62,31,FALSE)</f>
        <v>0</v>
      </c>
      <c r="AG45" s="12">
        <f>VLOOKUP($B$45,$B$48:$AH$62,32,FALSE)</f>
        <v>0</v>
      </c>
      <c r="AH45" s="12">
        <f>VLOOKUP($B$45,$B$48:$AH$62,33,FALSE)</f>
        <v>1</v>
      </c>
      <c r="AI45" s="12">
        <v>1</v>
      </c>
      <c r="AJ45" s="12">
        <v>1</v>
      </c>
      <c r="AK45" s="12">
        <v>1</v>
      </c>
    </row>
    <row r="46" spans="1:37" ht="12.75" customHeight="1">
      <c r="A46" s="2"/>
      <c r="B46" s="157"/>
      <c r="C46" s="12" t="s">
        <v>1005</v>
      </c>
      <c r="D46" s="12" t="s">
        <v>1257</v>
      </c>
      <c r="E46" s="12" t="s">
        <v>1317</v>
      </c>
      <c r="F46" s="12" t="s">
        <v>1017</v>
      </c>
      <c r="G46" s="12" t="s">
        <v>1180</v>
      </c>
      <c r="H46" s="12" t="s">
        <v>1170</v>
      </c>
      <c r="I46" s="12" t="s">
        <v>1190</v>
      </c>
      <c r="J46" s="12" t="s">
        <v>1101</v>
      </c>
      <c r="K46" s="12" t="s">
        <v>1080</v>
      </c>
      <c r="L46" s="12" t="s">
        <v>1091</v>
      </c>
      <c r="M46" s="12" t="s">
        <v>1111</v>
      </c>
      <c r="N46" s="12" t="s">
        <v>1307</v>
      </c>
      <c r="O46" s="12" t="s">
        <v>1121</v>
      </c>
      <c r="P46" s="12" t="s">
        <v>1131</v>
      </c>
      <c r="Q46" s="12" t="s">
        <v>1287</v>
      </c>
      <c r="R46" s="12" t="s">
        <v>1267</v>
      </c>
      <c r="S46" s="12" t="s">
        <v>1029</v>
      </c>
      <c r="T46" s="12" t="s">
        <v>1200</v>
      </c>
      <c r="U46" s="12" t="s">
        <v>1210</v>
      </c>
      <c r="V46" s="12" t="s">
        <v>1297</v>
      </c>
      <c r="W46" s="12" t="s">
        <v>1161</v>
      </c>
      <c r="X46" s="12" t="s">
        <v>1039</v>
      </c>
      <c r="Y46" s="12" t="s">
        <v>1051</v>
      </c>
      <c r="Z46" s="12" t="s">
        <v>1277</v>
      </c>
      <c r="AA46" s="12" t="s">
        <v>1247</v>
      </c>
      <c r="AB46" s="12" t="s">
        <v>1220</v>
      </c>
      <c r="AC46" s="12" t="s">
        <v>1141</v>
      </c>
      <c r="AD46" s="12" t="s">
        <v>1151</v>
      </c>
      <c r="AE46" s="12" t="s">
        <v>1058</v>
      </c>
      <c r="AF46" s="12" t="s">
        <v>1231</v>
      </c>
      <c r="AG46" s="12" t="s">
        <v>1241</v>
      </c>
      <c r="AH46" s="12" t="s">
        <v>1069</v>
      </c>
      <c r="AI46" s="12" t="s">
        <v>1327</v>
      </c>
      <c r="AJ46" s="12" t="s">
        <v>1328</v>
      </c>
      <c r="AK46" s="12" t="s">
        <v>1329</v>
      </c>
    </row>
    <row r="47" spans="1:37" ht="12.75" customHeight="1">
      <c r="A47" s="2"/>
      <c r="B47" s="157"/>
      <c r="C47" s="12" t="s">
        <v>1006</v>
      </c>
      <c r="D47" s="12" t="s">
        <v>1258</v>
      </c>
      <c r="E47" s="12" t="s">
        <v>1318</v>
      </c>
      <c r="F47" s="12" t="s">
        <v>1018</v>
      </c>
      <c r="G47" s="12" t="s">
        <v>1181</v>
      </c>
      <c r="H47" s="12" t="s">
        <v>1171</v>
      </c>
      <c r="I47" s="12" t="s">
        <v>1191</v>
      </c>
      <c r="J47" s="12" t="s">
        <v>1102</v>
      </c>
      <c r="K47" s="12" t="s">
        <v>1081</v>
      </c>
      <c r="L47" s="12" t="s">
        <v>1092</v>
      </c>
      <c r="M47" s="12" t="s">
        <v>1112</v>
      </c>
      <c r="N47" s="12" t="s">
        <v>1308</v>
      </c>
      <c r="O47" s="12" t="s">
        <v>1122</v>
      </c>
      <c r="P47" s="12" t="s">
        <v>1132</v>
      </c>
      <c r="Q47" s="12" t="s">
        <v>1288</v>
      </c>
      <c r="R47" s="12" t="s">
        <v>1268</v>
      </c>
      <c r="S47" s="12" t="s">
        <v>1030</v>
      </c>
      <c r="T47" s="12" t="s">
        <v>1201</v>
      </c>
      <c r="U47" s="12" t="s">
        <v>1211</v>
      </c>
      <c r="V47" s="12" t="s">
        <v>1298</v>
      </c>
      <c r="W47" s="12" t="s">
        <v>1162</v>
      </c>
      <c r="X47" s="12" t="s">
        <v>1040</v>
      </c>
      <c r="Y47" s="12" t="s">
        <v>1052</v>
      </c>
      <c r="Z47" s="12" t="s">
        <v>1278</v>
      </c>
      <c r="AA47" s="12" t="s">
        <v>1248</v>
      </c>
      <c r="AB47" s="12" t="s">
        <v>1221</v>
      </c>
      <c r="AC47" s="12" t="s">
        <v>1142</v>
      </c>
      <c r="AD47" s="12" t="s">
        <v>1152</v>
      </c>
      <c r="AE47" s="12" t="s">
        <v>1059</v>
      </c>
      <c r="AF47" s="12" t="s">
        <v>1232</v>
      </c>
      <c r="AG47" s="12" t="s">
        <v>1242</v>
      </c>
      <c r="AH47" s="12" t="s">
        <v>1070</v>
      </c>
      <c r="AI47" s="12" t="str">
        <f>IF(Roster!$J$25="Italiano","Mercenario 1",(IF(Roster!$J$25="Español","Mercenario 1",(IF(Roster!$J$25="Français","Mercenaire 1","Mercenary 1")))))</f>
        <v>Mercenario 1</v>
      </c>
      <c r="AJ47" s="12" t="str">
        <f>IF(Roster!$J$25="Italiano","Mercenario 2",(IF(Roster!$J$25="Español","Mercenario 2",(IF(Roster!$J$25="Français","Mercenaire 2","Mercenary 2")))))</f>
        <v>Mercenario 2</v>
      </c>
      <c r="AK47" s="12" t="str">
        <f>IF(Roster!$J$25="Italiano","Mercenario 3",(IF(Roster!$J$25="Español","Mercenario 3",(IF(Roster!$J$25="Français","Mercenaire 3","Mercenary 3")))))</f>
        <v>Mercenario 3</v>
      </c>
    </row>
    <row r="48" spans="1:37" ht="12.75" customHeight="1">
      <c r="A48" s="2"/>
      <c r="B48" s="12" t="s">
        <v>77</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199</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1330</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137</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1331</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106</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1332</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159</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69</v>
      </c>
      <c r="C56" s="12">
        <v>1</v>
      </c>
      <c r="D56" s="12"/>
      <c r="E56" s="12"/>
      <c r="F56" s="12">
        <v>1</v>
      </c>
      <c r="G56" s="12"/>
      <c r="H56" s="12"/>
      <c r="I56" s="12"/>
      <c r="J56" s="12"/>
      <c r="K56" s="12"/>
      <c r="L56" s="12"/>
      <c r="M56" s="157"/>
      <c r="N56" s="157"/>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176</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164</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128</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123</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110</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1333</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AAAAABAAHAAIAACAADAAEAAFAAGCCCDDDEEE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5" t="s">
        <v>77</v>
      </c>
      <c r="F65" s="25" t="s">
        <v>199</v>
      </c>
      <c r="G65" s="25" t="s">
        <v>1330</v>
      </c>
      <c r="H65" s="25" t="s">
        <v>137</v>
      </c>
      <c r="I65" s="25" t="s">
        <v>1331</v>
      </c>
      <c r="J65" s="25" t="s">
        <v>106</v>
      </c>
      <c r="K65" s="25" t="s">
        <v>1332</v>
      </c>
      <c r="L65" s="25" t="s">
        <v>159</v>
      </c>
      <c r="M65" s="25" t="s">
        <v>69</v>
      </c>
      <c r="N65" s="25" t="s">
        <v>176</v>
      </c>
      <c r="O65" s="25" t="s">
        <v>164</v>
      </c>
      <c r="P65" s="25" t="s">
        <v>128</v>
      </c>
      <c r="Q65" s="25" t="s">
        <v>123</v>
      </c>
      <c r="R65" s="25" t="s">
        <v>110</v>
      </c>
      <c r="S65" s="25" t="s">
        <v>1333</v>
      </c>
      <c r="T65" s="12"/>
      <c r="U65" s="12"/>
      <c r="V65" s="12"/>
      <c r="W65" s="12"/>
      <c r="X65" s="12"/>
      <c r="Y65" s="12"/>
      <c r="Z65" s="12"/>
      <c r="AA65" s="12"/>
      <c r="AB65" s="12"/>
      <c r="AC65" s="12"/>
      <c r="AD65" s="12"/>
      <c r="AE65" s="12"/>
      <c r="AF65" s="12"/>
      <c r="AG65" s="12"/>
      <c r="AH65" s="12"/>
    </row>
    <row r="66" spans="1:34" ht="12.75" customHeight="1">
      <c r="A66" s="2"/>
      <c r="B66" s="12" t="str">
        <f>MID($B$64,4,3)</f>
        <v>AAB</v>
      </c>
      <c r="C66" s="12" t="str">
        <f t="shared" si="1"/>
        <v>Helmut Wulf</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AAH</v>
      </c>
      <c r="C67" s="12" t="str">
        <f t="shared" si="1"/>
        <v>Hakflem Skuttlespike</v>
      </c>
      <c r="D67" s="12"/>
      <c r="E67" s="12" t="s">
        <v>1006</v>
      </c>
      <c r="F67" s="12" t="s">
        <v>1006</v>
      </c>
      <c r="G67" s="12" t="s">
        <v>1006</v>
      </c>
      <c r="H67" s="12" t="s">
        <v>1006</v>
      </c>
      <c r="I67" s="12" t="s">
        <v>1006</v>
      </c>
      <c r="J67" s="12" t="s">
        <v>1006</v>
      </c>
      <c r="K67" s="12" t="s">
        <v>1006</v>
      </c>
      <c r="L67" s="12" t="s">
        <v>1006</v>
      </c>
      <c r="M67" s="12" t="s">
        <v>1006</v>
      </c>
      <c r="N67" s="12" t="s">
        <v>1006</v>
      </c>
      <c r="O67" s="12" t="s">
        <v>1006</v>
      </c>
      <c r="P67" s="12" t="s">
        <v>1006</v>
      </c>
      <c r="Q67" s="12" t="s">
        <v>1006</v>
      </c>
      <c r="R67" s="12" t="s">
        <v>1006</v>
      </c>
      <c r="S67" s="12" t="s">
        <v>1006</v>
      </c>
      <c r="T67" s="12"/>
      <c r="U67" s="12"/>
      <c r="V67" s="12"/>
      <c r="W67" s="12"/>
      <c r="X67" s="12"/>
      <c r="Y67" s="12"/>
      <c r="Z67" s="12"/>
      <c r="AA67" s="12"/>
      <c r="AB67" s="12"/>
      <c r="AC67" s="12"/>
      <c r="AD67" s="12"/>
      <c r="AE67" s="12"/>
      <c r="AF67" s="12"/>
      <c r="AG67" s="12"/>
      <c r="AH67" s="12"/>
    </row>
    <row r="68" spans="1:34" ht="12.75" customHeight="1">
      <c r="A68" s="2"/>
      <c r="B68" s="12" t="str">
        <f>MID($B$64,10,3)</f>
        <v>AAI</v>
      </c>
      <c r="C68" s="12" t="str">
        <f t="shared" si="1"/>
        <v>Glart Smashrip</v>
      </c>
      <c r="D68" s="12"/>
      <c r="E68" s="12" t="s">
        <v>1018</v>
      </c>
      <c r="F68" s="12" t="s">
        <v>1018</v>
      </c>
      <c r="G68" s="12" t="s">
        <v>1018</v>
      </c>
      <c r="H68" s="12" t="s">
        <v>1018</v>
      </c>
      <c r="I68" s="12" t="s">
        <v>1018</v>
      </c>
      <c r="J68" s="12" t="s">
        <v>1018</v>
      </c>
      <c r="K68" s="12" t="s">
        <v>1318</v>
      </c>
      <c r="L68" s="12" t="s">
        <v>1258</v>
      </c>
      <c r="M68" s="12" t="s">
        <v>1018</v>
      </c>
      <c r="N68" s="12" t="s">
        <v>1018</v>
      </c>
      <c r="O68" s="12" t="s">
        <v>1018</v>
      </c>
      <c r="P68" s="12" t="s">
        <v>1018</v>
      </c>
      <c r="Q68" s="12" t="s">
        <v>1018</v>
      </c>
      <c r="R68" s="12" t="s">
        <v>1018</v>
      </c>
      <c r="S68" s="12" t="s">
        <v>1318</v>
      </c>
      <c r="T68" s="12"/>
      <c r="U68" s="12"/>
      <c r="V68" s="12"/>
      <c r="W68" s="12"/>
      <c r="X68" s="12"/>
      <c r="Y68" s="12"/>
      <c r="Z68" s="12"/>
      <c r="AA68" s="12"/>
      <c r="AB68" s="12"/>
      <c r="AC68" s="12"/>
      <c r="AD68" s="12"/>
      <c r="AE68" s="12"/>
      <c r="AF68" s="12"/>
      <c r="AG68" s="12"/>
      <c r="AH68" s="12"/>
    </row>
    <row r="69" spans="1:34" ht="12.75" customHeight="1">
      <c r="A69" s="2"/>
      <c r="B69" s="12" t="str">
        <f>MID($B$64,13,3)</f>
        <v>AAC</v>
      </c>
      <c r="C69" s="12" t="str">
        <f t="shared" si="1"/>
        <v>The Black Gobbo</v>
      </c>
      <c r="D69" s="12"/>
      <c r="E69" s="12" t="s">
        <v>1030</v>
      </c>
      <c r="F69" s="12" t="s">
        <v>1081</v>
      </c>
      <c r="G69" s="12" t="s">
        <v>1102</v>
      </c>
      <c r="H69" s="12" t="s">
        <v>1102</v>
      </c>
      <c r="I69" s="12" t="s">
        <v>1171</v>
      </c>
      <c r="J69" s="12" t="s">
        <v>1181</v>
      </c>
      <c r="K69" s="12" t="s">
        <v>1018</v>
      </c>
      <c r="L69" s="12" t="s">
        <v>1018</v>
      </c>
      <c r="M69" s="12" t="s">
        <v>1122</v>
      </c>
      <c r="N69" s="12" t="s">
        <v>1102</v>
      </c>
      <c r="O69" s="12" t="s">
        <v>1102</v>
      </c>
      <c r="P69" s="12" t="s">
        <v>1102</v>
      </c>
      <c r="Q69" s="12" t="s">
        <v>1081</v>
      </c>
      <c r="R69" s="12" t="s">
        <v>1171</v>
      </c>
      <c r="S69" s="12" t="s">
        <v>1018</v>
      </c>
      <c r="T69" s="12"/>
      <c r="U69" s="12"/>
      <c r="V69" s="12"/>
      <c r="W69" s="12"/>
      <c r="X69" s="12"/>
      <c r="Y69" s="12"/>
      <c r="Z69" s="12"/>
      <c r="AA69" s="12"/>
      <c r="AB69" s="12"/>
      <c r="AC69" s="12"/>
      <c r="AD69" s="12"/>
      <c r="AE69" s="12"/>
      <c r="AF69" s="12"/>
      <c r="AG69" s="12"/>
      <c r="AH69" s="12"/>
    </row>
    <row r="70" spans="1:34" ht="12.75" customHeight="1">
      <c r="A70" s="2"/>
      <c r="B70" s="12" t="str">
        <f>MID($B$64,16,3)</f>
        <v>AAD</v>
      </c>
      <c r="C70" s="12" t="str">
        <f t="shared" si="1"/>
        <v>Grak</v>
      </c>
      <c r="D70" s="12"/>
      <c r="E70" s="12" t="s">
        <v>1040</v>
      </c>
      <c r="F70" s="12" t="s">
        <v>1092</v>
      </c>
      <c r="G70" s="12" t="s">
        <v>1112</v>
      </c>
      <c r="H70" s="12" t="s">
        <v>1112</v>
      </c>
      <c r="I70" s="12" t="s">
        <v>1102</v>
      </c>
      <c r="J70" s="12" t="s">
        <v>1191</v>
      </c>
      <c r="K70" s="12" t="s">
        <v>1081</v>
      </c>
      <c r="L70" s="12" t="s">
        <v>1171</v>
      </c>
      <c r="M70" s="12" t="s">
        <v>1132</v>
      </c>
      <c r="N70" s="12" t="s">
        <v>1112</v>
      </c>
      <c r="O70" s="12" t="s">
        <v>1112</v>
      </c>
      <c r="P70" s="12" t="s">
        <v>1112</v>
      </c>
      <c r="Q70" s="12" t="s">
        <v>1092</v>
      </c>
      <c r="R70" s="12" t="s">
        <v>1102</v>
      </c>
      <c r="S70" s="12" t="s">
        <v>1171</v>
      </c>
      <c r="T70" s="12"/>
      <c r="U70" s="12"/>
      <c r="V70" s="12"/>
      <c r="W70" s="12"/>
      <c r="X70" s="12"/>
      <c r="Y70" s="12"/>
      <c r="Z70" s="12"/>
      <c r="AA70" s="12"/>
      <c r="AB70" s="12"/>
      <c r="AC70" s="12"/>
      <c r="AD70" s="12"/>
      <c r="AE70" s="12"/>
      <c r="AF70" s="12"/>
      <c r="AG70" s="12"/>
      <c r="AH70" s="12"/>
    </row>
    <row r="71" spans="1:34" ht="12.75" customHeight="1">
      <c r="A71" s="2"/>
      <c r="B71" s="12" t="str">
        <f>MID($B$64,19,3)</f>
        <v>AAE</v>
      </c>
      <c r="C71" s="12" t="str">
        <f t="shared" si="1"/>
        <v>Crumbleberry</v>
      </c>
      <c r="D71" s="12"/>
      <c r="E71" s="12" t="s">
        <v>1052</v>
      </c>
      <c r="F71" s="12" t="s">
        <v>1030</v>
      </c>
      <c r="G71" s="12" t="s">
        <v>1132</v>
      </c>
      <c r="H71" s="12" t="s">
        <v>1122</v>
      </c>
      <c r="I71" s="12" t="s">
        <v>1112</v>
      </c>
      <c r="J71" s="12" t="s">
        <v>1201</v>
      </c>
      <c r="K71" s="12" t="s">
        <v>1092</v>
      </c>
      <c r="L71" s="12" t="s">
        <v>1268</v>
      </c>
      <c r="M71" s="12" t="s">
        <v>1288</v>
      </c>
      <c r="N71" s="12" t="s">
        <v>1122</v>
      </c>
      <c r="O71" s="12" t="s">
        <v>1122</v>
      </c>
      <c r="P71" s="12" t="s">
        <v>1122</v>
      </c>
      <c r="Q71" s="12" t="s">
        <v>1030</v>
      </c>
      <c r="R71" s="12" t="s">
        <v>1112</v>
      </c>
      <c r="S71" s="12" t="s">
        <v>1102</v>
      </c>
      <c r="T71" s="12"/>
      <c r="U71" s="12"/>
      <c r="V71" s="12"/>
      <c r="W71" s="12"/>
      <c r="X71" s="12"/>
      <c r="Y71" s="12"/>
      <c r="Z71" s="12"/>
      <c r="AA71" s="12"/>
      <c r="AB71" s="12"/>
      <c r="AC71" s="12"/>
      <c r="AD71" s="12"/>
      <c r="AE71" s="12"/>
      <c r="AF71" s="12"/>
      <c r="AG71" s="12"/>
      <c r="AH71" s="12"/>
    </row>
    <row r="72" spans="1:34" ht="12.75" customHeight="1">
      <c r="A72" s="2"/>
      <c r="B72" s="12" t="str">
        <f>MID($B$64,22,3)</f>
        <v>AAF</v>
      </c>
      <c r="C72" s="12" t="str">
        <f t="shared" si="1"/>
        <v>Varag Ghoul-Chewer</v>
      </c>
      <c r="D72" s="12"/>
      <c r="E72" s="12" t="s">
        <v>1059</v>
      </c>
      <c r="F72" s="12" t="s">
        <v>1040</v>
      </c>
      <c r="G72" s="12" t="s">
        <v>1288</v>
      </c>
      <c r="H72" s="12" t="s">
        <v>1132</v>
      </c>
      <c r="I72" s="12" t="s">
        <v>1040</v>
      </c>
      <c r="J72" s="12" t="s">
        <v>1211</v>
      </c>
      <c r="K72" s="12" t="s">
        <v>1308</v>
      </c>
      <c r="L72" s="12" t="s">
        <v>1162</v>
      </c>
      <c r="M72" s="12" t="s">
        <v>1211</v>
      </c>
      <c r="N72" s="12" t="s">
        <v>1132</v>
      </c>
      <c r="O72" s="12" t="s">
        <v>1132</v>
      </c>
      <c r="P72" s="12" t="s">
        <v>1132</v>
      </c>
      <c r="Q72" s="12" t="s">
        <v>1040</v>
      </c>
      <c r="R72" s="12" t="s">
        <v>1122</v>
      </c>
      <c r="S72" s="12" t="s">
        <v>1081</v>
      </c>
      <c r="T72" s="12"/>
      <c r="U72" s="12"/>
      <c r="V72" s="12"/>
      <c r="W72" s="12"/>
      <c r="X72" s="12"/>
      <c r="Y72" s="12"/>
      <c r="Z72" s="12"/>
      <c r="AA72" s="12"/>
      <c r="AB72" s="12"/>
      <c r="AC72" s="12"/>
      <c r="AD72" s="12"/>
      <c r="AE72" s="12"/>
      <c r="AF72" s="12"/>
      <c r="AG72" s="12"/>
      <c r="AH72" s="12"/>
    </row>
    <row r="73" spans="1:34" ht="12.75" customHeight="1">
      <c r="A73" s="2"/>
      <c r="B73" s="12" t="str">
        <f>MID($B$64,25,3)</f>
        <v>AAG</v>
      </c>
      <c r="C73" s="12" t="str">
        <f t="shared" si="1"/>
        <v>Morg 'n' Thorg</v>
      </c>
      <c r="D73" s="12"/>
      <c r="E73" s="12" t="s">
        <v>1070</v>
      </c>
      <c r="F73" s="12" t="s">
        <v>1052</v>
      </c>
      <c r="G73" s="12" t="s">
        <v>1040</v>
      </c>
      <c r="H73" s="12" t="s">
        <v>1288</v>
      </c>
      <c r="I73" s="12" t="s">
        <v>1052</v>
      </c>
      <c r="J73" s="12" t="s">
        <v>1040</v>
      </c>
      <c r="K73" s="12" t="s">
        <v>1298</v>
      </c>
      <c r="L73" s="12" t="s">
        <v>1040</v>
      </c>
      <c r="M73" s="12" t="s">
        <v>1040</v>
      </c>
      <c r="N73" s="12" t="s">
        <v>1288</v>
      </c>
      <c r="O73" s="12" t="s">
        <v>1288</v>
      </c>
      <c r="P73" s="12" t="s">
        <v>1288</v>
      </c>
      <c r="Q73" s="12" t="s">
        <v>1052</v>
      </c>
      <c r="R73" s="12" t="s">
        <v>1132</v>
      </c>
      <c r="S73" s="12" t="s">
        <v>1092</v>
      </c>
      <c r="T73" s="12"/>
      <c r="U73" s="12"/>
      <c r="V73" s="12"/>
      <c r="W73" s="12"/>
      <c r="X73" s="12"/>
      <c r="Y73" s="12"/>
      <c r="Z73" s="12"/>
      <c r="AA73" s="12"/>
      <c r="AB73" s="12"/>
      <c r="AC73" s="12"/>
      <c r="AD73" s="12"/>
      <c r="AE73" s="12"/>
      <c r="AF73" s="12"/>
      <c r="AG73" s="12"/>
      <c r="AH73" s="12"/>
    </row>
    <row r="74" spans="1:34" ht="12.75" customHeight="1">
      <c r="A74" s="2"/>
      <c r="B74" s="12" t="str">
        <f>MID($B$64,28,3)</f>
        <v>CCC</v>
      </c>
      <c r="C74" s="12" t="str">
        <f t="shared" si="1"/>
        <v>Mercenario 1</v>
      </c>
      <c r="D74" s="12"/>
      <c r="E74" s="12" t="str">
        <f t="shared" ref="E74:E85" si="3">""</f>
        <v/>
      </c>
      <c r="F74" s="12" t="s">
        <v>1059</v>
      </c>
      <c r="G74" s="12" t="s">
        <v>1052</v>
      </c>
      <c r="H74" s="12" t="s">
        <v>1162</v>
      </c>
      <c r="I74" s="12" t="s">
        <v>1070</v>
      </c>
      <c r="J74" s="12" t="s">
        <v>1052</v>
      </c>
      <c r="K74" s="12" t="s">
        <v>1040</v>
      </c>
      <c r="L74" s="12" t="s">
        <v>1052</v>
      </c>
      <c r="M74" s="12" t="s">
        <v>1052</v>
      </c>
      <c r="N74" s="12" t="s">
        <v>1030</v>
      </c>
      <c r="O74" s="12" t="s">
        <v>1211</v>
      </c>
      <c r="P74" s="12" t="s">
        <v>1162</v>
      </c>
      <c r="Q74" s="12" t="s">
        <v>1059</v>
      </c>
      <c r="R74" s="12" t="s">
        <v>1288</v>
      </c>
      <c r="S74" s="12" t="s">
        <v>1112</v>
      </c>
      <c r="T74" s="12"/>
      <c r="U74" s="12"/>
      <c r="V74" s="12"/>
      <c r="W74" s="12"/>
      <c r="X74" s="12"/>
      <c r="Y74" s="12"/>
      <c r="Z74" s="12"/>
      <c r="AA74" s="12"/>
      <c r="AB74" s="12"/>
      <c r="AC74" s="12"/>
      <c r="AD74" s="12"/>
      <c r="AE74" s="12"/>
      <c r="AF74" s="12"/>
      <c r="AG74" s="12"/>
      <c r="AH74" s="12"/>
    </row>
    <row r="75" spans="1:34" ht="12.75" customHeight="1">
      <c r="A75" s="2"/>
      <c r="B75" s="12" t="str">
        <f>MID($B$64,31,3)</f>
        <v>DDD</v>
      </c>
      <c r="C75" s="12" t="str">
        <f t="shared" si="1"/>
        <v>Mercenario 2</v>
      </c>
      <c r="D75" s="12"/>
      <c r="E75" s="12" t="str">
        <f t="shared" si="3"/>
        <v/>
      </c>
      <c r="F75" s="12" t="s">
        <v>1070</v>
      </c>
      <c r="G75" s="12" t="s">
        <v>1142</v>
      </c>
      <c r="H75" s="12" t="s">
        <v>1040</v>
      </c>
      <c r="I75" s="12" t="str">
        <f t="shared" ref="I75:I79" si="4">""</f>
        <v/>
      </c>
      <c r="J75" s="12" t="s">
        <v>1221</v>
      </c>
      <c r="K75" s="12" t="s">
        <v>1052</v>
      </c>
      <c r="L75" s="12" t="s">
        <v>1278</v>
      </c>
      <c r="M75" s="12" t="s">
        <v>1070</v>
      </c>
      <c r="N75" s="12" t="s">
        <v>1162</v>
      </c>
      <c r="O75" s="12" t="s">
        <v>1162</v>
      </c>
      <c r="P75" s="12" t="s">
        <v>1040</v>
      </c>
      <c r="Q75" s="12" t="s">
        <v>1070</v>
      </c>
      <c r="R75" s="12" t="s">
        <v>1162</v>
      </c>
      <c r="S75" s="12" t="s">
        <v>1308</v>
      </c>
      <c r="T75" s="12"/>
      <c r="U75" s="12"/>
      <c r="V75" s="12"/>
      <c r="W75" s="12"/>
      <c r="X75" s="12"/>
      <c r="Y75" s="12"/>
      <c r="Z75" s="12"/>
      <c r="AA75" s="12"/>
      <c r="AB75" s="12"/>
      <c r="AC75" s="12"/>
      <c r="AD75" s="12"/>
      <c r="AE75" s="12"/>
      <c r="AF75" s="12"/>
      <c r="AG75" s="12"/>
      <c r="AH75" s="12"/>
    </row>
    <row r="76" spans="1:34" ht="12.75" customHeight="1">
      <c r="A76" s="2"/>
      <c r="B76" s="12" t="str">
        <f>MID($B$64,34,3)</f>
        <v>EEE</v>
      </c>
      <c r="C76" s="12" t="str">
        <f t="shared" si="1"/>
        <v>Mercenario 3</v>
      </c>
      <c r="D76" s="12"/>
      <c r="E76" s="12" t="str">
        <f t="shared" si="3"/>
        <v/>
      </c>
      <c r="F76" s="12" t="str">
        <f t="shared" ref="F76:F85" si="5">""</f>
        <v/>
      </c>
      <c r="G76" s="12" t="s">
        <v>1152</v>
      </c>
      <c r="H76" s="12" t="s">
        <v>1052</v>
      </c>
      <c r="I76" s="12" t="str">
        <f t="shared" si="4"/>
        <v/>
      </c>
      <c r="J76" s="12" t="s">
        <v>1232</v>
      </c>
      <c r="K76" s="12" t="s">
        <v>1248</v>
      </c>
      <c r="L76" s="12" t="str">
        <f t="shared" ref="L76:M76" si="6">""</f>
        <v/>
      </c>
      <c r="M76" s="12" t="str">
        <f t="shared" si="6"/>
        <v/>
      </c>
      <c r="N76" s="12" t="s">
        <v>1040</v>
      </c>
      <c r="O76" s="12" t="s">
        <v>1040</v>
      </c>
      <c r="P76" s="12" t="s">
        <v>1052</v>
      </c>
      <c r="Q76" s="12" t="str">
        <f t="shared" ref="Q76:Q79" si="7">""</f>
        <v/>
      </c>
      <c r="R76" s="12" t="s">
        <v>1040</v>
      </c>
      <c r="S76" s="12" t="s">
        <v>1122</v>
      </c>
      <c r="T76" s="12"/>
      <c r="U76" s="12"/>
      <c r="V76" s="12"/>
      <c r="W76" s="12"/>
      <c r="X76" s="12"/>
      <c r="Y76" s="12"/>
      <c r="Z76" s="12"/>
      <c r="AA76" s="12"/>
      <c r="AB76" s="12"/>
      <c r="AC76" s="12"/>
      <c r="AD76" s="12"/>
      <c r="AE76" s="12"/>
      <c r="AF76" s="12"/>
      <c r="AG76" s="12"/>
      <c r="AH76" s="12"/>
    </row>
    <row r="77" spans="1:34" ht="12.75" customHeight="1">
      <c r="A77" s="2"/>
      <c r="B77" s="12" t="str">
        <f>MID($B$64,37,3)</f>
        <v/>
      </c>
      <c r="C77" s="12" t="str">
        <f t="shared" si="1"/>
        <v xml:space="preserve"> </v>
      </c>
      <c r="D77" s="12"/>
      <c r="E77" s="12" t="str">
        <f t="shared" si="3"/>
        <v/>
      </c>
      <c r="F77" s="12" t="str">
        <f t="shared" si="5"/>
        <v/>
      </c>
      <c r="G77" s="12" t="s">
        <v>1070</v>
      </c>
      <c r="H77" s="12" t="s">
        <v>1142</v>
      </c>
      <c r="I77" s="12" t="str">
        <f t="shared" si="4"/>
        <v/>
      </c>
      <c r="J77" s="12" t="s">
        <v>1242</v>
      </c>
      <c r="K77" s="12" t="s">
        <v>1070</v>
      </c>
      <c r="L77" s="12" t="str">
        <f t="shared" ref="L77:M77" si="8">""</f>
        <v/>
      </c>
      <c r="M77" s="12" t="str">
        <f t="shared" si="8"/>
        <v/>
      </c>
      <c r="N77" s="12" t="s">
        <v>1052</v>
      </c>
      <c r="O77" s="12" t="s">
        <v>1052</v>
      </c>
      <c r="P77" s="12" t="s">
        <v>1142</v>
      </c>
      <c r="Q77" s="12" t="str">
        <f t="shared" si="7"/>
        <v/>
      </c>
      <c r="R77" s="12" t="s">
        <v>1052</v>
      </c>
      <c r="S77" s="12" t="s">
        <v>1030</v>
      </c>
      <c r="T77" s="12"/>
      <c r="U77" s="12"/>
      <c r="V77" s="12"/>
      <c r="W77" s="12"/>
      <c r="X77" s="12"/>
      <c r="Y77" s="12"/>
      <c r="Z77" s="12"/>
      <c r="AA77" s="12"/>
      <c r="AB77" s="12"/>
      <c r="AC77" s="12"/>
      <c r="AD77" s="12"/>
      <c r="AE77" s="12"/>
      <c r="AF77" s="12"/>
      <c r="AG77" s="12"/>
      <c r="AH77" s="12"/>
    </row>
    <row r="78" spans="1:34" ht="12.75" customHeight="1">
      <c r="A78" s="2"/>
      <c r="B78" s="12" t="str">
        <f>MID($B$64,40,3)</f>
        <v/>
      </c>
      <c r="C78" s="12" t="str">
        <f t="shared" si="1"/>
        <v xml:space="preserve"> </v>
      </c>
      <c r="D78" s="12"/>
      <c r="E78" s="12" t="str">
        <f t="shared" si="3"/>
        <v/>
      </c>
      <c r="F78" s="12" t="str">
        <f t="shared" si="5"/>
        <v/>
      </c>
      <c r="G78" s="12" t="str">
        <f t="shared" ref="G78:G85" si="9">""</f>
        <v/>
      </c>
      <c r="H78" s="12" t="s">
        <v>1152</v>
      </c>
      <c r="I78" s="12" t="str">
        <f t="shared" si="4"/>
        <v/>
      </c>
      <c r="J78" s="12" t="s">
        <v>1070</v>
      </c>
      <c r="K78" s="12" t="str">
        <f t="shared" ref="K78:M78" si="10">""</f>
        <v/>
      </c>
      <c r="L78" s="12" t="str">
        <f t="shared" si="10"/>
        <v/>
      </c>
      <c r="M78" s="12" t="str">
        <f t="shared" si="10"/>
        <v/>
      </c>
      <c r="N78" s="12" t="s">
        <v>1142</v>
      </c>
      <c r="O78" s="12" t="s">
        <v>1142</v>
      </c>
      <c r="P78" s="12" t="s">
        <v>1152</v>
      </c>
      <c r="Q78" s="12" t="str">
        <f t="shared" si="7"/>
        <v/>
      </c>
      <c r="R78" s="12" t="s">
        <v>1142</v>
      </c>
      <c r="S78" s="12" t="s">
        <v>1298</v>
      </c>
      <c r="T78" s="12"/>
      <c r="U78" s="12"/>
      <c r="V78" s="12"/>
      <c r="W78" s="12"/>
      <c r="X78" s="12"/>
      <c r="Y78" s="12"/>
      <c r="Z78" s="12"/>
      <c r="AA78" s="12"/>
      <c r="AB78" s="12"/>
      <c r="AC78" s="12"/>
      <c r="AD78" s="12"/>
      <c r="AE78" s="12"/>
      <c r="AF78" s="12"/>
      <c r="AG78" s="12"/>
      <c r="AH78" s="12"/>
    </row>
    <row r="79" spans="1:34" ht="12.75" customHeight="1">
      <c r="A79" s="2"/>
      <c r="B79" s="12" t="str">
        <f>MID($B$64,43,3)</f>
        <v/>
      </c>
      <c r="C79" s="12" t="str">
        <f t="shared" si="1"/>
        <v xml:space="preserve"> </v>
      </c>
      <c r="D79" s="12"/>
      <c r="E79" s="12" t="str">
        <f t="shared" si="3"/>
        <v/>
      </c>
      <c r="F79" s="12" t="str">
        <f t="shared" si="5"/>
        <v/>
      </c>
      <c r="G79" s="12" t="str">
        <f t="shared" si="9"/>
        <v/>
      </c>
      <c r="H79" s="12" t="s">
        <v>1070</v>
      </c>
      <c r="I79" s="12" t="str">
        <f t="shared" si="4"/>
        <v/>
      </c>
      <c r="J79" s="12" t="str">
        <f t="shared" ref="J79:M79" si="11">""</f>
        <v/>
      </c>
      <c r="K79" s="12" t="str">
        <f t="shared" si="11"/>
        <v/>
      </c>
      <c r="L79" s="12" t="str">
        <f t="shared" si="11"/>
        <v/>
      </c>
      <c r="M79" s="12" t="str">
        <f t="shared" si="11"/>
        <v/>
      </c>
      <c r="N79" s="12" t="s">
        <v>1152</v>
      </c>
      <c r="O79" s="12" t="s">
        <v>1152</v>
      </c>
      <c r="P79" s="12" t="s">
        <v>1070</v>
      </c>
      <c r="Q79" s="12" t="str">
        <f t="shared" si="7"/>
        <v/>
      </c>
      <c r="R79" s="12" t="s">
        <v>1152</v>
      </c>
      <c r="S79" s="12" t="s">
        <v>1040</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1059</v>
      </c>
      <c r="O80" s="12" t="s">
        <v>1070</v>
      </c>
      <c r="P80" s="12" t="str">
        <f t="shared" ref="P80:Q80" si="13">""</f>
        <v/>
      </c>
      <c r="Q80" s="12" t="str">
        <f t="shared" si="13"/>
        <v/>
      </c>
      <c r="R80" s="12" t="s">
        <v>1070</v>
      </c>
      <c r="S80" s="12" t="s">
        <v>1052</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1070</v>
      </c>
      <c r="O81" s="12" t="str">
        <f t="shared" ref="O81:R81" si="15">""</f>
        <v/>
      </c>
      <c r="P81" s="12" t="str">
        <f t="shared" si="15"/>
        <v/>
      </c>
      <c r="Q81" s="12" t="str">
        <f t="shared" si="15"/>
        <v/>
      </c>
      <c r="R81" s="12" t="str">
        <f t="shared" si="15"/>
        <v/>
      </c>
      <c r="S81" s="12" t="s">
        <v>1248</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1059</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1070</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1334</v>
      </c>
      <c r="C85" s="12" t="s">
        <v>1334</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57"/>
      <c r="E91" s="157"/>
      <c r="F91" s="157"/>
      <c r="G91" s="157"/>
      <c r="H91" s="157"/>
      <c r="I91" s="157"/>
      <c r="J91" s="157"/>
      <c r="K91" s="157"/>
      <c r="L91" s="157"/>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57"/>
      <c r="E92" s="157"/>
      <c r="F92" s="157"/>
      <c r="G92" s="157"/>
      <c r="H92" s="157"/>
      <c r="I92" s="157"/>
      <c r="J92" s="157"/>
      <c r="K92" s="157"/>
      <c r="L92" s="157"/>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57"/>
      <c r="F93" s="157"/>
      <c r="G93" s="157"/>
      <c r="H93" s="157"/>
      <c r="I93" s="157"/>
      <c r="J93" s="157"/>
      <c r="K93" s="157"/>
      <c r="L93" s="157"/>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57"/>
      <c r="F94" s="157"/>
      <c r="G94" s="157"/>
      <c r="H94" s="157"/>
      <c r="I94" s="157"/>
      <c r="J94" s="157"/>
      <c r="K94" s="157"/>
      <c r="L94" s="157"/>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57"/>
      <c r="F95" s="157"/>
      <c r="G95" s="157"/>
      <c r="H95" s="157"/>
      <c r="I95" s="157"/>
      <c r="J95" s="157"/>
      <c r="K95" s="157"/>
      <c r="L95" s="157"/>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57"/>
      <c r="E96" s="157"/>
      <c r="F96" s="157"/>
      <c r="G96" s="157"/>
      <c r="H96" s="157"/>
      <c r="I96" s="157"/>
      <c r="J96" s="157"/>
      <c r="K96" s="157"/>
      <c r="L96" s="157"/>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57"/>
      <c r="E97" s="157"/>
      <c r="F97" s="157"/>
      <c r="G97" s="157"/>
      <c r="H97" s="157"/>
      <c r="I97" s="157"/>
      <c r="J97" s="157"/>
      <c r="K97" s="157"/>
      <c r="L97" s="157"/>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57"/>
      <c r="E98" s="157"/>
      <c r="F98" s="157"/>
      <c r="G98" s="157"/>
      <c r="H98" s="157"/>
      <c r="I98" s="157"/>
      <c r="J98" s="157"/>
      <c r="K98" s="157"/>
      <c r="L98" s="157"/>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57"/>
      <c r="E99" s="157"/>
      <c r="F99" s="157"/>
      <c r="G99" s="157"/>
      <c r="H99" s="157"/>
      <c r="I99" s="157"/>
      <c r="J99" s="157"/>
      <c r="K99" s="157"/>
      <c r="L99" s="157"/>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57"/>
      <c r="F100" s="157"/>
      <c r="G100" s="157"/>
      <c r="H100" s="157"/>
      <c r="I100" s="157"/>
      <c r="J100" s="157"/>
      <c r="K100" s="157"/>
      <c r="L100" s="157"/>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57"/>
      <c r="F101" s="157"/>
      <c r="G101" s="157"/>
      <c r="H101" s="157"/>
      <c r="I101" s="157"/>
      <c r="J101" s="157"/>
      <c r="K101" s="157"/>
      <c r="L101" s="157"/>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57"/>
      <c r="F102" s="157"/>
      <c r="G102" s="157"/>
      <c r="H102" s="157"/>
      <c r="I102" s="157"/>
      <c r="J102" s="157"/>
      <c r="K102" s="157"/>
      <c r="L102" s="157"/>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57"/>
      <c r="E103" s="157"/>
      <c r="F103" s="157"/>
      <c r="G103" s="157"/>
      <c r="H103" s="157"/>
      <c r="I103" s="157"/>
      <c r="J103" s="157"/>
      <c r="K103" s="157"/>
      <c r="L103" s="157"/>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57"/>
      <c r="F104" s="157"/>
      <c r="G104" s="157"/>
      <c r="H104" s="157"/>
      <c r="I104" s="157"/>
      <c r="J104" s="157"/>
      <c r="K104" s="157"/>
      <c r="L104" s="157"/>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57"/>
      <c r="F105" s="157"/>
      <c r="G105" s="157"/>
      <c r="H105" s="157"/>
      <c r="I105" s="157"/>
      <c r="J105" s="157"/>
      <c r="K105" s="157"/>
      <c r="L105" s="157"/>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57"/>
      <c r="F106" s="157"/>
      <c r="G106" s="157"/>
      <c r="H106" s="157"/>
      <c r="I106" s="157"/>
      <c r="J106" s="157"/>
      <c r="K106" s="157"/>
      <c r="L106" s="157"/>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57"/>
      <c r="E107" s="157"/>
      <c r="F107" s="157"/>
      <c r="G107" s="157"/>
      <c r="H107" s="157"/>
      <c r="I107" s="157"/>
      <c r="J107" s="157"/>
      <c r="K107" s="157"/>
      <c r="L107" s="157"/>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57"/>
      <c r="E108" s="157"/>
      <c r="F108" s="157"/>
      <c r="G108" s="157"/>
      <c r="H108" s="157"/>
      <c r="I108" s="157"/>
      <c r="J108" s="157"/>
      <c r="K108" s="157"/>
      <c r="L108" s="157"/>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57"/>
      <c r="E109" s="157"/>
      <c r="F109" s="157"/>
      <c r="G109" s="157"/>
      <c r="H109" s="157"/>
      <c r="I109" s="157"/>
      <c r="J109" s="157"/>
      <c r="K109" s="157"/>
      <c r="L109" s="157"/>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57"/>
      <c r="F110" s="157"/>
      <c r="G110" s="157"/>
      <c r="H110" s="157"/>
      <c r="I110" s="157"/>
      <c r="J110" s="157"/>
      <c r="K110" s="157"/>
      <c r="L110" s="157"/>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57"/>
      <c r="F111" s="157"/>
      <c r="G111" s="157"/>
      <c r="H111" s="157"/>
      <c r="I111" s="157"/>
      <c r="J111" s="157"/>
      <c r="K111" s="157"/>
      <c r="L111" s="157"/>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57"/>
      <c r="F112" s="157"/>
      <c r="G112" s="157"/>
      <c r="H112" s="157"/>
      <c r="I112" s="157"/>
      <c r="J112" s="157"/>
      <c r="K112" s="157"/>
      <c r="L112" s="157"/>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57"/>
      <c r="F113" s="157"/>
      <c r="G113" s="157"/>
      <c r="H113" s="157"/>
      <c r="I113" s="157"/>
      <c r="J113" s="157"/>
      <c r="K113" s="157"/>
      <c r="L113" s="157"/>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57"/>
      <c r="D114" s="13"/>
      <c r="E114" s="157"/>
      <c r="F114" s="157"/>
      <c r="G114" s="157"/>
      <c r="H114" s="157"/>
      <c r="I114" s="157"/>
      <c r="J114" s="157"/>
      <c r="K114" s="157"/>
      <c r="L114" s="157"/>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57"/>
      <c r="D115" s="157"/>
      <c r="E115" s="157"/>
      <c r="F115" s="157"/>
      <c r="G115" s="157"/>
      <c r="H115" s="157"/>
      <c r="I115" s="157"/>
      <c r="J115" s="157"/>
      <c r="K115" s="157"/>
      <c r="L115" s="157"/>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57"/>
      <c r="F116" s="157"/>
      <c r="G116" s="157"/>
      <c r="H116" s="157"/>
      <c r="I116" s="157"/>
      <c r="J116" s="157"/>
      <c r="K116" s="157"/>
      <c r="L116" s="157"/>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57"/>
      <c r="F117" s="157"/>
      <c r="G117" s="157"/>
      <c r="H117" s="157"/>
      <c r="I117" s="157"/>
      <c r="J117" s="157"/>
      <c r="K117" s="157"/>
      <c r="L117" s="157"/>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57"/>
      <c r="D118" s="13"/>
      <c r="E118" s="157"/>
      <c r="F118" s="157"/>
      <c r="G118" s="157"/>
      <c r="H118" s="157"/>
      <c r="I118" s="157"/>
      <c r="J118" s="157"/>
      <c r="K118" s="157"/>
      <c r="L118" s="157"/>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57"/>
      <c r="F119" s="157"/>
      <c r="G119" s="157"/>
      <c r="H119" s="157"/>
      <c r="I119" s="157"/>
      <c r="J119" s="157"/>
      <c r="K119" s="157"/>
      <c r="L119" s="157"/>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57"/>
      <c r="F120" s="157"/>
      <c r="G120" s="157"/>
      <c r="H120" s="157"/>
      <c r="I120" s="157"/>
      <c r="J120" s="157"/>
      <c r="K120" s="157"/>
      <c r="L120" s="157"/>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57"/>
      <c r="F121" s="157"/>
      <c r="G121" s="157"/>
      <c r="H121" s="157"/>
      <c r="I121" s="157"/>
      <c r="J121" s="157"/>
      <c r="K121" s="157"/>
      <c r="L121" s="157"/>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57"/>
      <c r="D122" s="157"/>
      <c r="E122" s="157"/>
      <c r="F122" s="157"/>
      <c r="G122" s="157"/>
      <c r="H122" s="157"/>
      <c r="I122" s="157"/>
      <c r="J122" s="157"/>
      <c r="K122" s="157"/>
      <c r="L122" s="157"/>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57"/>
      <c r="D123" s="157"/>
      <c r="E123" s="157"/>
      <c r="F123" s="157"/>
      <c r="G123" s="157"/>
      <c r="H123" s="157"/>
      <c r="I123" s="157"/>
      <c r="J123" s="157"/>
      <c r="K123" s="157"/>
      <c r="L123" s="157"/>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57"/>
      <c r="D124" s="157"/>
      <c r="E124" s="157"/>
      <c r="F124" s="157"/>
      <c r="G124" s="157"/>
      <c r="H124" s="157"/>
      <c r="I124" s="157"/>
      <c r="J124" s="157"/>
      <c r="K124" s="157"/>
      <c r="L124" s="157"/>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57"/>
      <c r="C125" s="13"/>
      <c r="D125" s="13"/>
      <c r="E125" s="157"/>
      <c r="F125" s="157"/>
      <c r="G125" s="157"/>
      <c r="H125" s="157"/>
      <c r="I125" s="157"/>
      <c r="J125" s="157"/>
      <c r="K125" s="157"/>
      <c r="L125" s="157"/>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57"/>
      <c r="F126" s="157"/>
      <c r="G126" s="157"/>
      <c r="H126" s="157"/>
      <c r="I126" s="157"/>
      <c r="J126" s="157"/>
      <c r="K126" s="157"/>
      <c r="L126" s="157"/>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57"/>
      <c r="F127" s="157"/>
      <c r="G127" s="157"/>
      <c r="H127" s="157"/>
      <c r="I127" s="157"/>
      <c r="J127" s="157"/>
      <c r="K127" s="157"/>
      <c r="L127" s="157"/>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57"/>
      <c r="F128" s="157"/>
      <c r="G128" s="157"/>
      <c r="H128" s="157"/>
      <c r="I128" s="157"/>
      <c r="J128" s="157"/>
      <c r="K128" s="157"/>
      <c r="L128" s="157"/>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57"/>
      <c r="C129" s="157"/>
      <c r="D129" s="157"/>
      <c r="E129" s="157"/>
      <c r="F129" s="157"/>
      <c r="G129" s="157"/>
      <c r="H129" s="157"/>
      <c r="I129" s="157"/>
      <c r="J129" s="157"/>
      <c r="K129" s="157"/>
      <c r="L129" s="157"/>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57"/>
      <c r="C130" s="157"/>
      <c r="D130" s="13"/>
      <c r="E130" s="157"/>
      <c r="F130" s="157"/>
      <c r="G130" s="157"/>
      <c r="H130" s="157"/>
      <c r="I130" s="157"/>
      <c r="J130" s="157"/>
      <c r="K130" s="157"/>
      <c r="L130" s="157"/>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57"/>
      <c r="C131" s="157"/>
      <c r="D131" s="157"/>
      <c r="E131" s="157"/>
      <c r="F131" s="157"/>
      <c r="G131" s="157"/>
      <c r="H131" s="157"/>
      <c r="I131" s="157"/>
      <c r="J131" s="157"/>
      <c r="K131" s="157"/>
      <c r="L131" s="157"/>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57"/>
      <c r="F132" s="157"/>
      <c r="G132" s="157"/>
      <c r="H132" s="157"/>
      <c r="I132" s="157"/>
      <c r="J132" s="157"/>
      <c r="K132" s="157"/>
      <c r="L132" s="157"/>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57"/>
      <c r="F133" s="157"/>
      <c r="G133" s="157"/>
      <c r="H133" s="157"/>
      <c r="I133" s="157"/>
      <c r="J133" s="157"/>
      <c r="K133" s="157"/>
      <c r="L133" s="157"/>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57"/>
      <c r="F134" s="157"/>
      <c r="G134" s="157"/>
      <c r="H134" s="157"/>
      <c r="I134" s="157"/>
      <c r="J134" s="157"/>
      <c r="K134" s="157"/>
      <c r="L134" s="157"/>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57"/>
      <c r="C135" s="157"/>
      <c r="D135" s="13"/>
      <c r="E135" s="157"/>
      <c r="F135" s="157"/>
      <c r="G135" s="157"/>
      <c r="H135" s="157"/>
      <c r="I135" s="157"/>
      <c r="J135" s="157"/>
      <c r="K135" s="157"/>
      <c r="L135" s="157"/>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57"/>
      <c r="F136" s="157"/>
      <c r="G136" s="157"/>
      <c r="H136" s="157"/>
      <c r="I136" s="157"/>
      <c r="J136" s="157"/>
      <c r="K136" s="157"/>
      <c r="L136" s="157"/>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57"/>
      <c r="F137" s="157"/>
      <c r="G137" s="157"/>
      <c r="H137" s="157"/>
      <c r="I137" s="157"/>
      <c r="J137" s="157"/>
      <c r="K137" s="157"/>
      <c r="L137" s="157"/>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57"/>
      <c r="C138" s="157"/>
      <c r="D138" s="157"/>
      <c r="E138" s="157"/>
      <c r="F138" s="157"/>
      <c r="G138" s="157"/>
      <c r="H138" s="157"/>
      <c r="I138" s="157"/>
      <c r="J138" s="157"/>
      <c r="K138" s="157"/>
      <c r="L138" s="157"/>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57"/>
      <c r="C139" s="157"/>
      <c r="D139" s="157"/>
      <c r="E139" s="157"/>
      <c r="F139" s="157"/>
      <c r="G139" s="157"/>
      <c r="H139" s="157"/>
      <c r="I139" s="157"/>
      <c r="J139" s="157"/>
      <c r="K139" s="157"/>
      <c r="L139" s="157"/>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57"/>
      <c r="C140" s="157"/>
      <c r="D140" s="157"/>
      <c r="E140" s="157"/>
      <c r="F140" s="157"/>
      <c r="G140" s="157"/>
      <c r="H140" s="157"/>
      <c r="I140" s="157"/>
      <c r="J140" s="157"/>
      <c r="K140" s="157"/>
      <c r="L140" s="157"/>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57"/>
      <c r="F141" s="157"/>
      <c r="G141" s="157"/>
      <c r="H141" s="157"/>
      <c r="I141" s="157"/>
      <c r="J141" s="157"/>
      <c r="K141" s="157"/>
      <c r="L141" s="157"/>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57"/>
      <c r="F142" s="157"/>
      <c r="G142" s="157"/>
      <c r="H142" s="157"/>
      <c r="I142" s="157"/>
      <c r="J142" s="157"/>
      <c r="K142" s="157"/>
      <c r="L142" s="157"/>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57"/>
      <c r="F143" s="157"/>
      <c r="G143" s="157"/>
      <c r="H143" s="157"/>
      <c r="I143" s="157"/>
      <c r="J143" s="157"/>
      <c r="K143" s="157"/>
      <c r="L143" s="157"/>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57"/>
      <c r="F144" s="157"/>
      <c r="G144" s="157"/>
      <c r="H144" s="157"/>
      <c r="I144" s="157"/>
      <c r="J144" s="157"/>
      <c r="K144" s="157"/>
      <c r="L144" s="157"/>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57"/>
      <c r="C145" s="157"/>
      <c r="D145" s="13"/>
      <c r="E145" s="157"/>
      <c r="F145" s="157"/>
      <c r="G145" s="157"/>
      <c r="H145" s="157"/>
      <c r="I145" s="157"/>
      <c r="J145" s="157"/>
      <c r="K145" s="157"/>
      <c r="L145" s="157"/>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57"/>
      <c r="F146" s="157"/>
      <c r="G146" s="157"/>
      <c r="H146" s="157"/>
      <c r="I146" s="157"/>
      <c r="J146" s="157"/>
      <c r="K146" s="157"/>
      <c r="L146" s="157"/>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57"/>
      <c r="F147" s="157"/>
      <c r="G147" s="157"/>
      <c r="H147" s="157"/>
      <c r="I147" s="157"/>
      <c r="J147" s="157"/>
      <c r="K147" s="157"/>
      <c r="L147" s="157"/>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57"/>
      <c r="F148" s="157"/>
      <c r="G148" s="157"/>
      <c r="H148" s="157"/>
      <c r="I148" s="157"/>
      <c r="J148" s="157"/>
      <c r="K148" s="157"/>
      <c r="L148" s="157"/>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57"/>
      <c r="C149" s="157"/>
      <c r="D149" s="13"/>
      <c r="E149" s="157"/>
      <c r="F149" s="157"/>
      <c r="G149" s="157"/>
      <c r="H149" s="157"/>
      <c r="I149" s="157"/>
      <c r="J149" s="157"/>
      <c r="K149" s="157"/>
      <c r="L149" s="157"/>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57"/>
      <c r="F150" s="157"/>
      <c r="G150" s="157"/>
      <c r="H150" s="157"/>
      <c r="I150" s="157"/>
      <c r="J150" s="157"/>
      <c r="K150" s="157"/>
      <c r="L150" s="157"/>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57"/>
      <c r="F151" s="157"/>
      <c r="G151" s="157"/>
      <c r="H151" s="157"/>
      <c r="I151" s="157"/>
      <c r="J151" s="157"/>
      <c r="K151" s="157"/>
      <c r="L151" s="157"/>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57"/>
      <c r="C152" s="157"/>
      <c r="D152" s="157"/>
      <c r="E152" s="157"/>
      <c r="F152" s="157"/>
      <c r="G152" s="157"/>
      <c r="H152" s="157"/>
      <c r="I152" s="157"/>
      <c r="J152" s="157"/>
      <c r="K152" s="157"/>
      <c r="L152" s="157"/>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57"/>
      <c r="C153" s="157"/>
      <c r="D153" s="157"/>
      <c r="E153" s="157"/>
      <c r="F153" s="157"/>
      <c r="G153" s="157"/>
      <c r="H153" s="157"/>
      <c r="I153" s="157"/>
      <c r="J153" s="157"/>
      <c r="K153" s="157"/>
      <c r="L153" s="157"/>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57"/>
      <c r="C154" s="157"/>
      <c r="D154" s="157"/>
      <c r="E154" s="157"/>
      <c r="F154" s="157"/>
      <c r="G154" s="157"/>
      <c r="H154" s="157"/>
      <c r="I154" s="157"/>
      <c r="J154" s="157"/>
      <c r="K154" s="157"/>
      <c r="L154" s="157"/>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57"/>
      <c r="D155" s="157"/>
      <c r="E155" s="157"/>
      <c r="F155" s="157"/>
      <c r="G155" s="157"/>
      <c r="H155" s="157"/>
      <c r="I155" s="157"/>
      <c r="J155" s="157"/>
      <c r="K155" s="157"/>
      <c r="L155" s="157"/>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57"/>
      <c r="C156" s="157"/>
      <c r="D156" s="157"/>
      <c r="E156" s="157"/>
      <c r="F156" s="157"/>
      <c r="G156" s="157"/>
      <c r="H156" s="157"/>
      <c r="I156" s="157"/>
      <c r="J156" s="157"/>
      <c r="K156" s="157"/>
      <c r="L156" s="157"/>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57"/>
      <c r="C157" s="157"/>
      <c r="D157" s="157"/>
      <c r="E157" s="157"/>
      <c r="F157" s="157"/>
      <c r="G157" s="157"/>
      <c r="H157" s="157"/>
      <c r="I157" s="157"/>
      <c r="J157" s="157"/>
      <c r="K157" s="157"/>
      <c r="L157" s="157"/>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57"/>
      <c r="F158" s="157"/>
      <c r="G158" s="157"/>
      <c r="H158" s="157"/>
      <c r="I158" s="157"/>
      <c r="J158" s="157"/>
      <c r="K158" s="157"/>
      <c r="L158" s="157"/>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57"/>
      <c r="F159" s="157"/>
      <c r="G159" s="157"/>
      <c r="H159" s="157"/>
      <c r="I159" s="157"/>
      <c r="J159" s="157"/>
      <c r="K159" s="157"/>
      <c r="L159" s="157"/>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57"/>
      <c r="F160" s="157"/>
      <c r="G160" s="157"/>
      <c r="H160" s="157"/>
      <c r="I160" s="157"/>
      <c r="J160" s="157"/>
      <c r="K160" s="157"/>
      <c r="L160" s="157"/>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57"/>
      <c r="F161" s="157"/>
      <c r="G161" s="157"/>
      <c r="H161" s="157"/>
      <c r="I161" s="157"/>
      <c r="J161" s="157"/>
      <c r="K161" s="157"/>
      <c r="L161" s="157"/>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57"/>
      <c r="C162" s="157"/>
      <c r="D162" s="157"/>
      <c r="E162" s="157"/>
      <c r="F162" s="157"/>
      <c r="G162" s="157"/>
      <c r="H162" s="157"/>
      <c r="I162" s="157"/>
      <c r="J162" s="157"/>
      <c r="K162" s="157"/>
      <c r="L162" s="157"/>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57"/>
      <c r="C163" s="157"/>
      <c r="D163" s="157"/>
      <c r="E163" s="157"/>
      <c r="F163" s="157"/>
      <c r="G163" s="157"/>
      <c r="H163" s="157"/>
      <c r="I163" s="157"/>
      <c r="J163" s="157"/>
      <c r="K163" s="157"/>
      <c r="L163" s="157"/>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57"/>
      <c r="C164" s="157"/>
      <c r="D164" s="157"/>
      <c r="E164" s="157"/>
      <c r="F164" s="157"/>
      <c r="G164" s="157"/>
      <c r="H164" s="157"/>
      <c r="I164" s="157"/>
      <c r="J164" s="157"/>
      <c r="K164" s="157"/>
      <c r="L164" s="157"/>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57"/>
      <c r="C165" s="157"/>
      <c r="D165" s="157"/>
      <c r="E165" s="157"/>
      <c r="F165" s="157"/>
      <c r="G165" s="157"/>
      <c r="H165" s="157"/>
      <c r="I165" s="157"/>
      <c r="J165" s="157"/>
      <c r="K165" s="157"/>
      <c r="L165" s="157"/>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57"/>
      <c r="F166" s="157"/>
      <c r="G166" s="157"/>
      <c r="H166" s="157"/>
      <c r="I166" s="157"/>
      <c r="J166" s="157"/>
      <c r="K166" s="157"/>
      <c r="L166" s="157"/>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57"/>
      <c r="F167" s="157"/>
      <c r="G167" s="157"/>
      <c r="H167" s="157"/>
      <c r="I167" s="157"/>
      <c r="J167" s="157"/>
      <c r="K167" s="157"/>
      <c r="L167" s="157"/>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57"/>
      <c r="F168" s="157"/>
      <c r="G168" s="157"/>
      <c r="H168" s="157"/>
      <c r="I168" s="157"/>
      <c r="J168" s="157"/>
      <c r="K168" s="157"/>
      <c r="L168" s="157"/>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57"/>
      <c r="F169" s="157"/>
      <c r="G169" s="157"/>
      <c r="H169" s="157"/>
      <c r="I169" s="157"/>
      <c r="J169" s="157"/>
      <c r="K169" s="157"/>
      <c r="L169" s="157"/>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57"/>
      <c r="C170" s="157"/>
      <c r="D170" s="13"/>
      <c r="E170" s="157"/>
      <c r="F170" s="157"/>
      <c r="G170" s="157"/>
      <c r="H170" s="157"/>
      <c r="I170" s="157"/>
      <c r="J170" s="157"/>
      <c r="K170" s="157"/>
      <c r="L170" s="157"/>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57"/>
      <c r="F171" s="157"/>
      <c r="G171" s="157"/>
      <c r="H171" s="157"/>
      <c r="I171" s="157"/>
      <c r="J171" s="157"/>
      <c r="K171" s="157"/>
      <c r="L171" s="157"/>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57"/>
      <c r="F172" s="157"/>
      <c r="G172" s="157"/>
      <c r="H172" s="157"/>
      <c r="I172" s="157"/>
      <c r="J172" s="157"/>
      <c r="K172" s="157"/>
      <c r="L172" s="157"/>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57"/>
      <c r="F173" s="157"/>
      <c r="G173" s="157"/>
      <c r="H173" s="157"/>
      <c r="I173" s="157"/>
      <c r="J173" s="157"/>
      <c r="K173" s="157"/>
      <c r="L173" s="157"/>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57"/>
      <c r="C174" s="157"/>
      <c r="D174" s="13"/>
      <c r="E174" s="157"/>
      <c r="F174" s="157"/>
      <c r="G174" s="157"/>
      <c r="H174" s="157"/>
      <c r="I174" s="157"/>
      <c r="J174" s="157"/>
      <c r="K174" s="157"/>
      <c r="L174" s="157"/>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57"/>
      <c r="F175" s="157"/>
      <c r="G175" s="157"/>
      <c r="H175" s="157"/>
      <c r="I175" s="157"/>
      <c r="J175" s="157"/>
      <c r="K175" s="157"/>
      <c r="L175" s="157"/>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57"/>
      <c r="F176" s="157"/>
      <c r="G176" s="157"/>
      <c r="H176" s="157"/>
      <c r="I176" s="157"/>
      <c r="J176" s="157"/>
      <c r="K176" s="157"/>
      <c r="L176" s="157"/>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57"/>
      <c r="C177" s="157"/>
      <c r="D177" s="157"/>
      <c r="E177" s="157"/>
      <c r="F177" s="157"/>
      <c r="G177" s="157"/>
      <c r="H177" s="157"/>
      <c r="I177" s="157"/>
      <c r="J177" s="157"/>
      <c r="K177" s="157"/>
      <c r="L177" s="157"/>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57"/>
      <c r="C178" s="157"/>
      <c r="D178" s="157"/>
      <c r="E178" s="157"/>
      <c r="F178" s="157"/>
      <c r="G178" s="157"/>
      <c r="H178" s="157"/>
      <c r="I178" s="157"/>
      <c r="J178" s="157"/>
      <c r="K178" s="157"/>
      <c r="L178" s="157"/>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57"/>
      <c r="C179" s="157"/>
      <c r="D179" s="157"/>
      <c r="E179" s="157"/>
      <c r="F179" s="157"/>
      <c r="G179" s="157"/>
      <c r="H179" s="157"/>
      <c r="I179" s="157"/>
      <c r="J179" s="157"/>
      <c r="K179" s="157"/>
      <c r="L179" s="157"/>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57"/>
      <c r="C180" s="157"/>
      <c r="D180" s="157"/>
      <c r="E180" s="157"/>
      <c r="F180" s="157"/>
      <c r="G180" s="157"/>
      <c r="H180" s="157"/>
      <c r="I180" s="157"/>
      <c r="J180" s="157"/>
      <c r="K180" s="157"/>
      <c r="L180" s="157"/>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57"/>
      <c r="F181" s="157"/>
      <c r="G181" s="157"/>
      <c r="H181" s="157"/>
      <c r="I181" s="157"/>
      <c r="J181" s="157"/>
      <c r="K181" s="157"/>
      <c r="L181" s="157"/>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57"/>
      <c r="C182" s="157"/>
      <c r="D182" s="157"/>
      <c r="E182" s="157"/>
      <c r="F182" s="157"/>
      <c r="G182" s="157"/>
      <c r="H182" s="157"/>
      <c r="I182" s="157"/>
      <c r="J182" s="157"/>
      <c r="K182" s="157"/>
      <c r="L182" s="157"/>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57"/>
      <c r="C183" s="157"/>
      <c r="D183" s="157"/>
      <c r="E183" s="157"/>
      <c r="F183" s="157"/>
      <c r="G183" s="157"/>
      <c r="H183" s="157"/>
      <c r="I183" s="157"/>
      <c r="J183" s="157"/>
      <c r="K183" s="157"/>
      <c r="L183" s="157"/>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57"/>
      <c r="F184" s="157"/>
      <c r="G184" s="157"/>
      <c r="H184" s="157"/>
      <c r="I184" s="157"/>
      <c r="J184" s="157"/>
      <c r="K184" s="157"/>
      <c r="L184" s="157"/>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57"/>
      <c r="C185" s="157"/>
      <c r="D185" s="157"/>
      <c r="E185" s="157"/>
      <c r="F185" s="157"/>
      <c r="G185" s="157"/>
      <c r="H185" s="157"/>
      <c r="I185" s="157"/>
      <c r="J185" s="157"/>
      <c r="K185" s="157"/>
      <c r="L185" s="157"/>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57"/>
      <c r="F186" s="157"/>
      <c r="G186" s="157"/>
      <c r="H186" s="157"/>
      <c r="I186" s="157"/>
      <c r="J186" s="157"/>
      <c r="K186" s="157"/>
      <c r="L186" s="157"/>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57"/>
      <c r="F187" s="157"/>
      <c r="G187" s="157"/>
      <c r="H187" s="157"/>
      <c r="I187" s="157"/>
      <c r="J187" s="157"/>
      <c r="K187" s="157"/>
      <c r="L187" s="157"/>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57"/>
      <c r="C188" s="157"/>
      <c r="D188" s="157"/>
      <c r="E188" s="157"/>
      <c r="F188" s="157"/>
      <c r="G188" s="157"/>
      <c r="H188" s="157"/>
      <c r="I188" s="157"/>
      <c r="J188" s="157"/>
      <c r="K188" s="157"/>
      <c r="L188" s="157"/>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57"/>
      <c r="F189" s="157"/>
      <c r="G189" s="157"/>
      <c r="H189" s="157"/>
      <c r="I189" s="157"/>
      <c r="J189" s="157"/>
      <c r="K189" s="157"/>
      <c r="L189" s="157"/>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57"/>
      <c r="F190" s="157"/>
      <c r="G190" s="157"/>
      <c r="H190" s="157"/>
      <c r="I190" s="157"/>
      <c r="J190" s="157"/>
      <c r="K190" s="157"/>
      <c r="L190" s="157"/>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57"/>
      <c r="C191" s="157"/>
      <c r="D191" s="157"/>
      <c r="E191" s="157"/>
      <c r="F191" s="157"/>
      <c r="G191" s="157"/>
      <c r="H191" s="157"/>
      <c r="I191" s="157"/>
      <c r="J191" s="157"/>
      <c r="K191" s="157"/>
      <c r="L191" s="157"/>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57"/>
      <c r="C192" s="157"/>
      <c r="D192" s="157"/>
      <c r="E192" s="157"/>
      <c r="F192" s="157"/>
      <c r="G192" s="157"/>
      <c r="H192" s="157"/>
      <c r="I192" s="157"/>
      <c r="J192" s="157"/>
      <c r="K192" s="157"/>
      <c r="L192" s="157"/>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57"/>
      <c r="C193" s="157"/>
      <c r="D193" s="157"/>
      <c r="E193" s="157"/>
      <c r="F193" s="157"/>
      <c r="G193" s="157"/>
      <c r="H193" s="157"/>
      <c r="I193" s="157"/>
      <c r="J193" s="157"/>
      <c r="K193" s="157"/>
      <c r="L193" s="157"/>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57"/>
      <c r="C194" s="157"/>
      <c r="D194" s="157"/>
      <c r="E194" s="157"/>
      <c r="F194" s="157"/>
      <c r="G194" s="157"/>
      <c r="H194" s="157"/>
      <c r="I194" s="157"/>
      <c r="J194" s="157"/>
      <c r="K194" s="157"/>
      <c r="L194" s="157"/>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57"/>
      <c r="C195" s="157"/>
      <c r="D195" s="157"/>
      <c r="E195" s="157"/>
      <c r="F195" s="157"/>
      <c r="G195" s="157"/>
      <c r="H195" s="157"/>
      <c r="I195" s="157"/>
      <c r="J195" s="157"/>
      <c r="K195" s="157"/>
      <c r="L195" s="157"/>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57"/>
      <c r="C196" s="157"/>
      <c r="D196" s="157"/>
      <c r="E196" s="157"/>
      <c r="F196" s="157"/>
      <c r="G196" s="157"/>
      <c r="H196" s="157"/>
      <c r="I196" s="157"/>
      <c r="J196" s="157"/>
      <c r="K196" s="157"/>
      <c r="L196" s="157"/>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57"/>
      <c r="C197" s="157"/>
      <c r="D197" s="157"/>
      <c r="E197" s="157"/>
      <c r="F197" s="157"/>
      <c r="G197" s="157"/>
      <c r="H197" s="157"/>
      <c r="I197" s="157"/>
      <c r="J197" s="157"/>
      <c r="K197" s="157"/>
      <c r="L197" s="157"/>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57"/>
      <c r="C198" s="157"/>
      <c r="D198" s="157"/>
      <c r="E198" s="157"/>
      <c r="F198" s="157"/>
      <c r="G198" s="157"/>
      <c r="H198" s="157"/>
      <c r="I198" s="157"/>
      <c r="J198" s="157"/>
      <c r="K198" s="157"/>
      <c r="L198" s="157"/>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57"/>
      <c r="C199" s="157"/>
      <c r="D199" s="157"/>
      <c r="E199" s="157"/>
      <c r="F199" s="157"/>
      <c r="G199" s="157"/>
      <c r="H199" s="157"/>
      <c r="I199" s="157"/>
      <c r="J199" s="157"/>
      <c r="K199" s="157"/>
      <c r="L199" s="157"/>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57"/>
      <c r="C200" s="157"/>
      <c r="D200" s="157"/>
      <c r="E200" s="157"/>
      <c r="F200" s="157"/>
      <c r="G200" s="157"/>
      <c r="H200" s="157"/>
      <c r="I200" s="157"/>
      <c r="J200" s="157"/>
      <c r="K200" s="157"/>
      <c r="L200" s="157"/>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57"/>
      <c r="C201" s="157"/>
      <c r="D201" s="157"/>
      <c r="E201" s="157"/>
      <c r="F201" s="157"/>
      <c r="G201" s="157"/>
      <c r="H201" s="157"/>
      <c r="I201" s="157"/>
      <c r="J201" s="157"/>
      <c r="K201" s="157"/>
      <c r="L201" s="157"/>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57"/>
      <c r="C202" s="157"/>
      <c r="D202" s="157"/>
      <c r="E202" s="157"/>
      <c r="F202" s="157"/>
      <c r="G202" s="157"/>
      <c r="H202" s="157"/>
      <c r="I202" s="157"/>
      <c r="J202" s="157"/>
      <c r="K202" s="157"/>
      <c r="L202" s="157"/>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57"/>
      <c r="C203" s="157"/>
      <c r="D203" s="157"/>
      <c r="E203" s="157"/>
      <c r="F203" s="157"/>
      <c r="G203" s="157"/>
      <c r="H203" s="157"/>
      <c r="I203" s="157"/>
      <c r="J203" s="157"/>
      <c r="K203" s="157"/>
      <c r="L203" s="157"/>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57"/>
      <c r="C204" s="157"/>
      <c r="D204" s="157"/>
      <c r="E204" s="157"/>
      <c r="F204" s="157"/>
      <c r="G204" s="157"/>
      <c r="H204" s="157"/>
      <c r="I204" s="157"/>
      <c r="J204" s="157"/>
      <c r="K204" s="157"/>
      <c r="L204" s="157"/>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57"/>
      <c r="C205" s="157"/>
      <c r="D205" s="157"/>
      <c r="E205" s="157"/>
      <c r="F205" s="157"/>
      <c r="G205" s="157"/>
      <c r="H205" s="157"/>
      <c r="I205" s="157"/>
      <c r="J205" s="157"/>
      <c r="K205" s="157"/>
      <c r="L205" s="157"/>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57"/>
      <c r="C206" s="157"/>
      <c r="D206" s="157"/>
      <c r="E206" s="157"/>
      <c r="F206" s="157"/>
      <c r="G206" s="157"/>
      <c r="H206" s="157"/>
      <c r="I206" s="157"/>
      <c r="J206" s="157"/>
      <c r="K206" s="157"/>
      <c r="L206" s="157"/>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57"/>
      <c r="C207" s="157"/>
      <c r="D207" s="157"/>
      <c r="E207" s="157"/>
      <c r="F207" s="157"/>
      <c r="G207" s="157"/>
      <c r="H207" s="157"/>
      <c r="I207" s="157"/>
      <c r="J207" s="157"/>
      <c r="K207" s="157"/>
      <c r="L207" s="157"/>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57"/>
      <c r="C208" s="157"/>
      <c r="D208" s="157"/>
      <c r="E208" s="157"/>
      <c r="F208" s="157"/>
      <c r="G208" s="157"/>
      <c r="H208" s="157"/>
      <c r="I208" s="157"/>
      <c r="J208" s="157"/>
      <c r="K208" s="157"/>
      <c r="L208" s="157"/>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57"/>
      <c r="C209" s="157"/>
      <c r="D209" s="157"/>
      <c r="E209" s="157"/>
      <c r="F209" s="157"/>
      <c r="G209" s="157"/>
      <c r="H209" s="157"/>
      <c r="I209" s="157"/>
      <c r="J209" s="157"/>
      <c r="K209" s="157"/>
      <c r="L209" s="157"/>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57"/>
      <c r="C210" s="157"/>
      <c r="D210" s="157"/>
      <c r="E210" s="157"/>
      <c r="F210" s="157"/>
      <c r="G210" s="157"/>
      <c r="H210" s="157"/>
      <c r="I210" s="157"/>
      <c r="J210" s="157"/>
      <c r="K210" s="157"/>
      <c r="L210" s="157"/>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57"/>
      <c r="C211" s="157"/>
      <c r="D211" s="157"/>
      <c r="E211" s="157"/>
      <c r="F211" s="157"/>
      <c r="G211" s="157"/>
      <c r="H211" s="157"/>
      <c r="I211" s="157"/>
      <c r="J211" s="157"/>
      <c r="K211" s="157"/>
      <c r="L211" s="157"/>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57"/>
      <c r="C212" s="157"/>
      <c r="D212" s="157"/>
      <c r="E212" s="157"/>
      <c r="F212" s="157"/>
      <c r="G212" s="157"/>
      <c r="H212" s="157"/>
      <c r="I212" s="157"/>
      <c r="J212" s="157"/>
      <c r="K212" s="157"/>
      <c r="L212" s="157"/>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57"/>
      <c r="C213" s="157"/>
      <c r="D213" s="157"/>
      <c r="E213" s="157"/>
      <c r="F213" s="157"/>
      <c r="G213" s="157"/>
      <c r="H213" s="157"/>
      <c r="I213" s="157"/>
      <c r="J213" s="157"/>
      <c r="K213" s="157"/>
      <c r="L213" s="157"/>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57"/>
      <c r="C214" s="157"/>
      <c r="D214" s="157"/>
      <c r="E214" s="157"/>
      <c r="F214" s="157"/>
      <c r="G214" s="157"/>
      <c r="H214" s="157"/>
      <c r="I214" s="157"/>
      <c r="J214" s="157"/>
      <c r="K214" s="157"/>
      <c r="L214" s="157"/>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57"/>
      <c r="C215" s="157"/>
      <c r="D215" s="157"/>
      <c r="E215" s="157"/>
      <c r="F215" s="157"/>
      <c r="G215" s="157"/>
      <c r="H215" s="157"/>
      <c r="I215" s="157"/>
      <c r="J215" s="157"/>
      <c r="K215" s="157"/>
      <c r="L215" s="157"/>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57"/>
      <c r="C216" s="157"/>
      <c r="D216" s="157"/>
      <c r="E216" s="157"/>
      <c r="F216" s="157"/>
      <c r="G216" s="157"/>
      <c r="H216" s="157"/>
      <c r="I216" s="157"/>
      <c r="J216" s="157"/>
      <c r="K216" s="157"/>
      <c r="L216" s="157"/>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57"/>
      <c r="C217" s="157"/>
      <c r="D217" s="157"/>
      <c r="E217" s="157"/>
      <c r="F217" s="157"/>
      <c r="G217" s="157"/>
      <c r="H217" s="157"/>
      <c r="I217" s="157"/>
      <c r="J217" s="157"/>
      <c r="K217" s="157"/>
      <c r="L217" s="157"/>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57"/>
      <c r="C218" s="157"/>
      <c r="D218" s="157"/>
      <c r="E218" s="157"/>
      <c r="F218" s="157"/>
      <c r="G218" s="157"/>
      <c r="H218" s="157"/>
      <c r="I218" s="157"/>
      <c r="J218" s="157"/>
      <c r="K218" s="157"/>
      <c r="L218" s="157"/>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57"/>
      <c r="C219" s="157"/>
      <c r="D219" s="157"/>
      <c r="E219" s="157"/>
      <c r="F219" s="157"/>
      <c r="G219" s="157"/>
      <c r="H219" s="157"/>
      <c r="I219" s="157"/>
      <c r="J219" s="157"/>
      <c r="K219" s="157"/>
      <c r="L219" s="157"/>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57"/>
      <c r="C220" s="157"/>
      <c r="D220" s="157"/>
      <c r="E220" s="157"/>
      <c r="F220" s="157"/>
      <c r="G220" s="157"/>
      <c r="H220" s="157"/>
      <c r="I220" s="157"/>
      <c r="J220" s="157"/>
      <c r="K220" s="157"/>
      <c r="L220" s="157"/>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57"/>
      <c r="C221" s="157"/>
      <c r="D221" s="157"/>
      <c r="E221" s="157"/>
      <c r="F221" s="157"/>
      <c r="G221" s="157"/>
      <c r="H221" s="157"/>
      <c r="I221" s="157"/>
      <c r="J221" s="157"/>
      <c r="K221" s="157"/>
      <c r="L221" s="157"/>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57"/>
      <c r="C222" s="157"/>
      <c r="D222" s="157"/>
      <c r="E222" s="157"/>
      <c r="F222" s="157"/>
      <c r="G222" s="157"/>
      <c r="H222" s="157"/>
      <c r="I222" s="157"/>
      <c r="J222" s="157"/>
      <c r="K222" s="157"/>
      <c r="L222" s="157"/>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57"/>
      <c r="C223" s="157"/>
      <c r="D223" s="157"/>
      <c r="E223" s="157"/>
      <c r="F223" s="157"/>
      <c r="G223" s="157"/>
      <c r="H223" s="157"/>
      <c r="I223" s="157"/>
      <c r="J223" s="157"/>
      <c r="K223" s="157"/>
      <c r="L223" s="157"/>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57"/>
      <c r="C224" s="157"/>
      <c r="D224" s="157"/>
      <c r="E224" s="157"/>
      <c r="F224" s="157"/>
      <c r="G224" s="157"/>
      <c r="H224" s="157"/>
      <c r="I224" s="157"/>
      <c r="J224" s="157"/>
      <c r="K224" s="157"/>
      <c r="L224" s="157"/>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57"/>
      <c r="C225" s="157"/>
      <c r="D225" s="157"/>
      <c r="E225" s="157"/>
      <c r="F225" s="157"/>
      <c r="G225" s="157"/>
      <c r="H225" s="157"/>
      <c r="I225" s="157"/>
      <c r="J225" s="157"/>
      <c r="K225" s="157"/>
      <c r="L225" s="157"/>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57"/>
      <c r="C226" s="157"/>
      <c r="D226" s="157"/>
      <c r="E226" s="157"/>
      <c r="F226" s="157"/>
      <c r="G226" s="157"/>
      <c r="H226" s="157"/>
      <c r="I226" s="157"/>
      <c r="J226" s="157"/>
      <c r="K226" s="157"/>
      <c r="L226" s="157"/>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57"/>
      <c r="C227" s="157"/>
      <c r="D227" s="157"/>
      <c r="E227" s="157"/>
      <c r="F227" s="157"/>
      <c r="G227" s="157"/>
      <c r="H227" s="157"/>
      <c r="I227" s="157"/>
      <c r="J227" s="157"/>
      <c r="K227" s="157"/>
      <c r="L227" s="157"/>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57"/>
      <c r="C228" s="157"/>
      <c r="D228" s="157"/>
      <c r="E228" s="157"/>
      <c r="F228" s="157"/>
      <c r="G228" s="157"/>
      <c r="H228" s="157"/>
      <c r="I228" s="157"/>
      <c r="J228" s="157"/>
      <c r="K228" s="157"/>
      <c r="L228" s="157"/>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57"/>
      <c r="C229" s="157"/>
      <c r="D229" s="157"/>
      <c r="E229" s="157"/>
      <c r="F229" s="157"/>
      <c r="G229" s="157"/>
      <c r="H229" s="157"/>
      <c r="I229" s="157"/>
      <c r="J229" s="157"/>
      <c r="K229" s="157"/>
      <c r="L229" s="157"/>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57"/>
      <c r="C230" s="157"/>
      <c r="D230" s="157"/>
      <c r="E230" s="157"/>
      <c r="F230" s="157"/>
      <c r="G230" s="157"/>
      <c r="H230" s="157"/>
      <c r="I230" s="157"/>
      <c r="J230" s="157"/>
      <c r="K230" s="157"/>
      <c r="L230" s="157"/>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57"/>
      <c r="C231" s="157"/>
      <c r="D231" s="157"/>
      <c r="E231" s="157"/>
      <c r="F231" s="157"/>
      <c r="G231" s="157"/>
      <c r="H231" s="157"/>
      <c r="I231" s="157"/>
      <c r="J231" s="157"/>
      <c r="K231" s="157"/>
      <c r="L231" s="157"/>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57"/>
      <c r="C232" s="157"/>
      <c r="D232" s="157"/>
      <c r="E232" s="157"/>
      <c r="F232" s="157"/>
      <c r="G232" s="157"/>
      <c r="H232" s="157"/>
      <c r="I232" s="157"/>
      <c r="J232" s="157"/>
      <c r="K232" s="157"/>
      <c r="L232" s="157"/>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57"/>
      <c r="C233" s="157"/>
      <c r="D233" s="157"/>
      <c r="E233" s="157"/>
      <c r="F233" s="157"/>
      <c r="G233" s="157"/>
      <c r="H233" s="157"/>
      <c r="I233" s="157"/>
      <c r="J233" s="157"/>
      <c r="K233" s="157"/>
      <c r="L233" s="157"/>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57"/>
      <c r="C234" s="157"/>
      <c r="D234" s="157"/>
      <c r="E234" s="157"/>
      <c r="F234" s="157"/>
      <c r="G234" s="157"/>
      <c r="H234" s="157"/>
      <c r="I234" s="157"/>
      <c r="J234" s="157"/>
      <c r="K234" s="157"/>
      <c r="L234" s="157"/>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57"/>
      <c r="C235" s="157"/>
      <c r="D235" s="157"/>
      <c r="E235" s="157"/>
      <c r="F235" s="157"/>
      <c r="G235" s="157"/>
      <c r="H235" s="157"/>
      <c r="I235" s="157"/>
      <c r="J235" s="157"/>
      <c r="K235" s="157"/>
      <c r="L235" s="157"/>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57"/>
      <c r="C236" s="157"/>
      <c r="D236" s="157"/>
      <c r="E236" s="157"/>
      <c r="F236" s="157"/>
      <c r="G236" s="157"/>
      <c r="H236" s="157"/>
      <c r="I236" s="157"/>
      <c r="J236" s="157"/>
      <c r="K236" s="157"/>
      <c r="L236" s="157"/>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57"/>
      <c r="C237" s="157"/>
      <c r="D237" s="157"/>
      <c r="E237" s="157"/>
      <c r="F237" s="157"/>
      <c r="G237" s="157"/>
      <c r="H237" s="157"/>
      <c r="I237" s="157"/>
      <c r="J237" s="157"/>
      <c r="K237" s="157"/>
      <c r="L237" s="157"/>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57"/>
      <c r="C238" s="157"/>
      <c r="D238" s="157"/>
      <c r="E238" s="157"/>
      <c r="F238" s="157"/>
      <c r="G238" s="157"/>
      <c r="H238" s="157"/>
      <c r="I238" s="157"/>
      <c r="J238" s="157"/>
      <c r="K238" s="157"/>
      <c r="L238" s="157"/>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57"/>
      <c r="C239" s="157"/>
      <c r="D239" s="157"/>
      <c r="E239" s="157"/>
      <c r="F239" s="157"/>
      <c r="G239" s="157"/>
      <c r="H239" s="157"/>
      <c r="I239" s="157"/>
      <c r="J239" s="157"/>
      <c r="K239" s="157"/>
      <c r="L239" s="157"/>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57"/>
      <c r="C240" s="157"/>
      <c r="D240" s="157"/>
      <c r="E240" s="157"/>
      <c r="F240" s="157"/>
      <c r="G240" s="157"/>
      <c r="H240" s="157"/>
      <c r="I240" s="157"/>
      <c r="J240" s="157"/>
      <c r="K240" s="157"/>
      <c r="L240" s="157"/>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57"/>
      <c r="C241" s="157"/>
      <c r="D241" s="157"/>
      <c r="E241" s="157"/>
      <c r="F241" s="157"/>
      <c r="G241" s="157"/>
      <c r="H241" s="157"/>
      <c r="I241" s="157"/>
      <c r="J241" s="157"/>
      <c r="K241" s="157"/>
      <c r="L241" s="157"/>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57"/>
      <c r="C242" s="157"/>
      <c r="D242" s="157"/>
      <c r="E242" s="157"/>
      <c r="F242" s="157"/>
      <c r="G242" s="157"/>
      <c r="H242" s="157"/>
      <c r="I242" s="157"/>
      <c r="J242" s="157"/>
      <c r="K242" s="157"/>
      <c r="L242" s="157"/>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57"/>
      <c r="C243" s="157"/>
      <c r="D243" s="157"/>
      <c r="E243" s="157"/>
      <c r="F243" s="157"/>
      <c r="G243" s="157"/>
      <c r="H243" s="157"/>
      <c r="I243" s="157"/>
      <c r="J243" s="157"/>
      <c r="K243" s="157"/>
      <c r="L243" s="157"/>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57"/>
      <c r="C244" s="157"/>
      <c r="D244" s="157"/>
      <c r="E244" s="157"/>
      <c r="F244" s="157"/>
      <c r="G244" s="157"/>
      <c r="H244" s="157"/>
      <c r="I244" s="157"/>
      <c r="J244" s="157"/>
      <c r="K244" s="157"/>
      <c r="L244" s="157"/>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57"/>
      <c r="C245" s="157"/>
      <c r="D245" s="157"/>
      <c r="E245" s="157"/>
      <c r="F245" s="157"/>
      <c r="G245" s="157"/>
      <c r="H245" s="157"/>
      <c r="I245" s="157"/>
      <c r="J245" s="157"/>
      <c r="K245" s="157"/>
      <c r="L245" s="157"/>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57"/>
      <c r="C246" s="157"/>
      <c r="D246" s="157"/>
      <c r="E246" s="157"/>
      <c r="F246" s="157"/>
      <c r="G246" s="157"/>
      <c r="H246" s="157"/>
      <c r="I246" s="157"/>
      <c r="J246" s="157"/>
      <c r="K246" s="157"/>
      <c r="L246" s="157"/>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57"/>
      <c r="C247" s="157"/>
      <c r="D247" s="157"/>
      <c r="E247" s="157"/>
      <c r="F247" s="157"/>
      <c r="G247" s="157"/>
      <c r="H247" s="157"/>
      <c r="I247" s="157"/>
      <c r="J247" s="157"/>
      <c r="K247" s="157"/>
      <c r="L247" s="157"/>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57"/>
      <c r="C248" s="157"/>
      <c r="D248" s="157"/>
      <c r="E248" s="157"/>
      <c r="F248" s="157"/>
      <c r="G248" s="157"/>
      <c r="H248" s="157"/>
      <c r="I248" s="157"/>
      <c r="J248" s="157"/>
      <c r="K248" s="157"/>
      <c r="L248" s="157"/>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57"/>
      <c r="C249" s="157"/>
      <c r="D249" s="157"/>
      <c r="E249" s="157"/>
      <c r="F249" s="157"/>
      <c r="G249" s="157"/>
      <c r="H249" s="157"/>
      <c r="I249" s="157"/>
      <c r="J249" s="157"/>
      <c r="K249" s="157"/>
      <c r="L249" s="157"/>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57"/>
      <c r="C250" s="157"/>
      <c r="D250" s="157"/>
      <c r="E250" s="157"/>
      <c r="F250" s="157"/>
      <c r="G250" s="157"/>
      <c r="H250" s="157"/>
      <c r="I250" s="157"/>
      <c r="J250" s="157"/>
      <c r="K250" s="157"/>
      <c r="L250" s="157"/>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57"/>
      <c r="C251" s="157"/>
      <c r="D251" s="157"/>
      <c r="E251" s="157"/>
      <c r="F251" s="157"/>
      <c r="G251" s="157"/>
      <c r="H251" s="157"/>
      <c r="I251" s="157"/>
      <c r="J251" s="157"/>
      <c r="K251" s="157"/>
      <c r="L251" s="157"/>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57"/>
      <c r="C252" s="157"/>
      <c r="D252" s="157"/>
      <c r="E252" s="157"/>
      <c r="F252" s="157"/>
      <c r="G252" s="157"/>
      <c r="H252" s="157"/>
      <c r="I252" s="157"/>
      <c r="J252" s="157"/>
      <c r="K252" s="157"/>
      <c r="L252" s="157"/>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57"/>
      <c r="C253" s="157"/>
      <c r="D253" s="157"/>
      <c r="E253" s="157"/>
      <c r="F253" s="157"/>
      <c r="G253" s="157"/>
      <c r="H253" s="157"/>
      <c r="I253" s="157"/>
      <c r="J253" s="157"/>
      <c r="K253" s="157"/>
      <c r="L253" s="157"/>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57"/>
      <c r="C254" s="157"/>
      <c r="D254" s="157"/>
      <c r="E254" s="157"/>
      <c r="F254" s="157"/>
      <c r="G254" s="157"/>
      <c r="H254" s="157"/>
      <c r="I254" s="157"/>
      <c r="J254" s="157"/>
      <c r="K254" s="157"/>
      <c r="L254" s="157"/>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57"/>
      <c r="C255" s="157"/>
      <c r="D255" s="157"/>
      <c r="E255" s="157"/>
      <c r="F255" s="157"/>
      <c r="G255" s="157"/>
      <c r="H255" s="157"/>
      <c r="I255" s="157"/>
      <c r="J255" s="157"/>
      <c r="K255" s="157"/>
      <c r="L255" s="157"/>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57"/>
      <c r="C256" s="157"/>
      <c r="D256" s="157"/>
      <c r="E256" s="157"/>
      <c r="F256" s="157"/>
      <c r="G256" s="157"/>
      <c r="H256" s="157"/>
      <c r="I256" s="157"/>
      <c r="J256" s="157"/>
      <c r="K256" s="157"/>
      <c r="L256" s="157"/>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57"/>
      <c r="C257" s="157"/>
      <c r="D257" s="157"/>
      <c r="E257" s="157"/>
      <c r="F257" s="157"/>
      <c r="G257" s="157"/>
      <c r="H257" s="157"/>
      <c r="I257" s="157"/>
      <c r="J257" s="157"/>
      <c r="K257" s="157"/>
      <c r="L257" s="157"/>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57"/>
      <c r="C258" s="157"/>
      <c r="D258" s="157"/>
      <c r="E258" s="157"/>
      <c r="F258" s="157"/>
      <c r="G258" s="157"/>
      <c r="H258" s="157"/>
      <c r="I258" s="157"/>
      <c r="J258" s="157"/>
      <c r="K258" s="157"/>
      <c r="L258" s="157"/>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57"/>
      <c r="C259" s="157"/>
      <c r="D259" s="157"/>
      <c r="E259" s="157"/>
      <c r="F259" s="157"/>
      <c r="G259" s="157"/>
      <c r="H259" s="157"/>
      <c r="I259" s="157"/>
      <c r="J259" s="157"/>
      <c r="K259" s="157"/>
      <c r="L259" s="157"/>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57"/>
      <c r="C260" s="157"/>
      <c r="D260" s="157"/>
      <c r="E260" s="157"/>
      <c r="F260" s="157"/>
      <c r="G260" s="157"/>
      <c r="H260" s="157"/>
      <c r="I260" s="157"/>
      <c r="J260" s="157"/>
      <c r="K260" s="157"/>
      <c r="L260" s="157"/>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57"/>
      <c r="C261" s="157"/>
      <c r="D261" s="157"/>
      <c r="E261" s="157"/>
      <c r="F261" s="157"/>
      <c r="G261" s="157"/>
      <c r="H261" s="157"/>
      <c r="I261" s="157"/>
      <c r="J261" s="157"/>
      <c r="K261" s="157"/>
      <c r="L261" s="157"/>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57"/>
      <c r="C262" s="157"/>
      <c r="D262" s="157"/>
      <c r="E262" s="157"/>
      <c r="F262" s="157"/>
      <c r="G262" s="157"/>
      <c r="H262" s="157"/>
      <c r="I262" s="157"/>
      <c r="J262" s="157"/>
      <c r="K262" s="157"/>
      <c r="L262" s="157"/>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57"/>
      <c r="C263" s="157"/>
      <c r="D263" s="157"/>
      <c r="E263" s="157"/>
      <c r="F263" s="157"/>
      <c r="G263" s="157"/>
      <c r="H263" s="157"/>
      <c r="I263" s="157"/>
      <c r="J263" s="157"/>
      <c r="K263" s="157"/>
      <c r="L263" s="157"/>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57"/>
      <c r="C264" s="157"/>
      <c r="D264" s="157"/>
      <c r="E264" s="157"/>
      <c r="F264" s="157"/>
      <c r="G264" s="157"/>
      <c r="H264" s="157"/>
      <c r="I264" s="157"/>
      <c r="J264" s="157"/>
      <c r="K264" s="157"/>
      <c r="L264" s="157"/>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57"/>
      <c r="C265" s="157"/>
      <c r="D265" s="157"/>
      <c r="E265" s="157"/>
      <c r="F265" s="157"/>
      <c r="G265" s="157"/>
      <c r="H265" s="157"/>
      <c r="I265" s="157"/>
      <c r="J265" s="157"/>
      <c r="K265" s="157"/>
      <c r="L265" s="157"/>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57"/>
      <c r="C266" s="157"/>
      <c r="D266" s="157"/>
      <c r="E266" s="157"/>
      <c r="F266" s="157"/>
      <c r="G266" s="157"/>
      <c r="H266" s="157"/>
      <c r="I266" s="157"/>
      <c r="J266" s="157"/>
      <c r="K266" s="157"/>
      <c r="L266" s="157"/>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57"/>
      <c r="C267" s="157"/>
      <c r="D267" s="157"/>
      <c r="E267" s="157"/>
      <c r="F267" s="157"/>
      <c r="G267" s="157"/>
      <c r="H267" s="157"/>
      <c r="I267" s="157"/>
      <c r="J267" s="157"/>
      <c r="K267" s="157"/>
      <c r="L267" s="157"/>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57"/>
      <c r="C268" s="157"/>
      <c r="D268" s="157"/>
      <c r="E268" s="157"/>
      <c r="F268" s="157"/>
      <c r="G268" s="157"/>
      <c r="H268" s="157"/>
      <c r="I268" s="157"/>
      <c r="J268" s="157"/>
      <c r="K268" s="157"/>
      <c r="L268" s="157"/>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57"/>
      <c r="C269" s="157"/>
      <c r="D269" s="157"/>
      <c r="E269" s="157"/>
      <c r="F269" s="157"/>
      <c r="G269" s="157"/>
      <c r="H269" s="157"/>
      <c r="I269" s="157"/>
      <c r="J269" s="157"/>
      <c r="K269" s="157"/>
      <c r="L269" s="157"/>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57"/>
      <c r="C270" s="157"/>
      <c r="D270" s="157"/>
      <c r="E270" s="157"/>
      <c r="F270" s="157"/>
      <c r="G270" s="157"/>
      <c r="H270" s="157"/>
      <c r="I270" s="157"/>
      <c r="J270" s="157"/>
      <c r="K270" s="157"/>
      <c r="L270" s="157"/>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57"/>
      <c r="C271" s="157"/>
      <c r="D271" s="157"/>
      <c r="E271" s="157"/>
      <c r="F271" s="157"/>
      <c r="G271" s="157"/>
      <c r="H271" s="157"/>
      <c r="I271" s="157"/>
      <c r="J271" s="157"/>
      <c r="K271" s="157"/>
      <c r="L271" s="157"/>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57"/>
      <c r="C272" s="157"/>
      <c r="D272" s="157"/>
      <c r="E272" s="157"/>
      <c r="F272" s="157"/>
      <c r="G272" s="157"/>
      <c r="H272" s="157"/>
      <c r="I272" s="157"/>
      <c r="J272" s="157"/>
      <c r="K272" s="157"/>
      <c r="L272" s="157"/>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57"/>
      <c r="C273" s="157"/>
      <c r="D273" s="157"/>
      <c r="E273" s="157"/>
      <c r="F273" s="157"/>
      <c r="G273" s="157"/>
      <c r="H273" s="157"/>
      <c r="I273" s="157"/>
      <c r="J273" s="157"/>
      <c r="K273" s="157"/>
      <c r="L273" s="157"/>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57"/>
      <c r="C274" s="157"/>
      <c r="D274" s="157"/>
      <c r="E274" s="157"/>
      <c r="F274" s="157"/>
      <c r="G274" s="157"/>
      <c r="H274" s="157"/>
      <c r="I274" s="157"/>
      <c r="J274" s="157"/>
      <c r="K274" s="157"/>
      <c r="L274" s="157"/>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57"/>
      <c r="C275" s="157"/>
      <c r="D275" s="157"/>
      <c r="E275" s="157"/>
      <c r="F275" s="157"/>
      <c r="G275" s="157"/>
      <c r="H275" s="157"/>
      <c r="I275" s="157"/>
      <c r="J275" s="157"/>
      <c r="K275" s="157"/>
      <c r="L275" s="157"/>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57"/>
      <c r="C276" s="157"/>
      <c r="D276" s="157"/>
      <c r="E276" s="157"/>
      <c r="F276" s="157"/>
      <c r="G276" s="157"/>
      <c r="H276" s="157"/>
      <c r="I276" s="157"/>
      <c r="J276" s="157"/>
      <c r="K276" s="157"/>
      <c r="L276" s="157"/>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57"/>
      <c r="C277" s="157"/>
      <c r="D277" s="157"/>
      <c r="E277" s="157"/>
      <c r="F277" s="157"/>
      <c r="G277" s="157"/>
      <c r="H277" s="157"/>
      <c r="I277" s="157"/>
      <c r="J277" s="157"/>
      <c r="K277" s="157"/>
      <c r="L277" s="157"/>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57"/>
      <c r="C278" s="157"/>
      <c r="D278" s="157"/>
      <c r="E278" s="157"/>
      <c r="F278" s="157"/>
      <c r="G278" s="157"/>
      <c r="H278" s="157"/>
      <c r="I278" s="157"/>
      <c r="J278" s="157"/>
      <c r="K278" s="157"/>
      <c r="L278" s="157"/>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57"/>
      <c r="C279" s="157"/>
      <c r="D279" s="157"/>
      <c r="E279" s="157"/>
      <c r="F279" s="157"/>
      <c r="G279" s="157"/>
      <c r="H279" s="157"/>
      <c r="I279" s="157"/>
      <c r="J279" s="157"/>
      <c r="K279" s="157"/>
      <c r="L279" s="157"/>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57"/>
      <c r="C280" s="157"/>
      <c r="D280" s="157"/>
      <c r="E280" s="157"/>
      <c r="F280" s="157"/>
      <c r="G280" s="157"/>
      <c r="H280" s="157"/>
      <c r="I280" s="157"/>
      <c r="J280" s="157"/>
      <c r="K280" s="157"/>
      <c r="L280" s="157"/>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57"/>
      <c r="C281" s="157"/>
      <c r="D281" s="157"/>
      <c r="E281" s="157"/>
      <c r="F281" s="157"/>
      <c r="G281" s="157"/>
      <c r="H281" s="157"/>
      <c r="I281" s="157"/>
      <c r="J281" s="157"/>
      <c r="K281" s="157"/>
      <c r="L281" s="157"/>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57"/>
      <c r="C282" s="157"/>
      <c r="D282" s="157"/>
      <c r="E282" s="157"/>
      <c r="F282" s="157"/>
      <c r="G282" s="157"/>
      <c r="H282" s="157"/>
      <c r="I282" s="157"/>
      <c r="J282" s="157"/>
      <c r="K282" s="157"/>
      <c r="L282" s="157"/>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57"/>
      <c r="C283" s="157"/>
      <c r="D283" s="157"/>
      <c r="E283" s="157"/>
      <c r="F283" s="157"/>
      <c r="G283" s="157"/>
      <c r="H283" s="157"/>
      <c r="I283" s="157"/>
      <c r="J283" s="157"/>
      <c r="K283" s="157"/>
      <c r="L283" s="157"/>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57"/>
      <c r="C284" s="157"/>
      <c r="D284" s="157"/>
      <c r="E284" s="157"/>
      <c r="F284" s="157"/>
      <c r="G284" s="157"/>
      <c r="H284" s="157"/>
      <c r="I284" s="157"/>
      <c r="J284" s="157"/>
      <c r="K284" s="157"/>
      <c r="L284" s="157"/>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57"/>
      <c r="C285" s="157"/>
      <c r="D285" s="157"/>
      <c r="E285" s="157"/>
      <c r="F285" s="157"/>
      <c r="G285" s="157"/>
      <c r="H285" s="157"/>
      <c r="I285" s="157"/>
      <c r="J285" s="157"/>
      <c r="K285" s="157"/>
      <c r="L285" s="157"/>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ustomHeight="1"/>
    <row r="287" spans="1:34" ht="15.75" customHeight="1"/>
    <row r="288" spans="1:3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Francesco Rizzi</dc:creator>
  <cp:lastModifiedBy>Utente</cp:lastModifiedBy>
  <dcterms:created xsi:type="dcterms:W3CDTF">2022-01-20T14:42:09Z</dcterms:created>
  <dcterms:modified xsi:type="dcterms:W3CDTF">2022-09-29T17:25:44Z</dcterms:modified>
</cp:coreProperties>
</file>