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C115" i="7"/>
  <c r="D115" i="7" s="1"/>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S22" i="2"/>
  <c r="BW2" i="2"/>
  <c r="BN60" i="2" s="1"/>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V40" i="2"/>
  <c r="CK40" i="2"/>
  <c r="CY40" i="2"/>
  <c r="AZ6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S15" i="2"/>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BH14" i="2"/>
  <c r="BH11" i="2"/>
  <c r="BH8" i="2"/>
  <c r="BH7" i="2"/>
  <c r="BH4" i="2"/>
  <c r="BH3" i="2"/>
  <c r="J2" i="2"/>
  <c r="AT2" i="2" s="1"/>
  <c r="AM5" i="2"/>
  <c r="AV5" i="2" s="1"/>
  <c r="AM12" i="2"/>
  <c r="AV12" i="2" s="1"/>
  <c r="AM4" i="2"/>
  <c r="AV4" i="2" s="1"/>
  <c r="AM15" i="2"/>
  <c r="AV15" i="2" s="1"/>
  <c r="BB60" i="2" l="1"/>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U16" i="2" s="1"/>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U15" i="2" l="1"/>
  <c r="AW15" i="2" s="1"/>
  <c r="AU17" i="2"/>
  <c r="AR12" i="2"/>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AW9" i="2"/>
  <c r="P9" i="2" s="1"/>
  <c r="P14" i="2"/>
  <c r="S93" i="6" s="1"/>
  <c r="AX14" i="2"/>
  <c r="Q47" i="6"/>
  <c r="Q47" i="5"/>
  <c r="AF47" i="6"/>
  <c r="AF47" i="5"/>
  <c r="BG17" i="2"/>
  <c r="AF23" i="6"/>
  <c r="AF23" i="5"/>
  <c r="AF95" i="6"/>
  <c r="AF95" i="5"/>
  <c r="AX15" i="2" l="1"/>
  <c r="P15" i="2" s="1"/>
  <c r="AH93" i="6" s="1"/>
  <c r="AX7" i="2"/>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P5" i="2" s="1"/>
  <c r="AX3" i="2"/>
  <c r="P13" i="2"/>
  <c r="D93" i="6" s="1"/>
  <c r="AW16" i="2"/>
  <c r="P16" i="2" s="1"/>
  <c r="AW93" i="5" s="1"/>
  <c r="D69" i="5"/>
  <c r="D69" i="6"/>
  <c r="AX2" i="2"/>
  <c r="P2" i="2" s="1"/>
  <c r="S21" i="6" s="1"/>
  <c r="B95" i="6"/>
  <c r="AU95" i="5"/>
  <c r="AU95" i="6"/>
  <c r="Q23" i="5"/>
  <c r="B119" i="5"/>
  <c r="AW69" i="5"/>
  <c r="AW45" i="5"/>
  <c r="S93" i="5"/>
  <c r="AW17" i="2"/>
  <c r="AX17" i="2"/>
  <c r="S45" i="5"/>
  <c r="S69" i="5"/>
  <c r="D45" i="6" l="1"/>
  <c r="D45" i="5"/>
  <c r="AH93" i="5"/>
  <c r="P3" i="2"/>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<sst xmlns="http://schemas.openxmlformats.org/spreadsheetml/2006/main" count="4122" uniqueCount="1458">
  <si>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</si>
  <si>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</si>
  <si>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</si>
  <si>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</si>
  <si>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</si>
  <si>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</si>
  <si>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</si>
  <si>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</si>
  <si>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</si>
  <si>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</si>
  <si>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</si>
  <si>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</si>
  <si>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</si>
  <si>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</si>
  <si>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</si>
  <si>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</si>
  <si>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</si>
  <si>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</si>
  <si>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</si>
  <si>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</si>
  <si>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</si>
  <si>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</si>
  <si>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</si>
  <si>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</si>
  <si>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</si>
  <si>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</si>
  <si>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</si>
  <si>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</si>
  <si>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</si>
  <si>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</si>
  <si>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</si>
  <si>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</si>
  <si>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</si>
  <si>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</si>
  <si>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</si>
  <si>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</si>
  <si>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</si>
  <si>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</si>
  <si>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</si>
  <si>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</si>
  <si>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</si>
  <si>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</si>
  <si>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</si>
  <si>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</si>
  <si>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</si>
  <si>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</si>
  <si>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</si>
  <si>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</si>
  <si>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</si>
  <si>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</si>
  <si>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</si>
  <si>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</si>
  <si>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</si>
  <si>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</si>
  <si>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</si>
  <si>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</si>
  <si>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</si>
  <si>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</si>
  <si>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</si>
  <si>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</si>
  <si>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</si>
  <si>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</si>
  <si>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</si>
  <si>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</si>
  <si>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</si>
  <si>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</si>
  <si>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</si>
  <si>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</si>
  <si>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</si>
  <si>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</si>
  <si>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</si>
  <si>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</si>
  <si>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</si>
  <si>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</si>
  <si>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</si>
  <si>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</si>
  <si>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</si>
  <si>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</si>
  <si>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</si>
  <si>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</si>
  <si>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</si>
  <si>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</si>
  <si>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</si>
  <si>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</si>
  <si>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</si>
  <si>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</si>
  <si>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</si>
  <si>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</si>
  <si>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</si>
  <si>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</si>
  <si>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</si>
  <si>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</si>
  <si>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</si>
  <si>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</si>
  <si>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</si>
  <si>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</si>
  <si>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</si>
  <si>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</si>
  <si>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</si>
  <si>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</si>
  <si>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</si>
  <si>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</si>
  <si>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</si>
  <si>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</si>
  <si>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</si>
  <si>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</si>
  <si>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</si>
  <si>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</si>
  <si>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</si>
  <si>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</si>
  <si>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</si>
  <si>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</si>
  <si>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</si>
  <si>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</si>
  <si>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</si>
  <si>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</si>
  <si>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</si>
  <si>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</si>
  <si>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</si>
  <si>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</si>
  <si>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</si>
  <si>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</si>
  <si>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</si>
  <si>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</si>
  <si>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</si>
  <si>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</si>
  <si>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</si>
  <si>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</si>
  <si>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</si>
  <si>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</si>
  <si>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</si>
  <si>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</si>
  <si>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</si>
  <si>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</si>
  <si>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</si>
  <si>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</si>
  <si>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</si>
  <si>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</si>
  <si>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</si>
  <si>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</si>
  <si>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</si>
  <si>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</si>
  <si>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</si>
  <si>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</si>
  <si>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</si>
  <si>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</si>
  <si>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</si>
  <si>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</si>
  <si>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</si>
  <si>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</si>
  <si>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</si>
  <si>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</si>
  <si>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</si>
  <si>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</si>
  <si>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</si>
  <si>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</si>
  <si>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</si>
  <si>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</si>
  <si>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</si>
  <si>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</si>
  <si>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</si>
  <si>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</si>
  <si>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</si>
  <si>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</si>
  <si>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</si>
  <si>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</si>
  <si>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</si>
  <si>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</si>
  <si>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</si>
  <si>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</si>
  <si>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</si>
  <si>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</si>
  <si>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</si>
  <si>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</si>
  <si>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</si>
  <si>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</si>
  <si>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</si>
  <si>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</si>
  <si>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</si>
  <si>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</si>
  <si>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</si>
  <si>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</si>
  <si>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</si>
  <si>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</si>
  <si>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</si>
  <si>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</si>
  <si>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</si>
  <si>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</si>
  <si>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</si>
  <si>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</si>
  <si>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</si>
  <si>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</si>
  <si>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</si>
  <si>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</si>
  <si>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</si>
  <si>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</si>
  <si>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</si>
  <si>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</si>
  <si>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</si>
  <si>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</si>
  <si>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</si>
  <si>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</si>
  <si>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</si>
  <si>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</si>
  <si>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</si>
  <si>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</si>
  <si>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</si>
  <si>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</si>
  <si>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</si>
  <si>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</si>
  <si>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</si>
  <si>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</si>
  <si>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</si>
  <si>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</si>
  <si>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</si>
  <si>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</si>
  <si>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</si>
  <si>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</si>
  <si>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</si>
  <si>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</si>
  <si>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</si>
  <si>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</si>
  <si>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</si>
  <si>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</si>
  <si>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</si>
  <si>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</si>
  <si>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</si>
  <si>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</si>
  <si>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</si>
  <si>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</si>
  <si>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</si>
  <si>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</si>
  <si>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</si>
  <si>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</si>
  <si>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</si>
  <si>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</si>
  <si>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</si>
  <si>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</si>
  <si>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</si>
  <si>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</si>
  <si>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</si>
  <si>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</si>
  <si>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</si>
  <si>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</si>
  <si>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</si>
  <si>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</si>
  <si>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</si>
  <si>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</si>
  <si>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</si>
  <si>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</si>
  <si>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</si>
  <si>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</si>
  <si>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</si>
  <si>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</si>
  <si>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</si>
  <si>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</si>
  <si>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</si>
  <si>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</si>
  <si>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</si>
  <si>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</si>
  <si>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</si>
  <si>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</si>
  <si>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</si>
  <si>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</si>
  <si>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</si>
  <si>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</si>
  <si>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</si>
  <si>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</si>
  <si>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</si>
  <si>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</si>
  <si>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</si>
  <si>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</si>
  <si>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</si>
  <si>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</si>
  <si>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</si>
  <si>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</si>
  <si>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</si>
  <si>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</si>
  <si>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</si>
  <si>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</si>
  <si>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</si>
  <si>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</si>
  <si>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</si>
  <si>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</si>
  <si>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</si>
  <si>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</si>
  <si>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</si>
  <si>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</si>
  <si>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</si>
  <si>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</si>
  <si>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</si>
  <si>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</si>
  <si>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</si>
  <si>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</si>
  <si>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</si>
  <si>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</si>
  <si>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</si>
  <si>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</si>
  <si>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</si>
  <si>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</si>
  <si>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</si>
  <si>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</si>
  <si>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</si>
  <si>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</si>
  <si>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</si>
  <si>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</si>
  <si>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</si>
  <si>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</si>
  <si>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</si>
  <si>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</si>
  <si>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</si>
  <si>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</si>
  <si>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</si>
  <si>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</si>
  <si>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</si>
  <si>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</si>
  <si>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</si>
  <si>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</si>
  <si>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</si>
  <si>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</si>
  <si>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</si>
  <si>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</si>
  <si>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</si>
  <si>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</si>
  <si>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</si>
  <si>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</si>
  <si>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</si>
  <si>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</si>
  <si>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</si>
  <si>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</si>
  <si>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</si>
  <si>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</si>
  <si>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</si>
  <si>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</si>
  <si>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</si>
  <si>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</si>
  <si>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</si>
  <si>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</si>
  <si>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</si>
  <si>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</si>
  <si>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</si>
  <si>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</si>
  <si>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</si>
  <si>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</si>
  <si>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</si>
  <si>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</si>
  <si>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</si>
  <si>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</si>
  <si>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</si>
  <si>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</si>
  <si>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</si>
  <si>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</si>
  <si>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</si>
  <si>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</si>
  <si>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</si>
  <si>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</si>
  <si>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</si>
  <si>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</si>
  <si>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</si>
  <si>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</si>
  <si>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</si>
  <si>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</si>
  <si>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</si>
  <si>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</si>
  <si>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</si>
  <si>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</si>
  <si>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</si>
  <si>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</si>
  <si>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</si>
  <si>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</si>
  <si>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</si>
  <si>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</si>
  <si>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</si>
  <si>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</si>
  <si>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</si>
  <si>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</si>
  <si>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</si>
  <si>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</si>
  <si>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</si>
  <si>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</si>
  <si>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</si>
  <si>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</si>
  <si>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</si>
  <si>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</si>
  <si>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</si>
  <si>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</si>
  <si>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</si>
  <si>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</si>
  <si>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</si>
  <si>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</si>
  <si>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</si>
  <si>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</si>
  <si>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</si>
  <si>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</si>
  <si>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</si>
  <si>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</si>
  <si>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</si>
  <si>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</si>
  <si>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</si>
  <si>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</si>
  <si>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</si>
  <si>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</si>
  <si>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</si>
  <si>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</si>
  <si>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</si>
  <si>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</si>
  <si>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</si>
  <si>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</si>
  <si>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</si>
  <si>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</si>
  <si>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</si>
  <si>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</si>
  <si>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</si>
  <si>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</si>
  <si>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</si>
  <si>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</si>
  <si>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</si>
  <si>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</si>
  <si>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</si>
  <si>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</si>
  <si>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</si>
  <si>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</si>
  <si>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</si>
  <si>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</si>
  <si>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</si>
  <si>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</si>
  <si>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</si>
  <si>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</si>
  <si>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</si>
  <si>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</si>
  <si>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</si>
  <si>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</si>
  <si>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</si>
  <si>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</si>
  <si>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</si>
  <si>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</si>
  <si>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</si>
  <si>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</si>
  <si>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</si>
  <si>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</si>
  <si>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</si>
  <si>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</si>
  <si>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</si>
  <si>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</si>
  <si>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</si>
  <si>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</si>
  <si>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</si>
  <si>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</si>
  <si>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</si>
  <si>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</si>
  <si>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</si>
  <si>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</si>
  <si>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</si>
  <si>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</si>
  <si>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</si>
  <si>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</si>
  <si>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</si>
  <si>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</si>
  <si>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</si>
  <si>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</si>
  <si>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</si>
  <si>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</si>
  <si>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</si>
  <si>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</si>
  <si>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</si>
  <si>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</si>
  <si>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</si>
  <si>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</si>
  <si>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</si>
  <si>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</si>
  <si>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</si>
  <si>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</si>
  <si>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</si>
  <si>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</si>
  <si>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</si>
  <si>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</si>
  <si>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</si>
  <si>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</si>
  <si>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</si>
  <si>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</si>
  <si>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</si>
  <si>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</si>
  <si>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</si>
  <si>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</si>
  <si>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</si>
  <si>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</si>
  <si>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</si>
  <si>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</si>
  <si>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</si>
  <si>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</si>
  <si>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</si>
  <si>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</si>
  <si>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</si>
  <si>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</si>
  <si>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</si>
  <si>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</si>
  <si>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</si>
  <si>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</si>
  <si>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</si>
  <si>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</si>
  <si>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</si>
  <si>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</si>
  <si>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</si>
  <si>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</si>
  <si>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</si>
  <si>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</si>
  <si>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</si>
  <si>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</si>
  <si>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</si>
  <si>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</si>
  <si>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</si>
  <si>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</si>
  <si>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</si>
  <si>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</si>
  <si>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</si>
  <si>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</si>
  <si>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</si>
  <si>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</si>
  <si>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</si>
  <si>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</si>
  <si>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</si>
  <si>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</si>
  <si>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</si>
  <si>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</si>
  <si>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</si>
  <si>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</si>
  <si>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</si>
  <si>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</si>
  <si>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</si>
  <si>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</si>
  <si>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</si>
  <si>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</si>
  <si>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</si>
  <si>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</si>
  <si>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</si>
  <si>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</si>
  <si>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</si>
  <si>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</si>
  <si>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</si>
  <si>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</si>
  <si>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</si>
  <si>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</si>
  <si>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</si>
  <si>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</si>
  <si>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</si>
  <si>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</si>
  <si>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</si>
  <si>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</si>
  <si>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</si>
  <si>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</si>
  <si>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</si>
  <si>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</si>
  <si>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</si>
  <si>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</si>
  <si>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</si>
  <si>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</si>
  <si>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</si>
  <si>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</si>
  <si>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</si>
  <si>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</si>
  <si>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</si>
  <si>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</si>
  <si>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</si>
  <si>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</si>
  <si>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</si>
  <si>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</si>
  <si>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</si>
  <si>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</si>
  <si>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</si>
  <si>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</si>
  <si>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</si>
  <si>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</si>
  <si>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</si>
  <si>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</si>
  <si>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</si>
  <si>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</si>
  <si>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</si>
  <si>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</si>
  <si>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</si>
  <si>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</si>
  <si>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</si>
  <si>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</si>
  <si>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</si>
  <si>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</si>
  <si>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</si>
  <si>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</si>
  <si>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</si>
  <si>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</si>
  <si>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</si>
  <si>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</si>
  <si>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</si>
  <si>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</si>
  <si>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</si>
  <si>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</si>
  <si>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</si>
  <si>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</si>
  <si>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</si>
  <si>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</si>
  <si>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</si>
  <si>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</si>
  <si>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</si>
  <si>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</si>
  <si>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</si>
  <si>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</si>
  <si>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</si>
  <si>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</si>
  <si>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</si>
  <si>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</si>
  <si>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</si>
  <si>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</si>
  <si>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</si>
  <si>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</si>
  <si>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</si>
  <si>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</si>
  <si>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</si>
  <si>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</si>
  <si>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</si>
  <si>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</si>
  <si>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</si>
  <si>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</si>
  <si>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</si>
  <si>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</si>
  <si>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</si>
  <si>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</si>
  <si>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</si>
  <si>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</si>
  <si>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</si>
  <si>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</si>
  <si>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</si>
  <si>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</si>
  <si>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</si>
  <si>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</si>
  <si>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</si>
  <si>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</si>
  <si>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</si>
  <si>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</si>
  <si>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</si>
  <si>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</si>
  <si>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</si>
  <si>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</si>
  <si>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</si>
  <si>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</si>
  <si>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</si>
  <si>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</si>
  <si>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</si>
  <si>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</si>
  <si>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</si>
  <si>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</si>
  <si>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</si>
  <si>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</si>
  <si>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</si>
  <si>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</si>
  <si>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</si>
  <si>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</si>
  <si>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</si>
  <si>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</si>
  <si>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</si>
  <si>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</si>
  <si>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</si>
  <si>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</si>
  <si>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</si>
  <si>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</si>
  <si>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</si>
  <si>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</si>
  <si>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</si>
  <si>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</si>
  <si>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</si>
  <si>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</si>
  <si>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</si>
  <si>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</si>
  <si>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</si>
  <si>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</si>
  <si>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</si>
  <si>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</si>
  <si>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</si>
  <si>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</si>
  <si>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</si>
  <si>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</si>
  <si>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</si>
  <si>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</si>
  <si>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</si>
  <si>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</si>
  <si>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</si>
  <si>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</si>
  <si>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</si>
  <si>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</si>
  <si>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</si>
  <si>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</si>
  <si>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</si>
  <si>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</si>
  <si>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</si>
  <si>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</si>
  <si>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</si>
  <si>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</si>
  <si>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</si>
  <si>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</si>
  <si>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</si>
  <si>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</si>
  <si>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</si>
  <si>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</si>
  <si>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</si>
  <si>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</si>
  <si>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</si>
  <si>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</si>
  <si>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</si>
  <si>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</si>
  <si>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</si>
  <si>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</si>
  <si>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</si>
  <si>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</si>
  <si>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</si>
  <si>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</si>
  <si>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</si>
  <si>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</si>
  <si>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</si>
  <si>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</si>
  <si>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</si>
  <si>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</si>
  <si>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</si>
  <si>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</si>
  <si>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</si>
  <si>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</si>
  <si>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</si>
  <si>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</si>
  <si>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</si>
  <si>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</si>
  <si>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</si>
  <si>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</si>
  <si>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</si>
  <si>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</si>
  <si>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</si>
  <si>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</si>
  <si>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</si>
  <si>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</si>
  <si>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</si>
  <si>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</si>
  <si>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</si>
  <si>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</si>
  <si>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</si>
  <si>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</si>
  <si>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</si>
  <si>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</si>
  <si>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</si>
  <si>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</si>
  <si>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</si>
  <si>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</si>
  <si>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</si>
  <si>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</si>
  <si>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</si>
  <si>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</si>
  <si>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</si>
  <si>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</si>
  <si>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</si>
  <si>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</si>
  <si>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</si>
  <si>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</si>
  <si>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</si>
  <si>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</si>
  <si>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</si>
  <si>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</si>
  <si>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</si>
  <si>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</si>
  <si>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</si>
  <si>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</si>
  <si>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</si>
  <si>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</si>
  <si>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</si>
  <si>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</si>
  <si>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</si>
  <si>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</si>
  <si>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</si>
  <si>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</si>
  <si>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</si>
  <si>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</si>
  <si>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</si>
  <si>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</si>
  <si>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</si>
  <si>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</si>
  <si>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</si>
  <si>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</si>
  <si>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</si>
  <si>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</si>
  <si>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</si>
  <si>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</si>
  <si>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</si>
  <si>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</si>
  <si>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</si>
  <si>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</si>
  <si>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</si>
  <si>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</si>
  <si>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</si>
  <si>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</si>
  <si>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</si>
  <si>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</si>
  <si>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</si>
  <si>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</si>
  <si>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</si>
  <si>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</si>
  <si>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</si>
  <si>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</si>
  <si>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</si>
  <si>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</si>
  <si>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</si>
  <si>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</si>
  <si>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</si>
  <si>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</si>
  <si>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</si>
  <si>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</si>
  <si>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</si>
  <si>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</si>
  <si>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</si>
  <si>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</si>
  <si>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</si>
  <si>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</si>
  <si>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</si>
  <si>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</si>
  <si>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</si>
  <si>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</si>
  <si>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</si>
  <si>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</si>
  <si>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</si>
  <si>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</si>
  <si>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</si>
  <si>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</si>
  <si>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</si>
  <si>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</si>
  <si>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</si>
  <si>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</si>
  <si>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</si>
  <si>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</si>
  <si>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</si>
  <si>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</si>
  <si>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</si>
  <si>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</si>
  <si>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</si>
  <si>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</si>
  <si>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</si>
  <si>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</si>
  <si>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</si>
  <si>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</si>
  <si>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</si>
  <si>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</si>
  <si>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</si>
  <si>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</si>
  <si>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</si>
  <si>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</si>
  <si>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</si>
  <si>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</si>
  <si>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</si>
  <si>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</si>
  <si>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</si>
  <si>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</si>
  <si>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</si>
  <si>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</si>
  <si>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</si>
  <si>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</si>
  <si>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</si>
  <si>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</si>
  <si>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</si>
  <si>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</si>
  <si>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</si>
  <si>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</si>
  <si>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</si>
  <si>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</si>
  <si>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</si>
  <si>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</si>
  <si>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</si>
  <si>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</si>
  <si>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</si>
  <si>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</si>
  <si>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</si>
  <si>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</si>
  <si>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</si>
  <si>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</si>
  <si>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</si>
  <si>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</si>
  <si>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</si>
  <si>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</si>
  <si>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</si>
  <si>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</si>
  <si>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</si>
  <si>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</si>
  <si>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</si>
  <si>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</si>
  <si>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</si>
  <si>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</si>
  <si>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</si>
  <si>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</si>
  <si>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</si>
  <si>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</si>
  <si>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</si>
  <si>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</si>
  <si>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</si>
  <si>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</si>
  <si>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</si>
  <si>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</si>
  <si>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</si>
  <si>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</si>
  <si>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</si>
  <si>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</si>
  <si>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</si>
  <si>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</si>
  <si>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</si>
  <si>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</si>
  <si>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</si>
  <si>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</si>
  <si>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</si>
  <si>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</si>
  <si>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</si>
  <si>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</si>
  <si>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</si>
  <si>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</si>
  <si>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</si>
  <si>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</si>
  <si>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</si>
  <si>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</si>
  <si>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</si>
  <si>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</si>
  <si>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</si>
  <si>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</si>
  <si>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</si>
  <si>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</si>
  <si>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</si>
  <si>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</si>
  <si>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</si>
  <si>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</si>
  <si>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</si>
  <si>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</si>
  <si>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</si>
  <si>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</si>
  <si>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</si>
  <si>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</si>
  <si>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</si>
  <si>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</si>
  <si>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</si>
  <si>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</si>
  <si>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</si>
  <si>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</si>
  <si>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</si>
  <si>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</si>
  <si>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</si>
  <si>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</si>
  <si>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</si>
  <si>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</si>
  <si>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</si>
  <si>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</si>
  <si>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</si>
  <si>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</si>
  <si>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</si>
  <si>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</si>
  <si>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</si>
  <si>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</si>
  <si>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</si>
  <si>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</si>
  <si>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</si>
  <si>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</si>
  <si>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</si>
  <si>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</si>
  <si>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</si>
  <si>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</si>
  <si>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</si>
  <si>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</si>
  <si>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</si>
  <si>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</si>
  <si>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</si>
  <si>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</si>
  <si>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</si>
  <si>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</si>
  <si>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</si>
  <si>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</si>
  <si>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</si>
  <si>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</si>
  <si>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</si>
  <si>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</si>
  <si>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</si>
  <si>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</si>
  <si>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</si>
  <si>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</si>
  <si>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</si>
  <si>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</si>
  <si>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</si>
  <si>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</si>
  <si>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</si>
  <si>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</si>
  <si>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</si>
  <si>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</si>
  <si>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</si>
  <si>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</si>
  <si>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</si>
  <si>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</si>
  <si>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</si>
  <si>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</si>
  <si>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</si>
  <si>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</si>
  <si>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</si>
  <si>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</si>
  <si>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</si>
  <si>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</si>
  <si>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</si>
  <si>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</si>
  <si>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</si>
  <si>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</si>
  <si>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</si>
  <si>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</si>
  <si>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</si>
  <si>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</si>
  <si>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</si>
  <si>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</si>
  <si>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</si>
  <si>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</si>
  <si>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</si>
  <si>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</si>
  <si>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</si>
  <si>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</si>
  <si>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</si>
  <si>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</si>
  <si>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</si>
  <si>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</si>
  <si>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</si>
  <si>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</si>
  <si>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</si>
  <si>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</si>
  <si>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</si>
  <si>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</si>
  <si>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</si>
  <si>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</si>
  <si>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</si>
  <si>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</si>
  <si>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</si>
  <si>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</si>
  <si>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</si>
  <si>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</si>
  <si>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</si>
  <si>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</si>
  <si>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</si>
  <si>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</si>
  <si>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</si>
  <si>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</si>
  <si>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</si>
  <si>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</si>
  <si>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</si>
  <si>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</si>
  <si>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</si>
  <si>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</si>
  <si>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</si>
  <si>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</si>
  <si>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</si>
  <si>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</si>
  <si>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</si>
  <si>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</si>
  <si>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</si>
  <si>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</si>
  <si>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</si>
  <si>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</si>
  <si>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</si>
  <si>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</si>
  <si>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</si>
  <si>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</si>
  <si>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</si>
  <si>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</si>
  <si>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</si>
  <si>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</si>
  <si>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</si>
  <si>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</si>
  <si>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</si>
  <si>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</si>
  <si>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</si>
  <si>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</si>
  <si>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</si>
  <si>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</si>
  <si>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</si>
  <si>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</si>
  <si>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</si>
  <si>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</si>
  <si>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</si>
  <si>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</si>
  <si>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</si>
  <si>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</si>
  <si>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</si>
  <si>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</si>
  <si>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</si>
  <si>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</si>
  <si>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</si>
  <si>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</si>
  <si>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</si>
  <si>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</si>
  <si>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</si>
  <si>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</si>
  <si>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</si>
  <si>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</si>
  <si>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</si>
  <si>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</si>
  <si>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</si>
  <si>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</si>
  <si>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</si>
  <si>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</si>
  <si>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</si>
  <si>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</si>
  <si>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</si>
  <si>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</si>
  <si>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</si>
  <si>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</si>
  <si>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</si>
  <si>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</si>
  <si>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</si>
  <si>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</si>
  <si>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</si>
  <si>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</si>
  <si>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</si>
  <si>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</si>
  <si>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</si>
  <si>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</si>
  <si>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</si>
  <si>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</si>
  <si>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</si>
  <si>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</si>
  <si>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</si>
  <si>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</si>
  <si>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</si>
  <si>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</si>
  <si>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</si>
  <si>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</si>
  <si>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</si>
  <si>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</si>
  <si>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</si>
  <si>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</si>
  <si>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</si>
  <si>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</si>
  <si>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</si>
  <si>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</si>
  <si>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</si>
  <si>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</si>
  <si>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</si>
  <si>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</si>
  <si>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</si>
  <si>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</si>
  <si>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</si>
  <si>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</si>
  <si>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</si>
  <si>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</si>
  <si>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</si>
  <si>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</si>
  <si>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</si>
  <si>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</si>
  <si>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</si>
  <si>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</si>
  <si>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</si>
  <si>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</si>
  <si>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</si>
  <si>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</si>
  <si>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</si>
  <si>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</si>
  <si>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</si>
  <si>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</si>
  <si>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</si>
  <si>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</si>
  <si>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</si>
  <si>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</si>
  <si>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</si>
  <si>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</si>
  <si>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</si>
  <si>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</si>
  <si>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</si>
  <si>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</si>
  <si>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</si>
  <si>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</si>
  <si>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</si>
  <si>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</si>
  <si>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</si>
  <si>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</si>
  <si>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</si>
  <si>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</si>
  <si>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</si>
  <si>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</si>
  <si>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</si>
  <si>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</si>
  <si>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</si>
  <si>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</si>
  <si>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</si>
  <si>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</si>
  <si>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</si>
  <si>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</si>
  <si>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</si>
  <si>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</si>
  <si>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</si>
  <si>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</si>
  <si>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</si>
  <si>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</si>
  <si>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</si>
  <si>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</si>
  <si>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</si>
  <si>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</si>
  <si>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</si>
  <si>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</si>
  <si>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</si>
  <si>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</si>
  <si>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</si>
  <si>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</si>
  <si>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</si>
  <si>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</si>
  <si>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</si>
  <si>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</si>
  <si>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</si>
  <si>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</si>
  <si>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</si>
  <si>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</si>
  <si>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</si>
  <si>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</si>
  <si>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</si>
  <si>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</si>
  <si>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</si>
  <si>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</si>
  <si>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</si>
  <si>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</si>
  <si>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</si>
  <si>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</si>
  <si>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</si>
  <si>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</si>
  <si>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</si>
  <si>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</si>
  <si>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</si>
  <si>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</si>
  <si>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</si>
  <si>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</si>
  <si>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</si>
  <si>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</si>
  <si>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</si>
  <si>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</si>
  <si>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</si>
  <si>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</si>
  <si>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</si>
  <si>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</si>
  <si>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</si>
  <si>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</si>
  <si>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</si>
  <si>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</si>
  <si>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</si>
  <si>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</si>
  <si>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</si>
  <si>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</si>
  <si>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</si>
  <si>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</si>
  <si>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</si>
  <si>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</si>
  <si>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</si>
  <si>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</si>
  <si>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</si>
  <si>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</si>
  <si>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</si>
  <si>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</si>
  <si>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</si>
  <si>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</si>
  <si>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</si>
  <si>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</si>
  <si>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</si>
  <si>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</si>
  <si>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</si>
  <si>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</si>
  <si>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</si>
  <si>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</si>
  <si>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</si>
  <si>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</si>
  <si>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</si>
  <si>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</si>
  <si>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</si>
  <si>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</si>
  <si>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</si>
  <si>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</si>
  <si>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</si>
  <si>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</si>
  <si>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</si>
  <si>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</si>
  <si>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</si>
  <si>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</si>
  <si>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</si>
  <si>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</si>
  <si>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</si>
  <si>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</si>
  <si>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</si>
  <si>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</si>
  <si>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</si>
  <si>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</si>
  <si>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</si>
  <si>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</si>
  <si>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</si>
  <si>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</si>
  <si>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</si>
  <si>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</si>
  <si>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</si>
  <si>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</si>
  <si>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</si>
  <si>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</si>
  <si>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</si>
  <si>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</si>
  <si>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</si>
  <si>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</si>
  <si>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</si>
  <si>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</si>
  <si>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</si>
  <si>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</si>
  <si>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</si>
  <si>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</si>
  <si>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</si>
  <si>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</si>
  <si>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</si>
  <si>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</si>
  <si>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</si>
  <si>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</si>
  <si>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</si>
  <si>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</si>
  <si>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</si>
  <si>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</si>
  <si>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</si>
  <si>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</si>
  <si>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</si>
  <si>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</si>
  <si>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</si>
  <si>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</si>
  <si>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</si>
  <si>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</si>
  <si>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</si>
  <si>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</si>
  <si>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</si>
  <si>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</si>
  <si>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</si>
  <si>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</si>
  <si>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</si>
  <si>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</si>
  <si>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</si>
  <si>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</si>
  <si>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</si>
  <si>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</si>
  <si>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</si>
  <si>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</si>
  <si>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</si>
  <si>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</si>
  <si>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</si>
  <si>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</si>
  <si>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</si>
  <si>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</si>
  <si>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</si>
  <si>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</si>
  <si>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</si>
  <si>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</si>
  <si>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</si>
  <si>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</si>
  <si>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</si>
  <si>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</si>
  <si>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</si>
  <si>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</si>
  <si>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</si>
  <si>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</si>
  <si>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</si>
  <si>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</si>
  <si>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</si>
  <si>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</si>
  <si>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</si>
  <si>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</si>
  <si>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</si>
  <si>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</si>
  <si>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</si>
  <si>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</si>
  <si>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</si>
  <si>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</si>
  <si>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</si>
  <si>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</si>
  <si>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</si>
  <si>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</si>
  <si>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</si>
  <si>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</si>
  <si>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</si>
  <si>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</si>
  <si>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</si>
  <si>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</si>
  <si>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</si>
  <si>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</si>
  <si>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</si>
  <si>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</si>
  <si>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</si>
  <si>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</si>
  <si>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</si>
  <si>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</si>
  <si>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</si>
  <si>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</si>
  <si>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</si>
  <si>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</si>
  <si>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</si>
  <si>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</si>
  <si>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</si>
  <si>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</si>
  <si>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</si>
  <si>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</si>
  <si>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</si>
  <si>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</si>
  <si>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</si>
  <si>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</si>
  <si>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</si>
  <si>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</si>
  <si>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</si>
  <si>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</si>
  <si>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</si>
  <si>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</si>
  <si>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</si>
  <si>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</si>
  <si>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</si>
  <si>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</si>
  <si>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</si>
  <si>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</si>
  <si>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</si>
  <si>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</si>
  <si>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</si>
  <si>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</si>
  <si>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</si>
  <si>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</si>
  <si>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</si>
  <si>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</si>
  <si>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</si>
  <si>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</si>
  <si>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</si>
  <si>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</si>
  <si>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</si>
  <si>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</si>
  <si>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</si>
  <si>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</si>
  <si>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</si>
  <si>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</si>
  <si>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</si>
  <si>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</si>
  <si>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</si>
  <si>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</si>
  <si>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</si>
  <si>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</si>
  <si>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</si>
  <si>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</si>
  <si>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</si>
  <si>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</si>
  <si>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</si>
  <si>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</si>
  <si>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Sgaua</t>
  </si>
  <si>
    <t>Goblin Tattici del Kanta Giro</t>
  </si>
  <si>
    <t>Mini Tony</t>
  </si>
  <si>
    <t>Rino Goblano</t>
  </si>
  <si>
    <t>Gobbo Minieri</t>
  </si>
  <si>
    <t>Goblin Paoli</t>
  </si>
  <si>
    <t>Gork Morandi</t>
  </si>
  <si>
    <t>Adriano Celemork</t>
  </si>
  <si>
    <t>Andy Goblotto</t>
  </si>
  <si>
    <t>Gobbo Costa</t>
  </si>
  <si>
    <t>Glossano</t>
  </si>
  <si>
    <t>Goblo Mengoli</t>
  </si>
  <si>
    <t>Goblino Barberis</t>
  </si>
  <si>
    <t>Peppino di Kapri</t>
  </si>
  <si>
    <t>Mike Gobaro</t>
  </si>
  <si>
    <t>Goblano Filogamo</t>
  </si>
  <si>
    <t>Spappari - Paride</t>
  </si>
  <si>
    <t>Gino Goblin</t>
  </si>
  <si>
    <t>MultiversOrc - Ferdi</t>
  </si>
  <si>
    <t>Herr Hippie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</si>
</sst>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9"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 fillId="0" borderId="102" xfId="0" applyFont="1" applyBorder="1" applyProtection="1"/>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0" fillId="0" borderId="2" xfId="0" applyFont="1" applyBorder="1" applyAlignment="1" applyProtection="1">
      <alignment horizontal="center" vertical="center" shrinkToFit="1"/>
      <protection locked="0"/>
    </xf>
    <xf numFmtId="0" fontId="1" fillId="0" borderId="4" xfId="0" applyFont="1"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1" fillId="0" borderId="29" xfId="0" applyFont="1" applyBorder="1" applyAlignment="1" applyProtection="1">
      <alignment horizontal="center" vertical="center" shrinkToFit="1"/>
      <protection locked="0"/>
    </xf>
    <xf numFmtId="0" fontId="10" fillId="0" borderId="0" xfId="0" applyFont="1" applyAlignment="1" applyProtection="1">
      <alignment horizontal="center" vertical="center"/>
    </xf>
    <xf numFmtId="0" fontId="0" fillId="0" borderId="0" xfId="0" applyFont="1" applyAlignment="1" applyProtection="1"/>
    <xf numFmtId="0" fontId="9" fillId="0" borderId="2"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3" fontId="11" fillId="2" borderId="29"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9"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3" fillId="0" borderId="2"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protection locked="0"/>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 fillId="0" borderId="19" xfId="0" applyFont="1" applyBorder="1" applyProtection="1"/>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3" fontId="11" fillId="2" borderId="131"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0" fontId="50" fillId="0" borderId="2" xfId="0" applyFont="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37" t="str">
        <f>IF(Roster!$K$25="Italiano","Blood Bowl 2020 Roster Lega",(IF(Roster!$K$25="Español","Blood Bowl 2020 Roster League",(IF(Roster!$K$25="Deutsch","Blood Bowl 2020 Roster Liga",(IF(Roster!$K$25="Français","Blood Bowl 2020 Roster Ligue","Blood Bowl 2020 Roster League")))))))</f>
        <v>Blood Bowl 2020 Roster League</v>
      </c>
      <c r="C1" s="338"/>
      <c r="D1" s="339"/>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0" t="str">
        <f>Roster!A33</f>
        <v>v5.0 - Created by dreamscreator</v>
      </c>
      <c r="C2" s="341"/>
      <c r="D2" s="342"/>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43" t="str">
        <f>Roster!A34</f>
        <v>https://bloodbowlhelp.wordpress.com</v>
      </c>
      <c r="C3" s="341"/>
      <c r="D3" s="342"/>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44"/>
      <c r="C4" s="341"/>
      <c r="D4" s="342"/>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44" t="str">
        <f>IF(Roster!$K$25="Italiano",M5,(IF(Roster!$K$25="Español",J5,(IF(Roster!$K$25="Deutsch",K5,(IF(Roster!$K$25="Français",L5,I5)))))))</f>
        <v>Compatible with Excel, Google Sheets (just upload Excel to Google Drive) and Libre Office</v>
      </c>
      <c r="C5" s="341"/>
      <c r="D5" s="342"/>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54"/>
      <c r="C6" s="354"/>
      <c r="D6" s="354"/>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44" t="str">
        <f>IF(Roster!$K$25="Italiano",M7,(IF(Roster!$K$25="Español",J7,(IF(Roster!$K$25="Deutsch",K7,(IF(Roster!$K$25="Français",L7,I7)))))))</f>
        <v>If you want help so I can carry on updating the excel rosters, you can donate in the following link. Thank you very much!</v>
      </c>
      <c r="C7" s="341"/>
      <c r="D7" s="342"/>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53" t="s">
        <v>1257</v>
      </c>
      <c r="C8" s="353"/>
      <c r="D8" s="353"/>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51"/>
      <c r="C9" s="352"/>
      <c r="D9" s="352"/>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45" t="str">
        <f>IF(Roster!$K$25="Italiano","Comment utiliser cet Excel",(IF(Roster!K25="Español","Cómo usar este Excel",(IF(Roster!K25="Deutsch","Wie Sie dieses Excel verwenden",(IF(Roster!K25="Français","Comment utiliser cet Excel","How to use this Excel")))))))</f>
        <v>How to use this Excel</v>
      </c>
      <c r="C10" s="346"/>
      <c r="D10" s="347"/>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48" t="str">
        <f>IF(Roster!$K$25="Italiano",M11,(IF(Roster!$K$25="Español",J11,(IF(Roster!$K$25="Deutsch",K11,(IF(Roster!$K$25="Français",L11,I11)))))))</f>
        <v>TO PRINT: Select the cells you want to print and in Print options choose the option print selected cells.</v>
      </c>
      <c r="C11" s="349"/>
      <c r="D11" s="350"/>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48" t="str">
        <f>IF(Roster!$K$25="Italiano",M12,(IF(Roster!$K$25="Español",J12,(IF(Roster!$K$25="Deutsch",K12,(IF(Roster!$K$25="Français",L12,I12)))))))</f>
        <v>The skill of snotlings Low Cost Linemen is activated by default.</v>
      </c>
      <c r="C12" s="349"/>
      <c r="D12" s="350"/>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48"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49"/>
      <c r="D13" s="350"/>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48"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49"/>
      <c r="D14" s="350"/>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48" t="str">
        <f>IF(Roster!$K$25="Italiano",M15,(IF(Roster!$K$25="Español",J15,(IF(Roster!$K$25="Deutsch",K15,(IF(Roster!$K$25="Français",L15,I15)))))))</f>
        <v>In the match tab you can include the winnings and the variation of Dedicated Fans that will be shown with the calculation made automatically in the roster tab.</v>
      </c>
      <c r="C15" s="349"/>
      <c r="D15" s="350"/>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48" t="str">
        <f>IF(Roster!$K$25="Italiano",M16,(IF(Roster!$K$25="Español",J16,(IF(Roster!$K$25="Deutsch",K16,(IF(Roster!$K$25="Français",L16,I16)))))))</f>
        <v>If a player dies or is withdrawn, he should be included in the dead and withdrawn players tab including the cost so that the roster automatically calculates it.</v>
      </c>
      <c r="C16" s="349"/>
      <c r="D16" s="350"/>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48" t="str">
        <f>IF(Roster!$K$25="Italiano",M17,(IF(Roster!$K$25="Español",J17,(IF(Roster!$K$25="Deutsch",K17,(IF(Roster!$K$25="Français",L17,I17)))))))</f>
        <v>The Team Cards sheet is fully automatic, it is only necessary, if desired, to add images for the players or to change the NAF logo to the team logo.</v>
      </c>
      <c r="C17" s="349"/>
      <c r="D17" s="350"/>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B1" sqref="B1:C1"/>
    </sheetView>
  </sheetViews>
  <sheetFormatPr defaultColWidth="0" defaultRowHeight="15" customHeight="1" zeroHeight="1"/>
  <cols>
    <col min="1" max="1" width="4.4257812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33" t="str">
        <f>IF($K$25="Italiano","NOME GIOCATORE",(IF($K$25="Español","NOMBRE JUGADOR",(IF($K$25="Deutsch","NAME",(IF($K$25="Français","NOM DU JOUEUR","PLAYER NAME")))))))</f>
        <v>PLAYER NAME</v>
      </c>
      <c r="C1" s="434"/>
      <c r="D1" s="406" t="str">
        <f>IF($K$25="Italiano","TIPO",(IF($K$25="Español","TIPO",(IF($K$25="Deutsch","POSITION",(IF($K$25="Français","POSTE","TYPE")))))))</f>
        <v>TYPE</v>
      </c>
      <c r="E1" s="361"/>
      <c r="F1" s="361"/>
      <c r="G1" s="362"/>
      <c r="H1" s="392" t="str">
        <f>IF($K$25="Italiano","QTA",(IF($K$25="Español","CANT",(IF($K$25="Deutsch","An- zahl",(IF($K$25="Français","QTT","QTY")))))))</f>
        <v>QTY</v>
      </c>
      <c r="I1" s="361"/>
      <c r="J1" s="36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06" t="str">
        <f>IF($K$25="Italiano","ABILITÀ",(IF($K$25="Español","HABILIDADES",(IF($K$25="Deutsch","FERTIGKEITEN",(IF($K$25="Français","COMPÉTENCES","SKILLS")))))))</f>
        <v>SKILLS</v>
      </c>
      <c r="Q1" s="361"/>
      <c r="R1" s="361"/>
      <c r="S1" s="361"/>
      <c r="T1" s="361"/>
      <c r="U1" s="361"/>
      <c r="V1" s="361"/>
      <c r="W1" s="361"/>
      <c r="X1" s="361"/>
      <c r="Y1" s="361"/>
      <c r="Z1" s="36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392" t="str">
        <f>IF($K$25="Italiano","SPP Totali",(IF($K$25="Español","SPP Totales",(IF($K$25="Deutsch","Gesamte SPP",(IF($K$25="Français","Total PSP","Total SPP")))))))</f>
        <v>Total SPP</v>
      </c>
      <c r="AL1" s="362"/>
      <c r="AM1" s="392" t="str">
        <f>IF($K$25="Italiano","SPP Non Spesi",(IF($K$25="Español","SPP Sin gastar",(IF($K$25="Deutsch","Verfügb. SPP",(IF($K$25="Français","PSP restant","Unspent SPP")))))))</f>
        <v>Unspent SPP</v>
      </c>
      <c r="AN1" s="362"/>
      <c r="AO1" s="406" t="str">
        <f>IF($K$25="Italiano","COSTO",(IF($K$25="Español","PRECIO",(IF($K$25="Deutsch","WERT",(IF($K$25="Français","VALEUR","COST")))))))</f>
        <v>COST</v>
      </c>
      <c r="AP1" s="362"/>
      <c r="AQ1" s="432"/>
      <c r="AR1" s="27" t="s">
        <v>30</v>
      </c>
      <c r="AS1" s="28" t="s">
        <v>31</v>
      </c>
      <c r="AT1" s="28"/>
      <c r="AU1" s="28"/>
      <c r="AV1" s="28"/>
      <c r="AW1" s="28"/>
      <c r="AX1" s="28"/>
      <c r="AY1" s="425" t="s">
        <v>32</v>
      </c>
      <c r="AZ1" s="408"/>
      <c r="BA1" s="408"/>
      <c r="BB1" s="408"/>
      <c r="BC1" s="408"/>
      <c r="BD1" s="408"/>
      <c r="BE1" s="408"/>
      <c r="BF1" s="408"/>
      <c r="BG1" s="381"/>
      <c r="BH1" s="28"/>
      <c r="BI1" s="28"/>
      <c r="BJ1" s="28"/>
      <c r="BK1" s="28"/>
      <c r="BL1" s="28"/>
      <c r="BM1" s="28"/>
      <c r="BN1" s="28"/>
      <c r="BO1" s="28"/>
      <c r="BP1" s="28" t="str">
        <f>INDEX(BZ3:BZ32,(SUM(BZ2:CC2)))</f>
        <v>Goblin</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67" t="s">
        <v>1440</v>
      </c>
      <c r="C2" s="368"/>
      <c r="D2" s="384" t="s">
        <v>460</v>
      </c>
      <c r="E2" s="358"/>
      <c r="F2" s="358"/>
      <c r="G2" s="358"/>
      <c r="H2" s="32">
        <f>IF(D2="",0,(COUNTIF(D2:G17,D2)))</f>
        <v>1</v>
      </c>
      <c r="I2" s="33" t="s">
        <v>34</v>
      </c>
      <c r="J2" s="34">
        <f>IFERROR((VLOOKUP($BP$1&amp;D2,Teams!D:M,10,0)),0)</f>
        <v>1</v>
      </c>
      <c r="K2" s="35">
        <f t="shared" ref="K2:L2" si="0">IFERROR(L61,0)</f>
        <v>6</v>
      </c>
      <c r="L2" s="35">
        <f t="shared" si="0"/>
        <v>2</v>
      </c>
      <c r="M2" s="35" t="str">
        <f t="shared" ref="M2:O2" si="1">IFERROR(N61&amp;"+",0)</f>
        <v>3+</v>
      </c>
      <c r="N2" s="35" t="str">
        <f t="shared" si="1"/>
        <v>0+</v>
      </c>
      <c r="O2" s="35" t="str">
        <f t="shared" si="1"/>
        <v>8+</v>
      </c>
      <c r="P2" s="387" t="str">
        <f>IFERROR((IF(AW2="YES",(VLOOKUP($BP$1&amp;D2,Teams!D:M,7,0)&amp;BG2),AX2)),"")</f>
        <v>Chainsaw, Secret Weapon, Stunty</v>
      </c>
      <c r="Q2" s="388"/>
      <c r="R2" s="388"/>
      <c r="S2" s="388"/>
      <c r="T2" s="388"/>
      <c r="U2" s="388"/>
      <c r="V2" s="388"/>
      <c r="W2" s="388"/>
      <c r="X2" s="388"/>
      <c r="Y2" s="388"/>
      <c r="Z2" s="389"/>
      <c r="AA2" s="82"/>
      <c r="AB2" s="82"/>
      <c r="AC2" s="83"/>
      <c r="AD2" s="83"/>
      <c r="AE2" s="83"/>
      <c r="AF2" s="84"/>
      <c r="AG2" s="84"/>
      <c r="AH2" s="84"/>
      <c r="AI2" s="84"/>
      <c r="AJ2" s="85"/>
      <c r="AK2" s="355">
        <f t="shared" ref="AK2" si="2">AB2+AC2+(AD2*3)+AE2+(AF2*2)+(AG2*2)+(AH2*2)+(AI2*2)+(AJ2*4)</f>
        <v>0</v>
      </c>
      <c r="AL2" s="356"/>
      <c r="AM2" s="355">
        <f t="shared" ref="AM2:AM16" si="3">AK2-AJ37</f>
        <v>0</v>
      </c>
      <c r="AN2" s="356"/>
      <c r="AO2" s="355">
        <f>IFERROR((VLOOKUP($BP$1&amp;D2,Teams!D:M,8,0)+AH37),0)</f>
        <v>40000</v>
      </c>
      <c r="AP2" s="356"/>
      <c r="AQ2" s="432"/>
      <c r="AR2" s="27">
        <f>IFERROR((IF(AA2&lt;&gt;"",0,((VLOOKUP($BP$1&amp;D2,Teams!D:M,9,0)+(AH37/1000))))),0)</f>
        <v>40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Goblin1</v>
      </c>
      <c r="BK2" s="30" t="str">
        <f>IFERROR(IF((VLOOKUP(BJ2,Teams!B:C,2,FALSE))=0,"",(VLOOKUP(BJ2,Teams!B:C,2,FALSE))),"")</f>
        <v/>
      </c>
      <c r="BL2" s="28"/>
      <c r="BM2" s="30"/>
      <c r="BN2" s="38"/>
      <c r="BO2" s="38" t="s">
        <v>35</v>
      </c>
      <c r="BP2" s="28" t="str">
        <f t="array" ref="BP2">INDEX(BO3:BO32,(SUM(BZ2:CC2)))</f>
        <v>Goblin</v>
      </c>
      <c r="BQ2" s="38" t="s">
        <v>36</v>
      </c>
      <c r="BR2" s="38" t="s">
        <v>37</v>
      </c>
      <c r="BS2" s="38" t="s">
        <v>38</v>
      </c>
      <c r="BT2" s="39" t="s">
        <v>39</v>
      </c>
      <c r="BU2" s="39" t="s">
        <v>40</v>
      </c>
      <c r="BV2" s="29" t="str">
        <f>VLOOKUP(BP1,BM:BU,9,FALSE)</f>
        <v>BadlandsBrawlUnderworldChallenge</v>
      </c>
      <c r="BW2" s="29" t="str">
        <f>VLOOKUP(BP1,BM1:BV38,10,FALSE)</f>
        <v>Bribery and Corruption</v>
      </c>
      <c r="BX2" s="29">
        <f>VLOOKUP(BP1,BM1:BW38,11,FALSE)</f>
        <v>0</v>
      </c>
      <c r="BY2" s="28"/>
      <c r="BZ2" s="39">
        <f>IFERROR(MATCH($K$23,BZ3:BZ32,0),0)</f>
        <v>9</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67" t="s">
        <v>1441</v>
      </c>
      <c r="C3" s="368"/>
      <c r="D3" s="384" t="s">
        <v>475</v>
      </c>
      <c r="E3" s="358"/>
      <c r="F3" s="358"/>
      <c r="G3" s="358"/>
      <c r="H3" s="32">
        <f>IF(D3="",0,(COUNTIF(D2:G17,D3)))</f>
        <v>1</v>
      </c>
      <c r="I3" s="33" t="s">
        <v>34</v>
      </c>
      <c r="J3" s="34">
        <f>IFERROR((VLOOKUP($BP$1&amp;D3,Teams!D:M,10,0)),0)</f>
        <v>1</v>
      </c>
      <c r="K3" s="35">
        <f t="shared" ref="K3:L3" si="10">IFERROR(L62,0)</f>
        <v>3</v>
      </c>
      <c r="L3" s="35">
        <f t="shared" si="10"/>
        <v>7</v>
      </c>
      <c r="M3" s="35" t="str">
        <f t="shared" ref="M3:O3" si="11">IFERROR(N62&amp;"+",0)</f>
        <v>3+</v>
      </c>
      <c r="N3" s="35" t="str">
        <f t="shared" si="11"/>
        <v>0+</v>
      </c>
      <c r="O3" s="35" t="str">
        <f t="shared" si="11"/>
        <v>8+</v>
      </c>
      <c r="P3" s="387" t="str">
        <f>IFERROR((IF(AW3="YES",(VLOOKUP($BP$1&amp;D3,Teams!D:M,7,0)&amp;BG3),AX3)),"")</f>
        <v>Ball &amp; Chain, No Hands, Secret Weapon, Stunty</v>
      </c>
      <c r="Q3" s="388"/>
      <c r="R3" s="388"/>
      <c r="S3" s="388"/>
      <c r="T3" s="388"/>
      <c r="U3" s="388"/>
      <c r="V3" s="388"/>
      <c r="W3" s="388"/>
      <c r="X3" s="388"/>
      <c r="Y3" s="388"/>
      <c r="Z3" s="389"/>
      <c r="AA3" s="82"/>
      <c r="AB3" s="82"/>
      <c r="AC3" s="83"/>
      <c r="AD3" s="83"/>
      <c r="AE3" s="83"/>
      <c r="AF3" s="84"/>
      <c r="AG3" s="84"/>
      <c r="AH3" s="84"/>
      <c r="AI3" s="84"/>
      <c r="AJ3" s="84"/>
      <c r="AK3" s="355">
        <f t="shared" ref="AK3:AK16" si="12">AB3+AC3+(AD3*3)+AE3+(AF3*2)+(AG3*2)+(AH3*2)+(AI3*2)+(AJ3*4)</f>
        <v>0</v>
      </c>
      <c r="AL3" s="356"/>
      <c r="AM3" s="355">
        <f t="shared" si="3"/>
        <v>0</v>
      </c>
      <c r="AN3" s="356"/>
      <c r="AO3" s="355">
        <f>IFERROR((VLOOKUP($BP$1&amp;D3,Teams!D:M,8,0)+AH38),0)</f>
        <v>70000</v>
      </c>
      <c r="AP3" s="356"/>
      <c r="AQ3" s="432"/>
      <c r="AR3" s="27">
        <f>IFERROR((IF(AA3&lt;&gt;"",0,((VLOOKUP($BP$1&amp;D3,Teams!D:M,9,0)+(AH38/1000))))),0)</f>
        <v>70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Goblin2</v>
      </c>
      <c r="BK3" s="30" t="str">
        <f>IFERROR(IF((VLOOKUP(BJ3,Teams!B:C,2,FALSE))=0,"",(VLOOKUP(BJ3,Teams!B:C,2,FALSE))),"")</f>
        <v>Goblin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67" t="s">
        <v>1442</v>
      </c>
      <c r="C4" s="368"/>
      <c r="D4" s="384" t="s">
        <v>455</v>
      </c>
      <c r="E4" s="358"/>
      <c r="F4" s="358"/>
      <c r="G4" s="358"/>
      <c r="H4" s="32">
        <f>IF(D4="",0,(COUNTIF(D2:G17,D4)))</f>
        <v>1</v>
      </c>
      <c r="I4" s="33" t="s">
        <v>34</v>
      </c>
      <c r="J4" s="34">
        <f>IFERROR((VLOOKUP($BP$1&amp;D4,Teams!D:M,10,0)),0)</f>
        <v>1</v>
      </c>
      <c r="K4" s="35">
        <f t="shared" ref="K4:L4" si="21">IFERROR(L63,0)</f>
        <v>6</v>
      </c>
      <c r="L4" s="35">
        <f t="shared" si="21"/>
        <v>2</v>
      </c>
      <c r="M4" s="35" t="str">
        <f t="shared" ref="M4:O4" si="22">IFERROR(N63&amp;"+",0)</f>
        <v>3+</v>
      </c>
      <c r="N4" s="35" t="str">
        <f t="shared" si="22"/>
        <v>4+</v>
      </c>
      <c r="O4" s="35" t="str">
        <f t="shared" si="22"/>
        <v>8+</v>
      </c>
      <c r="P4" s="387" t="str">
        <f>IFERROR((IF(AW4="YES",(VLOOKUP($BP$1&amp;D4,Teams!D:M,7,0)&amp;BG4),AX4)),"")</f>
        <v>Bombardier, Dodge, Secret Weapon, Stunty</v>
      </c>
      <c r="Q4" s="388"/>
      <c r="R4" s="388"/>
      <c r="S4" s="388"/>
      <c r="T4" s="388"/>
      <c r="U4" s="388"/>
      <c r="V4" s="388"/>
      <c r="W4" s="388"/>
      <c r="X4" s="388"/>
      <c r="Y4" s="388"/>
      <c r="Z4" s="389"/>
      <c r="AA4" s="82"/>
      <c r="AB4" s="82"/>
      <c r="AC4" s="83"/>
      <c r="AD4" s="83"/>
      <c r="AE4" s="83"/>
      <c r="AF4" s="84"/>
      <c r="AG4" s="84"/>
      <c r="AH4" s="84"/>
      <c r="AI4" s="84"/>
      <c r="AJ4" s="85"/>
      <c r="AK4" s="355">
        <f t="shared" si="12"/>
        <v>0</v>
      </c>
      <c r="AL4" s="356"/>
      <c r="AM4" s="355">
        <f t="shared" si="3"/>
        <v>0</v>
      </c>
      <c r="AN4" s="356"/>
      <c r="AO4" s="355">
        <f>IFERROR((VLOOKUP($BP$1&amp;D4,Teams!D:M,8,0)+AH39),0)</f>
        <v>45000</v>
      </c>
      <c r="AP4" s="356"/>
      <c r="AQ4" s="432"/>
      <c r="AR4" s="27">
        <f>IFERROR((IF(AA4&lt;&gt;"",0,((VLOOKUP($BP$1&amp;D4,Teams!D:M,9,0)+(AH39/1000))))),0)</f>
        <v>45</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Goblin3</v>
      </c>
      <c r="BK4" s="30" t="str">
        <f>IFERROR(IF((VLOOKUP(BJ4,Teams!B:C,2,FALSE))=0,"",(VLOOKUP(BJ4,Teams!B:C,2,FALSE))),"")</f>
        <v>Bombardier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67" t="s">
        <v>1452</v>
      </c>
      <c r="C5" s="368"/>
      <c r="D5" s="384" t="s">
        <v>470</v>
      </c>
      <c r="E5" s="358"/>
      <c r="F5" s="358"/>
      <c r="G5" s="358"/>
      <c r="H5" s="32">
        <f>IF(D5="",0,(COUNTIF(D2:G17,D5)))</f>
        <v>1</v>
      </c>
      <c r="I5" s="33" t="s">
        <v>34</v>
      </c>
      <c r="J5" s="34">
        <f>IFERROR((VLOOKUP($BP$1&amp;D5,Teams!D:M,10,0)),0)</f>
        <v>1</v>
      </c>
      <c r="K5" s="35">
        <f t="shared" ref="K5:L5" si="23">IFERROR(L64,0)</f>
        <v>6</v>
      </c>
      <c r="L5" s="35">
        <f t="shared" si="23"/>
        <v>2</v>
      </c>
      <c r="M5" s="35" t="str">
        <f t="shared" ref="M5:O5" si="24">IFERROR(N64&amp;"+",0)</f>
        <v>3+</v>
      </c>
      <c r="N5" s="35" t="str">
        <f t="shared" si="24"/>
        <v>6+</v>
      </c>
      <c r="O5" s="35" t="str">
        <f t="shared" si="24"/>
        <v>8+</v>
      </c>
      <c r="P5" s="387" t="str">
        <f>IFERROR((IF(AW5="YES",(VLOOKUP($BP$1&amp;D5,Teams!D:M,7,0)&amp;BG5),AX5)),"")</f>
        <v>Dirty Player (+1), Disturbing Presence, Dodge, Right Stuff, Stunty</v>
      </c>
      <c r="Q5" s="388"/>
      <c r="R5" s="388"/>
      <c r="S5" s="388"/>
      <c r="T5" s="388"/>
      <c r="U5" s="388"/>
      <c r="V5" s="388"/>
      <c r="W5" s="388"/>
      <c r="X5" s="388"/>
      <c r="Y5" s="388"/>
      <c r="Z5" s="389"/>
      <c r="AA5" s="82"/>
      <c r="AB5" s="82"/>
      <c r="AC5" s="83"/>
      <c r="AD5" s="83"/>
      <c r="AE5" s="83"/>
      <c r="AF5" s="84"/>
      <c r="AG5" s="84"/>
      <c r="AH5" s="84"/>
      <c r="AI5" s="84"/>
      <c r="AJ5" s="84"/>
      <c r="AK5" s="355">
        <f t="shared" si="12"/>
        <v>0</v>
      </c>
      <c r="AL5" s="356"/>
      <c r="AM5" s="355">
        <f t="shared" si="3"/>
        <v>0</v>
      </c>
      <c r="AN5" s="356"/>
      <c r="AO5" s="355">
        <f>IFERROR((VLOOKUP($BP$1&amp;D5,Teams!D:M,8,0)+AH40),0)</f>
        <v>65000</v>
      </c>
      <c r="AP5" s="356"/>
      <c r="AQ5" s="432"/>
      <c r="AR5" s="27">
        <f>IFERROR((IF(AA5&lt;&gt;"",0,((VLOOKUP($BP$1&amp;D5,Teams!D:M,9,0)+(AH40/1000))))),0)</f>
        <v>65</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Goblin4</v>
      </c>
      <c r="BK5" s="30" t="str">
        <f>IFERROR(IF((VLOOKUP(BJ5,Teams!B:C,2,FALSE))=0,"",(VLOOKUP(BJ5,Teams!B:C,2,FALSE))),"")</f>
        <v>Looney</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67" t="s">
        <v>1443</v>
      </c>
      <c r="C6" s="368"/>
      <c r="D6" s="384" t="s">
        <v>480</v>
      </c>
      <c r="E6" s="358"/>
      <c r="F6" s="358"/>
      <c r="G6" s="358"/>
      <c r="H6" s="32">
        <f>IF(D6="",0,(COUNTIF(D2:G17,D6)))</f>
        <v>1</v>
      </c>
      <c r="I6" s="33" t="s">
        <v>34</v>
      </c>
      <c r="J6" s="34">
        <f>IFERROR((VLOOKUP($BP$1&amp;D6,Teams!D:M,10,0)),0)</f>
        <v>1</v>
      </c>
      <c r="K6" s="35">
        <f t="shared" ref="K6:L6" si="25">IFERROR(L65,0)</f>
        <v>7</v>
      </c>
      <c r="L6" s="35">
        <f t="shared" si="25"/>
        <v>2</v>
      </c>
      <c r="M6" s="35" t="str">
        <f t="shared" ref="M6:O6" si="26">IFERROR(N65&amp;"+",0)</f>
        <v>3+</v>
      </c>
      <c r="N6" s="35" t="str">
        <f t="shared" si="26"/>
        <v>5+</v>
      </c>
      <c r="O6" s="35" t="str">
        <f t="shared" si="26"/>
        <v>8+</v>
      </c>
      <c r="P6" s="387" t="str">
        <f>IFERROR((IF(AW6="YES",(VLOOKUP($BP$1&amp;D6,Teams!D:M,7,0)&amp;BG6),AX6)),"")</f>
        <v>Dodge, Pogo Stick, Stunty</v>
      </c>
      <c r="Q6" s="388"/>
      <c r="R6" s="388"/>
      <c r="S6" s="388"/>
      <c r="T6" s="388"/>
      <c r="U6" s="388"/>
      <c r="V6" s="388"/>
      <c r="W6" s="388"/>
      <c r="X6" s="388"/>
      <c r="Y6" s="388"/>
      <c r="Z6" s="389"/>
      <c r="AA6" s="82"/>
      <c r="AB6" s="82"/>
      <c r="AC6" s="83"/>
      <c r="AD6" s="83"/>
      <c r="AE6" s="83"/>
      <c r="AF6" s="84"/>
      <c r="AG6" s="84"/>
      <c r="AH6" s="84"/>
      <c r="AI6" s="84"/>
      <c r="AJ6" s="84"/>
      <c r="AK6" s="355">
        <f t="shared" si="12"/>
        <v>0</v>
      </c>
      <c r="AL6" s="356"/>
      <c r="AM6" s="355">
        <f t="shared" si="3"/>
        <v>0</v>
      </c>
      <c r="AN6" s="356"/>
      <c r="AO6" s="355">
        <f>IFERROR((VLOOKUP($BP$1&amp;D6,Teams!D:M,8,0)+AH41),0)</f>
        <v>75000</v>
      </c>
      <c r="AP6" s="356"/>
      <c r="AQ6" s="432"/>
      <c r="AR6" s="27">
        <f>IFERROR((IF(AA6&lt;&gt;"",0,((VLOOKUP($BP$1&amp;D6,Teams!D:M,9,0)+(AH41/1000))))),0)</f>
        <v>75</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Goblin5</v>
      </c>
      <c r="BK6" s="30" t="str">
        <f>IFERROR(IF((VLOOKUP(BJ6,Teams!B:C,2,FALSE))=0,"",(VLOOKUP(BJ6,Teams!B:C,2,FALSE))),"")</f>
        <v>Doom Diver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67" t="s">
        <v>1455</v>
      </c>
      <c r="C7" s="368"/>
      <c r="D7" s="384" t="s">
        <v>465</v>
      </c>
      <c r="E7" s="358"/>
      <c r="F7" s="358"/>
      <c r="G7" s="358"/>
      <c r="H7" s="32">
        <f>IF(D7="",0,(COUNTIF(D2:G17,D7)))</f>
        <v>1</v>
      </c>
      <c r="I7" s="33" t="s">
        <v>34</v>
      </c>
      <c r="J7" s="34">
        <f>IFERROR((VLOOKUP($BP$1&amp;D7,Teams!D:M,10,0)),0)</f>
        <v>1</v>
      </c>
      <c r="K7" s="35">
        <f t="shared" ref="K7:L7" si="27">IFERROR(L66,0)</f>
        <v>6</v>
      </c>
      <c r="L7" s="35">
        <f t="shared" si="27"/>
        <v>2</v>
      </c>
      <c r="M7" s="35" t="str">
        <f t="shared" ref="M7:O7" si="28">IFERROR(N66&amp;"+",0)</f>
        <v>3+</v>
      </c>
      <c r="N7" s="35" t="str">
        <f t="shared" si="28"/>
        <v>6+</v>
      </c>
      <c r="O7" s="35" t="str">
        <f t="shared" si="28"/>
        <v>8+</v>
      </c>
      <c r="P7" s="387" t="str">
        <f>IFERROR((IF(AW7="YES",(VLOOKUP($BP$1&amp;D7,Teams!D:M,7,0)&amp;BG7),AX7)),"")</f>
        <v>Right Stuff, Stunty, Swoop</v>
      </c>
      <c r="Q7" s="388"/>
      <c r="R7" s="388"/>
      <c r="S7" s="388"/>
      <c r="T7" s="388"/>
      <c r="U7" s="388"/>
      <c r="V7" s="388"/>
      <c r="W7" s="388"/>
      <c r="X7" s="388"/>
      <c r="Y7" s="388"/>
      <c r="Z7" s="389"/>
      <c r="AA7" s="82"/>
      <c r="AB7" s="82"/>
      <c r="AC7" s="83"/>
      <c r="AD7" s="83">
        <v>1</v>
      </c>
      <c r="AE7" s="83"/>
      <c r="AF7" s="84"/>
      <c r="AG7" s="84"/>
      <c r="AH7" s="84"/>
      <c r="AI7" s="84"/>
      <c r="AJ7" s="84"/>
      <c r="AK7" s="355">
        <f t="shared" si="12"/>
        <v>3</v>
      </c>
      <c r="AL7" s="356"/>
      <c r="AM7" s="355">
        <f t="shared" si="3"/>
        <v>3</v>
      </c>
      <c r="AN7" s="356"/>
      <c r="AO7" s="355">
        <f>IFERROR((VLOOKUP($BP$1&amp;D7,Teams!D:M,8,0)+AH42),0)</f>
        <v>60000</v>
      </c>
      <c r="AP7" s="356"/>
      <c r="AQ7" s="432"/>
      <c r="AR7" s="27">
        <f>IFERROR((IF(AA7&lt;&gt;"",0,((VLOOKUP($BP$1&amp;D7,Teams!D:M,9,0)+(AH42/1000))))),0)</f>
        <v>60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Goblin6</v>
      </c>
      <c r="BK7" s="30" t="str">
        <f>IFERROR(IF((VLOOKUP(BJ7,Teams!B:C,2,FALSE))=0,"",(VLOOKUP(BJ7,Teams!B:C,2,FALSE))),"")</f>
        <v>Ooligan</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67" t="s">
        <v>1449</v>
      </c>
      <c r="C8" s="368"/>
      <c r="D8" s="384" t="s">
        <v>86</v>
      </c>
      <c r="E8" s="358"/>
      <c r="F8" s="358"/>
      <c r="G8" s="358"/>
      <c r="H8" s="32">
        <f>IF(D8="",0,(COUNTIF(D2:G17,D8)))</f>
        <v>8</v>
      </c>
      <c r="I8" s="33" t="s">
        <v>34</v>
      </c>
      <c r="J8" s="34">
        <f>IFERROR((VLOOKUP($BP$1&amp;D8,Teams!D:M,10,0)),0)</f>
        <v>16</v>
      </c>
      <c r="K8" s="35">
        <f t="shared" ref="K8:L8" si="29">IFERROR(L67,0)</f>
        <v>6</v>
      </c>
      <c r="L8" s="35">
        <f t="shared" si="29"/>
        <v>2</v>
      </c>
      <c r="M8" s="35" t="str">
        <f t="shared" ref="M8:O8" si="30">IFERROR(N67&amp;"+",0)</f>
        <v>3+</v>
      </c>
      <c r="N8" s="35" t="str">
        <f t="shared" si="30"/>
        <v>4+</v>
      </c>
      <c r="O8" s="35" t="str">
        <f t="shared" si="30"/>
        <v>8+</v>
      </c>
      <c r="P8" s="387" t="str">
        <f>IFERROR((IF(AW8="YES",(VLOOKUP($BP$1&amp;D8,Teams!D:M,7,0)&amp;BG8),AX8)),"")</f>
        <v>Dodge, Right Stuff, Stunty</v>
      </c>
      <c r="Q8" s="388"/>
      <c r="R8" s="388"/>
      <c r="S8" s="388"/>
      <c r="T8" s="388"/>
      <c r="U8" s="388"/>
      <c r="V8" s="388"/>
      <c r="W8" s="388"/>
      <c r="X8" s="388"/>
      <c r="Y8" s="388"/>
      <c r="Z8" s="389"/>
      <c r="AA8" s="82"/>
      <c r="AB8" s="82"/>
      <c r="AC8" s="83"/>
      <c r="AD8" s="83"/>
      <c r="AE8" s="83"/>
      <c r="AF8" s="84"/>
      <c r="AG8" s="84"/>
      <c r="AH8" s="84"/>
      <c r="AI8" s="84"/>
      <c r="AJ8" s="84"/>
      <c r="AK8" s="355">
        <f t="shared" si="12"/>
        <v>0</v>
      </c>
      <c r="AL8" s="356"/>
      <c r="AM8" s="355">
        <f t="shared" si="3"/>
        <v>0</v>
      </c>
      <c r="AN8" s="356"/>
      <c r="AO8" s="355">
        <f>IFERROR((VLOOKUP($BP$1&amp;D8,Teams!D:M,8,0)+AH43),0)</f>
        <v>40000</v>
      </c>
      <c r="AP8" s="356"/>
      <c r="AQ8" s="432"/>
      <c r="AR8" s="27">
        <f>IFERROR((IF(AA8&lt;&gt;"",0,((VLOOKUP($BP$1&amp;D8,Teams!D:M,9,0)+(AH43/1000))))),0)</f>
        <v>40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Goblin7</v>
      </c>
      <c r="BK8" s="30" t="str">
        <f>IFERROR(IF((VLOOKUP(BJ8,Teams!B:C,2,FALSE))=0,"",(VLOOKUP(BJ8,Teams!B:C,2,FALSE))),"")</f>
        <v xml:space="preserve">Fanatic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67" t="s">
        <v>1450</v>
      </c>
      <c r="C9" s="368"/>
      <c r="D9" s="386" t="s">
        <v>86</v>
      </c>
      <c r="E9" s="358"/>
      <c r="F9" s="358"/>
      <c r="G9" s="358"/>
      <c r="H9" s="32">
        <f>IF(D9="",0,(COUNTIF(D2:G17,D9)))</f>
        <v>8</v>
      </c>
      <c r="I9" s="33" t="s">
        <v>34</v>
      </c>
      <c r="J9" s="34">
        <f>IFERROR((VLOOKUP($BP$1&amp;D9,Teams!D:M,10,0)),0)</f>
        <v>16</v>
      </c>
      <c r="K9" s="35">
        <f t="shared" ref="K9:L9" si="31">IFERROR(L68,0)</f>
        <v>6</v>
      </c>
      <c r="L9" s="35">
        <f t="shared" si="31"/>
        <v>2</v>
      </c>
      <c r="M9" s="35" t="str">
        <f t="shared" ref="M9:O9" si="32">IFERROR(N68&amp;"+",0)</f>
        <v>3+</v>
      </c>
      <c r="N9" s="35" t="str">
        <f t="shared" si="32"/>
        <v>4+</v>
      </c>
      <c r="O9" s="35" t="str">
        <f t="shared" si="32"/>
        <v>8+</v>
      </c>
      <c r="P9" s="387" t="str">
        <f>IFERROR((IF(AW9="YES",(VLOOKUP($BP$1&amp;D9,Teams!D:M,7,0)&amp;BG9),AX9)),"")</f>
        <v>Dodge, Right Stuff, Stunty</v>
      </c>
      <c r="Q9" s="388"/>
      <c r="R9" s="388"/>
      <c r="S9" s="388"/>
      <c r="T9" s="388"/>
      <c r="U9" s="388"/>
      <c r="V9" s="388"/>
      <c r="W9" s="388"/>
      <c r="X9" s="388"/>
      <c r="Y9" s="388"/>
      <c r="Z9" s="389"/>
      <c r="AA9" s="82"/>
      <c r="AB9" s="82"/>
      <c r="AC9" s="83"/>
      <c r="AD9" s="83"/>
      <c r="AE9" s="83"/>
      <c r="AF9" s="84"/>
      <c r="AG9" s="84"/>
      <c r="AH9" s="84"/>
      <c r="AI9" s="84"/>
      <c r="AJ9" s="84"/>
      <c r="AK9" s="355">
        <f t="shared" si="12"/>
        <v>0</v>
      </c>
      <c r="AL9" s="356"/>
      <c r="AM9" s="355">
        <f t="shared" si="3"/>
        <v>0</v>
      </c>
      <c r="AN9" s="356"/>
      <c r="AO9" s="355">
        <f>IFERROR((VLOOKUP($BP$1&amp;D9,Teams!D:M,8,0)+AH44),0)</f>
        <v>40000</v>
      </c>
      <c r="AP9" s="356"/>
      <c r="AQ9" s="432"/>
      <c r="AR9" s="27">
        <f>IFERROR((IF(AA9&lt;&gt;"",0,((VLOOKUP($BP$1&amp;D9,Teams!D:M,9,0)+(AH44/1000))))),0)</f>
        <v>40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Goblin8</v>
      </c>
      <c r="BK9" s="30" t="str">
        <f>IFERROR(IF((VLOOKUP(BJ9,Teams!B:C,2,FALSE))=0,"",(VLOOKUP(BJ9,Teams!B:C,2,FALSE))),"")</f>
        <v>Pogoer</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67" t="s">
        <v>1451</v>
      </c>
      <c r="C10" s="368"/>
      <c r="D10" s="384" t="s">
        <v>86</v>
      </c>
      <c r="E10" s="358"/>
      <c r="F10" s="358"/>
      <c r="G10" s="358"/>
      <c r="H10" s="32">
        <f>IF(D10="",0,(COUNTIF(D2:G17,D10)))</f>
        <v>8</v>
      </c>
      <c r="I10" s="33" t="s">
        <v>34</v>
      </c>
      <c r="J10" s="34">
        <f>IFERROR((VLOOKUP($BP$1&amp;D10,Teams!D:M,10,0)),0)</f>
        <v>16</v>
      </c>
      <c r="K10" s="35">
        <f t="shared" ref="K10:L10" si="33">IFERROR(L69,0)</f>
        <v>6</v>
      </c>
      <c r="L10" s="35">
        <f t="shared" si="33"/>
        <v>2</v>
      </c>
      <c r="M10" s="35" t="str">
        <f t="shared" ref="M10:O10" si="34">IFERROR(N69&amp;"+",0)</f>
        <v>3+</v>
      </c>
      <c r="N10" s="35" t="str">
        <f t="shared" si="34"/>
        <v>4+</v>
      </c>
      <c r="O10" s="35" t="str">
        <f t="shared" si="34"/>
        <v>8+</v>
      </c>
      <c r="P10" s="387" t="str">
        <f>IFERROR((IF(AW10="YES",(VLOOKUP($BP$1&amp;D10,Teams!D:M,7,0)&amp;BG10),AX10)),"")</f>
        <v>Dodge, Right Stuff, Stunty</v>
      </c>
      <c r="Q10" s="388"/>
      <c r="R10" s="388"/>
      <c r="S10" s="388"/>
      <c r="T10" s="388"/>
      <c r="U10" s="388"/>
      <c r="V10" s="388"/>
      <c r="W10" s="388"/>
      <c r="X10" s="388"/>
      <c r="Y10" s="388"/>
      <c r="Z10" s="389"/>
      <c r="AA10" s="82"/>
      <c r="AB10" s="82"/>
      <c r="AC10" s="83"/>
      <c r="AD10" s="83"/>
      <c r="AE10" s="83"/>
      <c r="AF10" s="84"/>
      <c r="AG10" s="84"/>
      <c r="AH10" s="84"/>
      <c r="AI10" s="84"/>
      <c r="AJ10" s="84"/>
      <c r="AK10" s="355">
        <f t="shared" si="12"/>
        <v>0</v>
      </c>
      <c r="AL10" s="356"/>
      <c r="AM10" s="355">
        <f t="shared" si="3"/>
        <v>0</v>
      </c>
      <c r="AN10" s="356"/>
      <c r="AO10" s="355">
        <f>IFERROR((VLOOKUP($BP$1&amp;D10,Teams!D:M,8,0)+AH45),0)</f>
        <v>40000</v>
      </c>
      <c r="AP10" s="356"/>
      <c r="AQ10" s="432"/>
      <c r="AR10" s="27">
        <f>IFERROR((IF(AA10&lt;&gt;"",0,((VLOOKUP($BP$1&amp;D10,Teams!D:M,9,0)+(AH45/1000))))),0)</f>
        <v>40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Goblin9</v>
      </c>
      <c r="BK10" s="30" t="str">
        <f>IFERROR(IF((VLOOKUP(BJ10,Teams!B:C,2,FALSE))=0,"",(VLOOKUP(BJ10,Teams!B:C,2,FALSE))),"")</f>
        <v xml:space="preserve">Troll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67" t="s">
        <v>1448</v>
      </c>
      <c r="C11" s="368"/>
      <c r="D11" s="386" t="s">
        <v>86</v>
      </c>
      <c r="E11" s="358"/>
      <c r="F11" s="358"/>
      <c r="G11" s="358"/>
      <c r="H11" s="32">
        <f>IF(D11="",0,(COUNTIF(D2:G17,D11)))</f>
        <v>8</v>
      </c>
      <c r="I11" s="33" t="s">
        <v>34</v>
      </c>
      <c r="J11" s="34">
        <f>IFERROR((VLOOKUP($BP$1&amp;D11,Teams!D:M,10,0)),0)</f>
        <v>16</v>
      </c>
      <c r="K11" s="35">
        <f t="shared" ref="K11:L11" si="35">IFERROR(L70,0)</f>
        <v>6</v>
      </c>
      <c r="L11" s="35">
        <f t="shared" si="35"/>
        <v>2</v>
      </c>
      <c r="M11" s="35" t="str">
        <f t="shared" ref="M11:O11" si="36">IFERROR(N70&amp;"+",0)</f>
        <v>3+</v>
      </c>
      <c r="N11" s="35" t="str">
        <f t="shared" si="36"/>
        <v>4+</v>
      </c>
      <c r="O11" s="35" t="str">
        <f t="shared" si="36"/>
        <v>8+</v>
      </c>
      <c r="P11" s="387" t="str">
        <f>IFERROR((IF(AW11="YES",(VLOOKUP($BP$1&amp;D11,Teams!D:M,7,0)&amp;BG11),AX11)),"")</f>
        <v>Dodge, Right Stuff, Stunty</v>
      </c>
      <c r="Q11" s="388"/>
      <c r="R11" s="388"/>
      <c r="S11" s="388"/>
      <c r="T11" s="388"/>
      <c r="U11" s="388"/>
      <c r="V11" s="388"/>
      <c r="W11" s="388"/>
      <c r="X11" s="388"/>
      <c r="Y11" s="388"/>
      <c r="Z11" s="389"/>
      <c r="AA11" s="82"/>
      <c r="AB11" s="82"/>
      <c r="AC11" s="83"/>
      <c r="AD11" s="83">
        <v>1</v>
      </c>
      <c r="AE11" s="83"/>
      <c r="AF11" s="84"/>
      <c r="AG11" s="84"/>
      <c r="AH11" s="84"/>
      <c r="AI11" s="84"/>
      <c r="AJ11" s="84"/>
      <c r="AK11" s="355">
        <f t="shared" si="12"/>
        <v>3</v>
      </c>
      <c r="AL11" s="356"/>
      <c r="AM11" s="355">
        <f t="shared" si="3"/>
        <v>3</v>
      </c>
      <c r="AN11" s="356"/>
      <c r="AO11" s="355">
        <f>IFERROR((VLOOKUP($BP$1&amp;D11,Teams!D:M,8,0)+AH46),0)</f>
        <v>40000</v>
      </c>
      <c r="AP11" s="356"/>
      <c r="AQ11" s="432"/>
      <c r="AR11" s="27">
        <f>IFERROR((IF(AA11&lt;&gt;"",0,((VLOOKUP($BP$1&amp;D11,Teams!D:M,9,0)+(AH46/1000))))),0)</f>
        <v>40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Goblin10</v>
      </c>
      <c r="BK11" s="30" t="str">
        <f>IFERROR(IF((VLOOKUP(BJ11,Teams!B:C,2,FALSE))=0,"",(VLOOKUP(BJ11,Teams!B:C,2,FALSE))),"")</f>
        <v>Journey Goblin</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67" t="s">
        <v>1453</v>
      </c>
      <c r="C12" s="368"/>
      <c r="D12" s="386" t="s">
        <v>86</v>
      </c>
      <c r="E12" s="358"/>
      <c r="F12" s="358"/>
      <c r="G12" s="358"/>
      <c r="H12" s="32">
        <f>IF(D12="",0,(COUNTIF(D2:G17,D12)))</f>
        <v>8</v>
      </c>
      <c r="I12" s="33" t="s">
        <v>34</v>
      </c>
      <c r="J12" s="34">
        <f>IFERROR((VLOOKUP($BP$1&amp;D12,Teams!D:M,10,0)),0)</f>
        <v>16</v>
      </c>
      <c r="K12" s="35">
        <f t="shared" ref="K12:L12" si="37">IFERROR(L71,0)</f>
        <v>6</v>
      </c>
      <c r="L12" s="35">
        <f t="shared" si="37"/>
        <v>2</v>
      </c>
      <c r="M12" s="35" t="str">
        <f t="shared" ref="M12:O12" si="38">IFERROR(N71&amp;"+",0)</f>
        <v>3+</v>
      </c>
      <c r="N12" s="35" t="str">
        <f t="shared" si="38"/>
        <v>4+</v>
      </c>
      <c r="O12" s="35" t="str">
        <f t="shared" si="38"/>
        <v>8+</v>
      </c>
      <c r="P12" s="387" t="str">
        <f>IFERROR((IF(AW12="YES",(VLOOKUP($BP$1&amp;D12,Teams!D:M,7,0)&amp;BG12),AX12)),"")</f>
        <v>Dodge, Right Stuff, Stunty</v>
      </c>
      <c r="Q12" s="388"/>
      <c r="R12" s="388"/>
      <c r="S12" s="388"/>
      <c r="T12" s="388"/>
      <c r="U12" s="388"/>
      <c r="V12" s="388"/>
      <c r="W12" s="388"/>
      <c r="X12" s="388"/>
      <c r="Y12" s="388"/>
      <c r="Z12" s="389"/>
      <c r="AA12" s="82"/>
      <c r="AB12" s="82"/>
      <c r="AC12" s="83"/>
      <c r="AD12" s="83"/>
      <c r="AE12" s="83"/>
      <c r="AF12" s="84"/>
      <c r="AG12" s="84"/>
      <c r="AH12" s="84"/>
      <c r="AI12" s="84"/>
      <c r="AJ12" s="84">
        <v>1</v>
      </c>
      <c r="AK12" s="355">
        <f t="shared" si="12"/>
        <v>4</v>
      </c>
      <c r="AL12" s="356"/>
      <c r="AM12" s="355">
        <f t="shared" si="3"/>
        <v>4</v>
      </c>
      <c r="AN12" s="356"/>
      <c r="AO12" s="355">
        <f>IFERROR((VLOOKUP($BP$1&amp;D12,Teams!D:M,8,0)+AH47),0)</f>
        <v>40000</v>
      </c>
      <c r="AP12" s="356"/>
      <c r="AQ12" s="432"/>
      <c r="AR12" s="27">
        <f>IFERROR((IF(AA12&lt;&gt;"",0,((VLOOKUP($BP$1&amp;D12,Teams!D:M,9,0)+(AH47/1000))))),0)</f>
        <v>40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Goblin11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67" t="s">
        <v>1447</v>
      </c>
      <c r="C13" s="368"/>
      <c r="D13" s="386" t="s">
        <v>86</v>
      </c>
      <c r="E13" s="358"/>
      <c r="F13" s="358"/>
      <c r="G13" s="358"/>
      <c r="H13" s="32">
        <f>IF(D13="",0,(COUNTIF(D2:G17,D13)))</f>
        <v>8</v>
      </c>
      <c r="I13" s="33" t="s">
        <v>34</v>
      </c>
      <c r="J13" s="34">
        <f>IFERROR((VLOOKUP($BP$1&amp;D13,Teams!D:M,10,0)),0)</f>
        <v>16</v>
      </c>
      <c r="K13" s="35">
        <f t="shared" ref="K13:L13" si="39">IFERROR(L72,0)</f>
        <v>6</v>
      </c>
      <c r="L13" s="35">
        <f t="shared" si="39"/>
        <v>2</v>
      </c>
      <c r="M13" s="35" t="str">
        <f t="shared" ref="M13:O13" si="40">IFERROR(N72&amp;"+",0)</f>
        <v>3+</v>
      </c>
      <c r="N13" s="35" t="str">
        <f t="shared" si="40"/>
        <v>4+</v>
      </c>
      <c r="O13" s="35" t="str">
        <f t="shared" si="40"/>
        <v>8+</v>
      </c>
      <c r="P13" s="387" t="str">
        <f>IFERROR((IF(AW13="YES",(VLOOKUP($BP$1&amp;D13,Teams!D:M,7,0)&amp;BG13),AX13)),"")</f>
        <v>Dodge, Right Stuff, Stunty</v>
      </c>
      <c r="Q13" s="388"/>
      <c r="R13" s="388"/>
      <c r="S13" s="388"/>
      <c r="T13" s="388"/>
      <c r="U13" s="388"/>
      <c r="V13" s="388"/>
      <c r="W13" s="388"/>
      <c r="X13" s="388"/>
      <c r="Y13" s="388"/>
      <c r="Z13" s="389"/>
      <c r="AA13" s="82"/>
      <c r="AB13" s="82"/>
      <c r="AC13" s="83"/>
      <c r="AD13" s="83"/>
      <c r="AE13" s="83"/>
      <c r="AF13" s="84"/>
      <c r="AG13" s="84"/>
      <c r="AH13" s="84"/>
      <c r="AI13" s="84"/>
      <c r="AJ13" s="84"/>
      <c r="AK13" s="355">
        <f t="shared" si="12"/>
        <v>0</v>
      </c>
      <c r="AL13" s="356"/>
      <c r="AM13" s="355">
        <f t="shared" si="3"/>
        <v>0</v>
      </c>
      <c r="AN13" s="356"/>
      <c r="AO13" s="355">
        <f>IFERROR((VLOOKUP($BP$1&amp;D13,Teams!D:M,8,0)+AH48),0)</f>
        <v>40000</v>
      </c>
      <c r="AP13" s="356"/>
      <c r="AQ13" s="432"/>
      <c r="AR13" s="27">
        <f>IFERROR((IF(AA13&lt;&gt;"",0,((VLOOKUP($BP$1&amp;D13,Teams!D:M,9,0)+(AH48/1000))))),0)</f>
        <v>40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Goblin12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67" t="s">
        <v>1446</v>
      </c>
      <c r="C14" s="368"/>
      <c r="D14" s="386" t="s">
        <v>86</v>
      </c>
      <c r="E14" s="358"/>
      <c r="F14" s="358"/>
      <c r="G14" s="358"/>
      <c r="H14" s="32">
        <f>IF(D14="",0,(COUNTIF(D2:G17,D14)))</f>
        <v>8</v>
      </c>
      <c r="I14" s="33" t="s">
        <v>34</v>
      </c>
      <c r="J14" s="34">
        <f>IFERROR((VLOOKUP($BP$1&amp;D14,Teams!D:M,10,0)),0)</f>
        <v>16</v>
      </c>
      <c r="K14" s="35">
        <f t="shared" ref="K14:L14" si="41">IFERROR(L73,0)</f>
        <v>6</v>
      </c>
      <c r="L14" s="35">
        <f t="shared" si="41"/>
        <v>2</v>
      </c>
      <c r="M14" s="35" t="str">
        <f t="shared" ref="M14:O14" si="42">IFERROR(N73&amp;"+",0)</f>
        <v>3+</v>
      </c>
      <c r="N14" s="35" t="str">
        <f t="shared" si="42"/>
        <v>4+</v>
      </c>
      <c r="O14" s="35" t="str">
        <f t="shared" si="42"/>
        <v>8+</v>
      </c>
      <c r="P14" s="387" t="str">
        <f>IFERROR((IF(AW14="YES",(VLOOKUP($BP$1&amp;D14,Teams!D:M,7,0)&amp;BG14),AX14)),"")</f>
        <v>Dodge, Right Stuff, Stunty</v>
      </c>
      <c r="Q14" s="388"/>
      <c r="R14" s="388"/>
      <c r="S14" s="388"/>
      <c r="T14" s="388"/>
      <c r="U14" s="388"/>
      <c r="V14" s="388"/>
      <c r="W14" s="388"/>
      <c r="X14" s="388"/>
      <c r="Y14" s="388"/>
      <c r="Z14" s="389"/>
      <c r="AA14" s="82"/>
      <c r="AB14" s="82"/>
      <c r="AC14" s="83"/>
      <c r="AD14" s="83">
        <v>1</v>
      </c>
      <c r="AE14" s="83"/>
      <c r="AF14" s="84"/>
      <c r="AG14" s="84"/>
      <c r="AH14" s="84"/>
      <c r="AI14" s="84"/>
      <c r="AJ14" s="84"/>
      <c r="AK14" s="355">
        <f t="shared" si="12"/>
        <v>3</v>
      </c>
      <c r="AL14" s="356"/>
      <c r="AM14" s="355">
        <f t="shared" si="3"/>
        <v>3</v>
      </c>
      <c r="AN14" s="356"/>
      <c r="AO14" s="355">
        <f>IFERROR((VLOOKUP($BP$1&amp;D14,Teams!D:M,8,0)+AH49),0)</f>
        <v>40000</v>
      </c>
      <c r="AP14" s="356"/>
      <c r="AQ14" s="432"/>
      <c r="AR14" s="27">
        <f>IFERROR((IF(AA14&lt;&gt;"",0,((VLOOKUP($BP$1&amp;D14,Teams!D:M,9,0)+(AH49/1000))))),0)</f>
        <v>40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Goblin13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67" t="s">
        <v>1457</v>
      </c>
      <c r="C15" s="368"/>
      <c r="D15" s="386" t="s">
        <v>86</v>
      </c>
      <c r="E15" s="358"/>
      <c r="F15" s="358"/>
      <c r="G15" s="358"/>
      <c r="H15" s="32">
        <f>IF(D15="",0,(COUNTIF(D2:G17,D15)))</f>
        <v>8</v>
      </c>
      <c r="I15" s="33" t="s">
        <v>34</v>
      </c>
      <c r="J15" s="34">
        <f>IFERROR((VLOOKUP($BP$1&amp;D15,Teams!D:M,10,0)),0)</f>
        <v>16</v>
      </c>
      <c r="K15" s="35">
        <f t="shared" ref="K15:L15" si="43">IFERROR(L74,0)</f>
        <v>6</v>
      </c>
      <c r="L15" s="35">
        <f t="shared" si="43"/>
        <v>2</v>
      </c>
      <c r="M15" s="35" t="str">
        <f t="shared" ref="M15:O15" si="44">IFERROR(N74&amp;"+",0)</f>
        <v>3+</v>
      </c>
      <c r="N15" s="35" t="str">
        <f t="shared" si="44"/>
        <v>4+</v>
      </c>
      <c r="O15" s="35" t="str">
        <f t="shared" si="44"/>
        <v>8+</v>
      </c>
      <c r="P15" s="387" t="str">
        <f>IFERROR((IF(AW15="YES",(VLOOKUP($BP$1&amp;D15,Teams!D:M,7,0)&amp;BG15),AX15)),"")</f>
        <v>Dodge, Right Stuff, Stunty</v>
      </c>
      <c r="Q15" s="388"/>
      <c r="R15" s="388"/>
      <c r="S15" s="388"/>
      <c r="T15" s="388"/>
      <c r="U15" s="388"/>
      <c r="V15" s="388"/>
      <c r="W15" s="388"/>
      <c r="X15" s="388"/>
      <c r="Y15" s="388"/>
      <c r="Z15" s="389"/>
      <c r="AA15" s="82"/>
      <c r="AB15" s="82"/>
      <c r="AC15" s="83"/>
      <c r="AD15" s="83"/>
      <c r="AE15" s="83"/>
      <c r="AF15" s="84"/>
      <c r="AG15" s="84"/>
      <c r="AH15" s="84"/>
      <c r="AI15" s="84"/>
      <c r="AJ15" s="84"/>
      <c r="AK15" s="355">
        <f t="shared" si="12"/>
        <v>0</v>
      </c>
      <c r="AL15" s="356"/>
      <c r="AM15" s="355">
        <f t="shared" si="3"/>
        <v>0</v>
      </c>
      <c r="AN15" s="356"/>
      <c r="AO15" s="355">
        <f>IFERROR((VLOOKUP($BP$1&amp;D15,Teams!D:M,8,0)+AH50),0)</f>
        <v>40000</v>
      </c>
      <c r="AP15" s="356"/>
      <c r="AQ15" s="432"/>
      <c r="AR15" s="27">
        <f>IFERROR((IF(AA15&lt;&gt;"",0,((VLOOKUP($BP$1&amp;D15,Teams!D:M,9,0)+(AH50/1000))))),0)</f>
        <v>40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67" t="s">
        <v>1445</v>
      </c>
      <c r="C16" s="368"/>
      <c r="D16" s="386" t="s">
        <v>485</v>
      </c>
      <c r="E16" s="358"/>
      <c r="F16" s="358"/>
      <c r="G16" s="358"/>
      <c r="H16" s="32">
        <f t="shared" ref="H16:H17" si="45">IF(D16="",0,(COUNTIF(D2:G17,D16)))</f>
        <v>2</v>
      </c>
      <c r="I16" s="33" t="s">
        <v>34</v>
      </c>
      <c r="J16" s="34">
        <f>IFERROR((VLOOKUP($BP$1&amp;D16,Teams!D:M,10,0)),0)</f>
        <v>2</v>
      </c>
      <c r="K16" s="35">
        <f t="shared" ref="K16:L16" si="46">IFERROR(L75,0)</f>
        <v>4</v>
      </c>
      <c r="L16" s="35">
        <f t="shared" si="46"/>
        <v>5</v>
      </c>
      <c r="M16" s="35" t="str">
        <f t="shared" ref="M16:O16" si="47">IFERROR(N75&amp;"+",0)</f>
        <v>5+</v>
      </c>
      <c r="N16" s="35" t="str">
        <f t="shared" si="47"/>
        <v>5+</v>
      </c>
      <c r="O16" s="35" t="str">
        <f t="shared" si="47"/>
        <v>10+</v>
      </c>
      <c r="P16" s="387" t="str">
        <f>IFERROR((IF(AW16="YES",(VLOOKUP($BP$1&amp;D16,Teams!D:M,7,0)&amp;BG16),AX16)),"")</f>
        <v>Always Hungry, Loner (3+), Mighty Blow (+1), Projectile Vomit, Really Stupid, Regeneration, Throw Team-mate</v>
      </c>
      <c r="Q16" s="388"/>
      <c r="R16" s="388"/>
      <c r="S16" s="388"/>
      <c r="T16" s="388"/>
      <c r="U16" s="388"/>
      <c r="V16" s="388"/>
      <c r="W16" s="388"/>
      <c r="X16" s="388"/>
      <c r="Y16" s="388"/>
      <c r="Z16" s="389"/>
      <c r="AA16" s="82"/>
      <c r="AB16" s="82"/>
      <c r="AC16" s="83"/>
      <c r="AD16" s="83"/>
      <c r="AE16" s="83"/>
      <c r="AF16" s="84"/>
      <c r="AG16" s="84"/>
      <c r="AH16" s="84">
        <v>2</v>
      </c>
      <c r="AI16" s="84"/>
      <c r="AJ16" s="84"/>
      <c r="AK16" s="355">
        <f t="shared" si="12"/>
        <v>4</v>
      </c>
      <c r="AL16" s="356"/>
      <c r="AM16" s="355">
        <f t="shared" si="3"/>
        <v>4</v>
      </c>
      <c r="AN16" s="356"/>
      <c r="AO16" s="355">
        <f>IFERROR((VLOOKUP($BP$1&amp;D16,Teams!D:M,8,0)+AH51),0)</f>
        <v>115000</v>
      </c>
      <c r="AP16" s="356"/>
      <c r="AQ16" s="432"/>
      <c r="AR16" s="27">
        <f>IFERROR((IF(AA16&lt;&gt;"",0,((VLOOKUP($BP$1&amp;D16,Teams!D:M,9,0)+(AH51/1000))))),0)</f>
        <v>115</v>
      </c>
      <c r="AS16" s="28">
        <f>IFERROR((VLOOKUP($BP$1&amp;D16,Teams!D:N,11,0)),0)</f>
        <v>1</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67" t="s">
        <v>1444</v>
      </c>
      <c r="C17" s="368"/>
      <c r="D17" s="446" t="s">
        <v>485</v>
      </c>
      <c r="E17" s="358"/>
      <c r="F17" s="358"/>
      <c r="G17" s="358"/>
      <c r="H17" s="32">
        <f t="shared" si="45"/>
        <v>2</v>
      </c>
      <c r="I17" s="33" t="s">
        <v>34</v>
      </c>
      <c r="J17" s="34">
        <f>IFERROR((VLOOKUP($BP$1&amp;D17,Teams!D:M,10,0)),0)</f>
        <v>2</v>
      </c>
      <c r="K17" s="35">
        <f t="shared" ref="K17:L17" si="48">IFERROR(L76,0)</f>
        <v>4</v>
      </c>
      <c r="L17" s="35">
        <f t="shared" si="48"/>
        <v>5</v>
      </c>
      <c r="M17" s="35" t="str">
        <f t="shared" ref="M17:O17" si="49">IFERROR(N76&amp;"+",0)</f>
        <v>5+</v>
      </c>
      <c r="N17" s="35" t="str">
        <f t="shared" si="49"/>
        <v>5+</v>
      </c>
      <c r="O17" s="35" t="str">
        <f t="shared" si="49"/>
        <v>10+</v>
      </c>
      <c r="P17" s="387" t="str">
        <f>IFERROR((IF(AW17="YES",(VLOOKUP($BP$1&amp;D17,Teams!D:M,7,0)&amp;BG17),AX17)),"")</f>
        <v>Always Hungry, Loner (3+), Mighty Blow (+1), Projectile Vomit, Really Stupid, Regeneration, Throw Team-mate</v>
      </c>
      <c r="Q17" s="388"/>
      <c r="R17" s="388"/>
      <c r="S17" s="388"/>
      <c r="T17" s="388"/>
      <c r="U17" s="388"/>
      <c r="V17" s="388"/>
      <c r="W17" s="388"/>
      <c r="X17" s="388"/>
      <c r="Y17" s="388"/>
      <c r="Z17" s="389"/>
      <c r="AA17" s="82"/>
      <c r="AB17" s="82"/>
      <c r="AC17" s="83"/>
      <c r="AD17" s="83"/>
      <c r="AE17" s="83"/>
      <c r="AF17" s="84"/>
      <c r="AG17" s="84"/>
      <c r="AH17" s="84"/>
      <c r="AI17" s="84"/>
      <c r="AJ17" s="84">
        <v>1</v>
      </c>
      <c r="AK17" s="355">
        <f>AB17+AC17+(AD17*3)+AE17+(AF17*2)+(AG17*2)+(AH17*2)+(AI17*2)+(AJ17*4)</f>
        <v>4</v>
      </c>
      <c r="AL17" s="356"/>
      <c r="AM17" s="355">
        <f>AK17-AJ52</f>
        <v>4</v>
      </c>
      <c r="AN17" s="356"/>
      <c r="AO17" s="355">
        <f>IFERROR((VLOOKUP($BP$1&amp;D17,Teams!D:M,8,0)+AH52),0)</f>
        <v>115000</v>
      </c>
      <c r="AP17" s="356"/>
      <c r="AQ17" s="432"/>
      <c r="AR17" s="27">
        <f>IFERROR((IF(AA17&lt;&gt;"",0,((VLOOKUP($BP$1&amp;D17,Teams!D:M,9,0)+(AH52/1000)-(AB52/1000))))),0)</f>
        <v>115</v>
      </c>
      <c r="AS17" s="28">
        <f>IFERROR((VLOOKUP($BP$1&amp;D17,Teams!D:N,11,0)),0)</f>
        <v>1</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452" t="str">
        <f>IF($K$25="Italiano","Star Player &amp; Mercenario",(IF($K$25="Español","Jugadores Estrella &amp; Mercenario",(IF($K$25="Français","Star Player &amp; Mercenaire",(IF($K$25="Deutsch","Starspielers &amp; Mercenary","Star Player &amp; Mercenary")))))))</f>
        <v>Star Player &amp; Mercenary</v>
      </c>
      <c r="C18" s="453"/>
      <c r="D18" s="447"/>
      <c r="E18" s="448"/>
      <c r="F18" s="448"/>
      <c r="G18" s="449"/>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390">
        <f>IFERROR((IF(H18&gt;J18,AT18,VLOOKUP(D18,StarPlayers!B:K,7,0))),0)</f>
        <v>0</v>
      </c>
      <c r="Q18" s="391"/>
      <c r="R18" s="391"/>
      <c r="S18" s="391"/>
      <c r="T18" s="391"/>
      <c r="U18" s="391"/>
      <c r="V18" s="391"/>
      <c r="W18" s="391"/>
      <c r="X18" s="391"/>
      <c r="Y18" s="391"/>
      <c r="Z18" s="356"/>
      <c r="AA18" s="390">
        <f>IFERROR((IF(H18&gt;J18,AT18,VLOOKUP(D18,StarPlayers!B:K,8,0))),0)</f>
        <v>0</v>
      </c>
      <c r="AB18" s="391"/>
      <c r="AC18" s="391"/>
      <c r="AD18" s="391"/>
      <c r="AE18" s="391"/>
      <c r="AF18" s="391"/>
      <c r="AG18" s="391"/>
      <c r="AH18" s="391"/>
      <c r="AI18" s="391"/>
      <c r="AJ18" s="391"/>
      <c r="AK18" s="391"/>
      <c r="AL18" s="391"/>
      <c r="AM18" s="391"/>
      <c r="AN18" s="356"/>
      <c r="AO18" s="355">
        <f>IFERROR((VLOOKUP(D18,StarPlayers!B:K,9,0)),0)</f>
        <v>0</v>
      </c>
      <c r="AP18" s="356"/>
      <c r="AQ18" s="432"/>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452" t="str">
        <f>IF($K$25="Italiano","Star Player &amp; Mercenario",(IF($K$25="Español","Jugadores Estrella &amp; Mercenario",(IF($K$25="Français","Star Player &amp; Mercenaire",(IF($K$25="Deutsch","Starspielers &amp; Mercenary","Star Player &amp; Mercenary")))))))</f>
        <v>Star Player &amp; Mercenary</v>
      </c>
      <c r="C19" s="453"/>
      <c r="D19" s="447"/>
      <c r="E19" s="448"/>
      <c r="F19" s="448"/>
      <c r="G19" s="449"/>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390">
        <f>IFERROR((IF(H19&gt;J19,AT19,VLOOKUP(D19,StarPlayers!B:K,7,0))),0)</f>
        <v>0</v>
      </c>
      <c r="Q19" s="391"/>
      <c r="R19" s="391"/>
      <c r="S19" s="391"/>
      <c r="T19" s="391"/>
      <c r="U19" s="391"/>
      <c r="V19" s="391"/>
      <c r="W19" s="391"/>
      <c r="X19" s="391"/>
      <c r="Y19" s="391"/>
      <c r="Z19" s="356"/>
      <c r="AA19" s="390">
        <f>IFERROR((IF(H19&gt;J19,AT19,VLOOKUP(D19,StarPlayers!B:K,8,0))),0)</f>
        <v>0</v>
      </c>
      <c r="AB19" s="391"/>
      <c r="AC19" s="391"/>
      <c r="AD19" s="391"/>
      <c r="AE19" s="391"/>
      <c r="AF19" s="391"/>
      <c r="AG19" s="391"/>
      <c r="AH19" s="391"/>
      <c r="AI19" s="391"/>
      <c r="AJ19" s="391"/>
      <c r="AK19" s="391"/>
      <c r="AL19" s="391"/>
      <c r="AM19" s="391"/>
      <c r="AN19" s="356"/>
      <c r="AO19" s="355">
        <f>IFERROR((VLOOKUP(D19,StarPlayers!B:K,9,0)),0)</f>
        <v>0</v>
      </c>
      <c r="AP19" s="356"/>
      <c r="AQ19" s="432"/>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452" t="str">
        <f>IF($K$25="Italiano","Mercenario",(IF($K$25="Español","Mercenario",(IF($K$25="Français","Mercenaire","Mercenary")))))</f>
        <v>Mercenary</v>
      </c>
      <c r="C20" s="453"/>
      <c r="D20" s="454"/>
      <c r="E20" s="455"/>
      <c r="F20" s="455"/>
      <c r="G20" s="456"/>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390">
        <f>IFERROR((IF(H20&gt;J20,AT20,VLOOKUP(D20,StarPlayers!B:K,7,0))),0)</f>
        <v>0</v>
      </c>
      <c r="Q20" s="391"/>
      <c r="R20" s="391"/>
      <c r="S20" s="391"/>
      <c r="T20" s="391"/>
      <c r="U20" s="391"/>
      <c r="V20" s="391"/>
      <c r="W20" s="391"/>
      <c r="X20" s="391"/>
      <c r="Y20" s="391"/>
      <c r="Z20" s="356"/>
      <c r="AA20" s="390">
        <f>IFERROR((IF(H20&gt;J20,AT20,VLOOKUP(D20,StarPlayers!B:K,8,0))),0)</f>
        <v>0</v>
      </c>
      <c r="AB20" s="391"/>
      <c r="AC20" s="391"/>
      <c r="AD20" s="391"/>
      <c r="AE20" s="391"/>
      <c r="AF20" s="391"/>
      <c r="AG20" s="391"/>
      <c r="AH20" s="391"/>
      <c r="AI20" s="391"/>
      <c r="AJ20" s="391"/>
      <c r="AK20" s="391"/>
      <c r="AL20" s="391"/>
      <c r="AM20" s="391"/>
      <c r="AN20" s="356"/>
      <c r="AO20" s="355">
        <f>IFERROR((VLOOKUP(D20,StarPlayers!B:K,9,0)),0)</f>
        <v>0</v>
      </c>
      <c r="AP20" s="356"/>
      <c r="AQ20" s="432"/>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437"/>
      <c r="B21" s="438"/>
      <c r="C21" s="438"/>
      <c r="D21" s="404" t="str">
        <f>IF($K$25="Español","ESPÓNSOR","SPONSORS")</f>
        <v>SPONSORS</v>
      </c>
      <c r="E21" s="405"/>
      <c r="F21" s="405"/>
      <c r="G21" s="405"/>
      <c r="H21" s="405"/>
      <c r="I21" s="405"/>
      <c r="J21" s="405"/>
      <c r="K21" s="357" t="s">
        <v>126</v>
      </c>
      <c r="L21" s="358"/>
      <c r="M21" s="358"/>
      <c r="N21" s="358"/>
      <c r="O21" s="358"/>
      <c r="P21" s="358"/>
      <c r="Q21" s="358"/>
      <c r="R21" s="359"/>
      <c r="S21" s="360" t="str">
        <f>IF($K$25="Italiano","TIFOSI SFEGATAZI INIZIALI",(IF($K$25="Español","FANS DEVOTOS INICIALES",(IF($K$25="Deutsch","INITIAL TREUE FANS",(IF($K$25="Français","FANS DÉVOUÉS INITIAUX","INITIAL DEDICATED FANS")))))))</f>
        <v>INITIAL DEDICATED FANS</v>
      </c>
      <c r="T21" s="361"/>
      <c r="U21" s="361"/>
      <c r="V21" s="361"/>
      <c r="W21" s="362"/>
      <c r="X21" s="86">
        <v>1</v>
      </c>
      <c r="Y21" s="47" t="s">
        <v>127</v>
      </c>
      <c r="Z21" s="363">
        <v>10000</v>
      </c>
      <c r="AA21" s="364"/>
      <c r="AB21" s="48" t="str">
        <f t="shared" ref="AB21:AB31" si="51">IF($K$25="Español","mo",(IF($K$25="Deutsch","gm",(IF($K$25="Français","po","gp")))))</f>
        <v>gp</v>
      </c>
      <c r="AC21" s="365">
        <f>IFERROR(((IF(X21=0,0,(IF(X21=1,0,X21-1))))*Z21),0)</f>
        <v>0</v>
      </c>
      <c r="AD21" s="362"/>
      <c r="AE21" s="360" t="str">
        <f>IF($K$25="Italiano","REROLLS TOTALI",(IF($K$25="Español","SEGUNDAS OPORTUNIDADES TOTALES",(IF($K$25="Deutsch","TOTAL WIEDERHOLUNGSWÜRFE",(IF($K$25="Français","RELANCES TOTALES","TOTAL REROLLS")))))))</f>
        <v>TOTAL REROLLS</v>
      </c>
      <c r="AF21" s="361"/>
      <c r="AG21" s="361"/>
      <c r="AH21" s="361"/>
      <c r="AI21" s="362"/>
      <c r="AJ21" s="366">
        <f>AJ22+AJ23</f>
        <v>3</v>
      </c>
      <c r="AK21" s="361"/>
      <c r="AL21" s="361"/>
      <c r="AM21" s="361"/>
      <c r="AN21" s="361"/>
      <c r="AO21" s="361"/>
      <c r="AP21" s="362"/>
      <c r="AQ21" s="432"/>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439"/>
      <c r="B22" s="440"/>
      <c r="C22" s="440"/>
      <c r="D22" s="404" t="str">
        <f>IF($K$25="Italiano","STADIO",(IF($K$25="Español","ESTADIO",(IF($K$25="Deutsch","STADION",(IF($K$25="Français","STADE","STADIUM")))))))</f>
        <v>STADIUM</v>
      </c>
      <c r="E22" s="405"/>
      <c r="F22" s="405"/>
      <c r="G22" s="405"/>
      <c r="H22" s="405"/>
      <c r="I22" s="405"/>
      <c r="J22" s="405"/>
      <c r="K22" s="357" t="s">
        <v>1357</v>
      </c>
      <c r="L22" s="358"/>
      <c r="M22" s="358"/>
      <c r="N22" s="358"/>
      <c r="O22" s="358"/>
      <c r="P22" s="358"/>
      <c r="Q22" s="358"/>
      <c r="R22" s="359"/>
      <c r="S22" s="360"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361"/>
      <c r="U22" s="361"/>
      <c r="V22" s="361"/>
      <c r="W22" s="362"/>
      <c r="X22" s="86">
        <v>0</v>
      </c>
      <c r="Y22" s="47" t="s">
        <v>127</v>
      </c>
      <c r="Z22" s="363">
        <f>IFERROR(IF(OR(BP1="Necromantic",BP1="Shambling Undead",BP1="Nurgle"),100000,(VLOOKUP(BP1,BM:BR,6,0))),0)</f>
        <v>50000</v>
      </c>
      <c r="AA22" s="364"/>
      <c r="AB22" s="48" t="str">
        <f t="shared" si="51"/>
        <v>gp</v>
      </c>
      <c r="AC22" s="365">
        <f>IFERROR(X22*Z22,0)</f>
        <v>0</v>
      </c>
      <c r="AD22" s="362"/>
      <c r="AE22" s="360" t="str">
        <f>IF($K$25="Italiano","REROLLS INIZIALI",(IF($K$25="Español","SEGUNDAS OPORTUNIDADES INICIALES",(IF($K$25="Deutsch","INITIAL WIEDERHOLUNGSWÜRFE",(IF($K$25="Français","RELANCES INITIALES","INITIAL REROLLS")))))))</f>
        <v>INITIAL REROLLS</v>
      </c>
      <c r="AF22" s="361"/>
      <c r="AG22" s="361"/>
      <c r="AH22" s="361"/>
      <c r="AI22" s="362"/>
      <c r="AJ22" s="86">
        <v>3</v>
      </c>
      <c r="AK22" s="47" t="s">
        <v>127</v>
      </c>
      <c r="AL22" s="363">
        <f>IFERROR(VLOOKUP(BP1,BM:BQ,5,0),0)</f>
        <v>60000</v>
      </c>
      <c r="AM22" s="364"/>
      <c r="AN22" s="49" t="str">
        <f t="shared" ref="AN22:AN31" si="52">IF($K$25="Español","mo",(IF($K$25="Deutsch","gm",(IF($K$25="Français","po","gp")))))</f>
        <v>gp</v>
      </c>
      <c r="AO22" s="365">
        <f t="shared" ref="AO22:AO31" si="53">IFERROR(AJ22*AL22,0)</f>
        <v>180000</v>
      </c>
      <c r="AP22" s="362"/>
      <c r="AQ22" s="432"/>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439"/>
      <c r="B23" s="440"/>
      <c r="C23" s="440"/>
      <c r="D23" s="404" t="str">
        <f>IF($K$25="Italiano","RAZZA",(IF($K$25="Español","RAZA",(IF($K$25="Deutsch","RASSE",(IF($K$25="Français","TYPE D’ÉQUIPE","RACE")))))))</f>
        <v>RACE</v>
      </c>
      <c r="E23" s="405"/>
      <c r="F23" s="405"/>
      <c r="G23" s="405"/>
      <c r="H23" s="405"/>
      <c r="I23" s="405"/>
      <c r="J23" s="405"/>
      <c r="K23" s="410" t="s">
        <v>86</v>
      </c>
      <c r="L23" s="358"/>
      <c r="M23" s="358"/>
      <c r="N23" s="358"/>
      <c r="O23" s="358"/>
      <c r="P23" s="358"/>
      <c r="Q23" s="358"/>
      <c r="R23" s="359"/>
      <c r="S23" s="360" t="str">
        <f>IF($K$25="Español","ANIMADORAS",(IF($K$25="Deutsch","CHEERLEADER","CHEERLEADERS")))</f>
        <v>CHEERLEADERS</v>
      </c>
      <c r="T23" s="361"/>
      <c r="U23" s="361"/>
      <c r="V23" s="361"/>
      <c r="W23" s="362"/>
      <c r="X23" s="86">
        <v>0</v>
      </c>
      <c r="Y23" s="47" t="s">
        <v>127</v>
      </c>
      <c r="Z23" s="363">
        <v>10000</v>
      </c>
      <c r="AA23" s="364"/>
      <c r="AB23" s="48" t="str">
        <f t="shared" si="51"/>
        <v>gp</v>
      </c>
      <c r="AC23" s="365">
        <f t="shared" ref="AC23:AC31" si="54">IFERROR(X23*Z23,0)</f>
        <v>0</v>
      </c>
      <c r="AD23" s="362"/>
      <c r="AE23" s="360" t="str">
        <f>IF($K$25="Italiano","REROLLS ACQUISITI",(IF($K$25="Español","SEGUNDAS OPORTUNIDADES ADQUIRIDAS",(IF($K$25="Deutsch","GEKAUFTE WIEDERHOLUNGSWÜRFE",(IF($K$25="Français","RELANCES ACHETÉES","ACQUIRED REROLLS")))))))</f>
        <v>ACQUIRED REROLLS</v>
      </c>
      <c r="AF23" s="361"/>
      <c r="AG23" s="361"/>
      <c r="AH23" s="361"/>
      <c r="AI23" s="362"/>
      <c r="AJ23" s="86">
        <v>0</v>
      </c>
      <c r="AK23" s="47" t="s">
        <v>127</v>
      </c>
      <c r="AL23" s="363">
        <f>IFERROR((VLOOKUP(BP1,BM:BQ,5,0))*2,0)</f>
        <v>120000</v>
      </c>
      <c r="AM23" s="364"/>
      <c r="AN23" s="49" t="str">
        <f t="shared" si="52"/>
        <v>gp</v>
      </c>
      <c r="AO23" s="365">
        <f t="shared" si="53"/>
        <v>0</v>
      </c>
      <c r="AP23" s="362"/>
      <c r="AQ23" s="432"/>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439"/>
      <c r="B24" s="440"/>
      <c r="C24" s="440"/>
      <c r="D24" s="404" t="str">
        <f>IF($K$25="Italiano","ALLENATORE CAPO",(IF($K$25="Español","ENTRENADOR",(IF($K$25="Deutsch","CHEFTRAINER",(IF($K$25="Français","COACH","HEAD COACH")))))))</f>
        <v>HEAD COACH</v>
      </c>
      <c r="E24" s="405"/>
      <c r="F24" s="405"/>
      <c r="G24" s="405"/>
      <c r="H24" s="405"/>
      <c r="I24" s="405"/>
      <c r="J24" s="405"/>
      <c r="K24" s="357" t="s">
        <v>1438</v>
      </c>
      <c r="L24" s="358"/>
      <c r="M24" s="358"/>
      <c r="N24" s="358"/>
      <c r="O24" s="358"/>
      <c r="P24" s="358"/>
      <c r="Q24" s="358"/>
      <c r="R24" s="359"/>
      <c r="S24" s="360" t="str">
        <f>IF($K$25="Italiano","ASSISTENTI ALLENATORI",(IF($K$25="Español","AYUDANTES ENTRENADOR",(IF($K$25="Deutsch","TRAINERASSISTENTEN",(IF($K$25="Français","COACHS ASSIST","ASSISTANT COACHES")))))))</f>
        <v>ASSISTANT COACHES</v>
      </c>
      <c r="T24" s="361"/>
      <c r="U24" s="361"/>
      <c r="V24" s="361"/>
      <c r="W24" s="362"/>
      <c r="X24" s="86">
        <v>0</v>
      </c>
      <c r="Y24" s="47" t="s">
        <v>127</v>
      </c>
      <c r="Z24" s="363">
        <v>10000</v>
      </c>
      <c r="AA24" s="364"/>
      <c r="AB24" s="48" t="str">
        <f t="shared" si="51"/>
        <v>gp</v>
      </c>
      <c r="AC24" s="365">
        <f t="shared" si="54"/>
        <v>0</v>
      </c>
      <c r="AD24" s="362"/>
      <c r="AE24" s="426" t="str">
        <f>IF($K$25="Italiano","MAGO DEL CLIMA",(IF($K$25="Español","MAGO DEL TIEMPO",(IF($K$25="Deutsch","WETTERMAGIER",(IF($K$25="Français","MAGE MÉTÉO","WEATHER MAGE")))))))</f>
        <v>WEATHER MAGE</v>
      </c>
      <c r="AF24" s="361"/>
      <c r="AG24" s="361"/>
      <c r="AH24" s="361"/>
      <c r="AI24" s="362"/>
      <c r="AJ24" s="86">
        <v>0</v>
      </c>
      <c r="AK24" s="47" t="s">
        <v>127</v>
      </c>
      <c r="AL24" s="363">
        <v>30000</v>
      </c>
      <c r="AM24" s="364"/>
      <c r="AN24" s="48" t="str">
        <f t="shared" si="52"/>
        <v>gp</v>
      </c>
      <c r="AO24" s="365">
        <f t="shared" si="53"/>
        <v>0</v>
      </c>
      <c r="AP24" s="362"/>
      <c r="AQ24" s="432"/>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439"/>
      <c r="B25" s="440"/>
      <c r="C25" s="440"/>
      <c r="D25" s="404" t="str">
        <f>IF($K$25="Italiano","LINGUA",(IF($K$25="Español","IDIOMA",(IF($K$25="Deutsch","SPRACHE",(IF($K$25="Français","LANGUE","LANGUAGE")))))))</f>
        <v>LANGUAGE</v>
      </c>
      <c r="E25" s="405"/>
      <c r="F25" s="405"/>
      <c r="G25" s="405"/>
      <c r="H25" s="405"/>
      <c r="I25" s="405"/>
      <c r="J25" s="405"/>
      <c r="K25" s="430" t="s">
        <v>148</v>
      </c>
      <c r="L25" s="358"/>
      <c r="M25" s="358"/>
      <c r="N25" s="358"/>
      <c r="O25" s="358"/>
      <c r="P25" s="358"/>
      <c r="Q25" s="358"/>
      <c r="R25" s="359"/>
      <c r="S25" s="426" t="str">
        <f>IF($K$25="Italiano","FUSTI DI BLOODWEISER",(IF($K$25="Español","BARRILES BLOODWEISER",(IF($K$25="Français","FÛTS DE BLOODWEISER","BLOODWEISER KEGS")))))</f>
        <v>BLOODWEISER KEGS</v>
      </c>
      <c r="T25" s="361"/>
      <c r="U25" s="361"/>
      <c r="V25" s="361"/>
      <c r="W25" s="362"/>
      <c r="X25" s="86">
        <v>0</v>
      </c>
      <c r="Y25" s="47" t="s">
        <v>127</v>
      </c>
      <c r="Z25" s="363">
        <v>50000</v>
      </c>
      <c r="AA25" s="364"/>
      <c r="AB25" s="48" t="str">
        <f t="shared" si="51"/>
        <v>gp</v>
      </c>
      <c r="AC25" s="365">
        <f t="shared" si="54"/>
        <v>0</v>
      </c>
      <c r="AD25" s="362"/>
      <c r="AE25" s="377" t="s">
        <v>149</v>
      </c>
      <c r="AF25" s="358"/>
      <c r="AG25" s="358"/>
      <c r="AH25" s="358"/>
      <c r="AI25" s="359"/>
      <c r="AJ25" s="86">
        <v>0</v>
      </c>
      <c r="AK25" s="47" t="s">
        <v>127</v>
      </c>
      <c r="AL25" s="363">
        <f>IFERROR((VLOOKUP(AE25,BI59:BJ85,2,FALSE)),0)</f>
        <v>0</v>
      </c>
      <c r="AM25" s="364"/>
      <c r="AN25" s="48" t="str">
        <f t="shared" si="52"/>
        <v>gp</v>
      </c>
      <c r="AO25" s="365">
        <f t="shared" si="53"/>
        <v>0</v>
      </c>
      <c r="AP25" s="362"/>
      <c r="AQ25" s="432"/>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439"/>
      <c r="B26" s="440"/>
      <c r="C26" s="440"/>
      <c r="D26" s="404" t="str">
        <f>IF($K$25="Italiano","NOME SQUADRA",(IF($K$25="Español","NOMBRE DEL EQUIPO",(IF($K$25="Français","NOM D’ÉQUIPE","TEAM NAME")))))</f>
        <v>TEAM NAME</v>
      </c>
      <c r="E26" s="405"/>
      <c r="F26" s="405"/>
      <c r="G26" s="405"/>
      <c r="H26" s="405"/>
      <c r="I26" s="405"/>
      <c r="J26" s="405"/>
      <c r="K26" s="369" t="s">
        <v>1439</v>
      </c>
      <c r="L26" s="361"/>
      <c r="M26" s="361"/>
      <c r="N26" s="361"/>
      <c r="O26" s="361"/>
      <c r="P26" s="361"/>
      <c r="Q26" s="361"/>
      <c r="R26" s="362"/>
      <c r="S26" s="360" t="str">
        <f>IF($K$25="Italiano","CARTE SPECIALI",(IF($K$25="Español","CARTA ESPECIAL",(IF($K$25="Deutsch","SONDERKARTEN",(IF($K$25="Français","CARTE SPECIALE","SPECIAL CARD")))))))</f>
        <v>SPECIAL CARD</v>
      </c>
      <c r="T26" s="361"/>
      <c r="U26" s="361"/>
      <c r="V26" s="361"/>
      <c r="W26" s="362"/>
      <c r="X26" s="86">
        <v>0</v>
      </c>
      <c r="Y26" s="47" t="s">
        <v>127</v>
      </c>
      <c r="Z26" s="363">
        <v>100000</v>
      </c>
      <c r="AA26" s="364"/>
      <c r="AB26" s="48" t="str">
        <f t="shared" si="51"/>
        <v>gp</v>
      </c>
      <c r="AC26" s="365">
        <f t="shared" si="54"/>
        <v>0</v>
      </c>
      <c r="AD26" s="362"/>
      <c r="AE26" s="377" t="s">
        <v>154</v>
      </c>
      <c r="AF26" s="358"/>
      <c r="AG26" s="358"/>
      <c r="AH26" s="358"/>
      <c r="AI26" s="359"/>
      <c r="AJ26" s="86">
        <v>0</v>
      </c>
      <c r="AK26" s="47" t="s">
        <v>127</v>
      </c>
      <c r="AL26" s="363">
        <f>IFERROR(VLOOKUP(AE26,BE59:BF85,2,FALSE),0)</f>
        <v>0</v>
      </c>
      <c r="AM26" s="364"/>
      <c r="AN26" s="48" t="str">
        <f t="shared" si="52"/>
        <v>gp</v>
      </c>
      <c r="AO26" s="365">
        <f t="shared" si="53"/>
        <v>0</v>
      </c>
      <c r="AP26" s="362"/>
      <c r="AQ26" s="432"/>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439"/>
      <c r="B27" s="440"/>
      <c r="C27" s="440"/>
      <c r="D27" s="404" t="str">
        <f>IF($K$25="Italiano","TIFOSI SFEGATATI",(IF($K$25="Español","FANS DEDICADOS",(IF($K$25="Deutsch","TREUE FANS",(IF($K$25="Français","FANS DÉVOUÉS","DEDICATED FANS")))))))</f>
        <v>DEDICATED FANS</v>
      </c>
      <c r="E27" s="405"/>
      <c r="F27" s="405"/>
      <c r="G27" s="405"/>
      <c r="H27" s="405"/>
      <c r="I27" s="405"/>
      <c r="J27" s="405"/>
      <c r="K27" s="450">
        <f>X21+Games!X2+Games!AC2</f>
        <v>2</v>
      </c>
      <c r="L27" s="403"/>
      <c r="M27" s="403"/>
      <c r="N27" s="403"/>
      <c r="O27" s="403"/>
      <c r="P27" s="403"/>
      <c r="Q27" s="403"/>
      <c r="R27" s="451"/>
      <c r="S27" s="427" t="str">
        <f>IF($K$25="Italiano","CHEERLEADERS AG. INT.",(IF($K$25="Español","ANIMADORAS TEMP.",(IF($K$25="Deutsch","ZEITARBEITS-CHEERLEADER",(IF($K$25="Français","CHEERLEADERS INTERIM.","TEMP. CHEERLEADERS")))))))</f>
        <v>TEMP. CHEERLEADERS</v>
      </c>
      <c r="T27" s="375"/>
      <c r="U27" s="375"/>
      <c r="V27" s="375"/>
      <c r="W27" s="428"/>
      <c r="X27" s="87">
        <v>0</v>
      </c>
      <c r="Y27" s="50" t="s">
        <v>127</v>
      </c>
      <c r="Z27" s="429">
        <v>20000</v>
      </c>
      <c r="AA27" s="376"/>
      <c r="AB27" s="51" t="str">
        <f t="shared" si="51"/>
        <v>gp</v>
      </c>
      <c r="AC27" s="365">
        <f t="shared" si="54"/>
        <v>0</v>
      </c>
      <c r="AD27" s="362"/>
      <c r="AE27" s="424" t="str">
        <f>BE59</f>
        <v>(IN)FAMOUS COACHES</v>
      </c>
      <c r="AF27" s="358"/>
      <c r="AG27" s="358"/>
      <c r="AH27" s="358"/>
      <c r="AI27" s="359"/>
      <c r="AJ27" s="86">
        <v>0</v>
      </c>
      <c r="AK27" s="47" t="s">
        <v>127</v>
      </c>
      <c r="AL27" s="363">
        <f>IFERROR(VLOOKUP(AE27,BE59:BF85,2,FALSE),0)</f>
        <v>0</v>
      </c>
      <c r="AM27" s="364"/>
      <c r="AN27" s="48" t="str">
        <f t="shared" si="52"/>
        <v>gp</v>
      </c>
      <c r="AO27" s="365">
        <f t="shared" si="53"/>
        <v>0</v>
      </c>
      <c r="AP27" s="362"/>
      <c r="AQ27" s="432"/>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439"/>
      <c r="B28" s="440"/>
      <c r="C28" s="440"/>
      <c r="D28" s="404" t="str">
        <f>IF($K$25="Italiano","COSTI INCENTIVI &amp; EXTRA",(IF($K$25="Español","COSTE INCENTIVOS Y EXTRAS",(IF($K$25="Deutsch","GESAMTER TEAMWERT &amp; EXTRAS",(IF($K$25="Français","COUPS DE POUCES &amp; STAFF","COST INDUCEMENTS &amp; EXTRAS")))))))</f>
        <v>COST INDUCEMENTS &amp; EXTRAS</v>
      </c>
      <c r="E28" s="405"/>
      <c r="F28" s="405"/>
      <c r="G28" s="405"/>
      <c r="H28" s="405"/>
      <c r="I28" s="405"/>
      <c r="J28" s="405"/>
      <c r="K28" s="400">
        <f>(SUM(AC21:AD31,AO22:AP31,AO18:AP20))/1000</f>
        <v>180</v>
      </c>
      <c r="L28" s="361"/>
      <c r="M28" s="361"/>
      <c r="N28" s="364"/>
      <c r="O28" s="52" t="str">
        <f>IF($K$25="Español","k mo",(IF($K$25="Deutsch","k gm",(IF($K$25="Français","k po","k gp")))))</f>
        <v>k gp</v>
      </c>
      <c r="P28" s="52"/>
      <c r="Q28" s="52"/>
      <c r="R28" s="53"/>
      <c r="S28" s="360" t="str">
        <f>IF($K$25="Italiano","ASSISTENTI ALLENATORI P.T.",(IF($K$25="Español","AYUDANTES ENTRENADOR T.P.",(IF($K$25="Deutsch","TEILZEIT-TRAINERASSISTENTEN",(IF($K$25="Français","COACHS ASSIST INTERIM.","P.T. ASSISTANT COACHES")))))))</f>
        <v>P.T. ASSISTANT COACHES</v>
      </c>
      <c r="T28" s="361"/>
      <c r="U28" s="361"/>
      <c r="V28" s="361"/>
      <c r="W28" s="362"/>
      <c r="X28" s="86">
        <v>0</v>
      </c>
      <c r="Y28" s="47" t="s">
        <v>127</v>
      </c>
      <c r="Z28" s="363">
        <v>20000</v>
      </c>
      <c r="AA28" s="364"/>
      <c r="AB28" s="48" t="str">
        <f t="shared" si="51"/>
        <v>gp</v>
      </c>
      <c r="AC28" s="365">
        <f t="shared" si="54"/>
        <v>0</v>
      </c>
      <c r="AD28" s="362"/>
      <c r="AE28" s="424" t="s">
        <v>164</v>
      </c>
      <c r="AF28" s="358"/>
      <c r="AG28" s="358"/>
      <c r="AH28" s="358"/>
      <c r="AI28" s="359"/>
      <c r="AJ28" s="86">
        <v>0</v>
      </c>
      <c r="AK28" s="47" t="s">
        <v>127</v>
      </c>
      <c r="AL28" s="363">
        <f>IFERROR(VLOOKUP(AE28,BM59:BN85,2,FALSE),0)</f>
        <v>0</v>
      </c>
      <c r="AM28" s="364"/>
      <c r="AN28" s="48" t="str">
        <f t="shared" si="52"/>
        <v>gp</v>
      </c>
      <c r="AO28" s="365">
        <f t="shared" si="53"/>
        <v>0</v>
      </c>
      <c r="AP28" s="362"/>
      <c r="AQ28" s="432"/>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439"/>
      <c r="B29" s="440"/>
      <c r="C29" s="440"/>
      <c r="D29" s="404" t="str">
        <f>IF($K$25="Italiano","COSTO GIOCATORI",(IF($K$25="Español","PRECIO JUGADORES",(IF($K$25="Deutsch","WERT SPIELER",(IF($K$25="Français","VALEUR DES JOUEURS","COST PLAYERS")))))))</f>
        <v>COST PLAYERS</v>
      </c>
      <c r="E29" s="405"/>
      <c r="F29" s="405"/>
      <c r="G29" s="405"/>
      <c r="H29" s="405"/>
      <c r="I29" s="405"/>
      <c r="J29" s="405"/>
      <c r="K29" s="400">
        <f>(SUM(AO2:AP17))/1000</f>
        <v>905</v>
      </c>
      <c r="L29" s="361"/>
      <c r="M29" s="361"/>
      <c r="N29" s="364"/>
      <c r="O29" s="401" t="str">
        <f>IF($K$25="Español","k mo",(IF($K$25="Deutsch","k gm",(IF($K$25="Français","k po","k gp")))))</f>
        <v>k gp</v>
      </c>
      <c r="P29" s="361"/>
      <c r="Q29" s="361"/>
      <c r="R29" s="362"/>
      <c r="S29" s="360" t="str">
        <f>IF($K$25="Italiano","MAZZETTE",(IF($K$25="Español","SOBORNOS",(IF($K$25="Deutsch","BESTECHUNGEN",(IF($K$25="Français","POTS-DE-VIN","BRIBES")))))))</f>
        <v>BRIBES</v>
      </c>
      <c r="T29" s="361"/>
      <c r="U29" s="361"/>
      <c r="V29" s="361"/>
      <c r="W29" s="362"/>
      <c r="X29" s="86">
        <v>0</v>
      </c>
      <c r="Y29" s="47" t="s">
        <v>127</v>
      </c>
      <c r="Z29" s="363">
        <f>IFERROR(IF(BW2="Bribery and Corruption",50000,100000),100000)</f>
        <v>50000</v>
      </c>
      <c r="AA29" s="364"/>
      <c r="AB29" s="48" t="str">
        <f t="shared" si="51"/>
        <v>gp</v>
      </c>
      <c r="AC29" s="365">
        <f t="shared" si="54"/>
        <v>0</v>
      </c>
      <c r="AD29" s="362"/>
      <c r="AE29" s="424" t="s">
        <v>170</v>
      </c>
      <c r="AF29" s="358"/>
      <c r="AG29" s="358"/>
      <c r="AH29" s="358"/>
      <c r="AI29" s="359"/>
      <c r="AJ29" s="86">
        <v>0</v>
      </c>
      <c r="AK29" s="47" t="s">
        <v>127</v>
      </c>
      <c r="AL29" s="363">
        <f>IFERROR(VLOOKUP(AE29,BP60:BQ86,2,FALSE),0)</f>
        <v>0</v>
      </c>
      <c r="AM29" s="364"/>
      <c r="AN29" s="48" t="str">
        <f t="shared" si="52"/>
        <v>gp</v>
      </c>
      <c r="AO29" s="365">
        <f t="shared" si="53"/>
        <v>0</v>
      </c>
      <c r="AP29" s="362"/>
      <c r="AQ29" s="432"/>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439"/>
      <c r="B30" s="440"/>
      <c r="C30" s="440"/>
      <c r="D30" s="404" t="str">
        <f>IF($K$25="Italiano","COSTO TOTALE SQUADRA",(IF($K$25="Español","PRECIO TOTAL EQUIPO",(IF($K$25="Deutsch","GESAMTER TEAMWERT",(IF($K$25="Français","VALEUR D’ÉQUIPE","TOTAL TEAM COST")))))))</f>
        <v>TOTAL TEAM COST</v>
      </c>
      <c r="E30" s="405"/>
      <c r="F30" s="405"/>
      <c r="G30" s="405"/>
      <c r="H30" s="405"/>
      <c r="I30" s="405"/>
      <c r="J30" s="405"/>
      <c r="K30" s="400">
        <f>K28+K29</f>
        <v>1085</v>
      </c>
      <c r="L30" s="361"/>
      <c r="M30" s="361"/>
      <c r="N30" s="364"/>
      <c r="O30" s="401" t="str">
        <f>IF($K$25="Español","k mo",(IF($K$25="Deutsch","k gm",(IF($K$25="Français","k po","k gp")))))</f>
        <v>k gp</v>
      </c>
      <c r="P30" s="361"/>
      <c r="Q30" s="361"/>
      <c r="R30" s="362"/>
      <c r="S30" s="360" t="str">
        <f>IF($K$25="Italiano","CAPOCUOCO",(IF($K$25="Español","MASTER CHEF",(IF($K$25="Deutsch","HALBLING-MEISTERKOCH",(IF($K$25="Français","CHEF CUISTOT","MASTER CHEF")))))))</f>
        <v>MASTER CHEF</v>
      </c>
      <c r="T30" s="361"/>
      <c r="U30" s="361"/>
      <c r="V30" s="361"/>
      <c r="W30" s="362"/>
      <c r="X30" s="86">
        <v>0</v>
      </c>
      <c r="Y30" s="47" t="s">
        <v>127</v>
      </c>
      <c r="Z30" s="363">
        <f>IFERROR(IF(OR(BP1="Halfling",BP1="Halflings",BP1="Halflinge"),100000,300000),300000)</f>
        <v>300000</v>
      </c>
      <c r="AA30" s="364"/>
      <c r="AB30" s="49" t="str">
        <f t="shared" si="51"/>
        <v>gp</v>
      </c>
      <c r="AC30" s="365">
        <f t="shared" si="54"/>
        <v>0</v>
      </c>
      <c r="AD30" s="362"/>
      <c r="AE30" s="360" t="str">
        <f>IF($K$25="Italiano","ALLENAMIENTO INTENSIVO",(IF($K$25="Español","ENTRENAMIENTO EXTRA",(IF($K$25="Deutsch","ZUSÄTZLICHES TRAINING",(IF($K$25="Français","ENTRAÎNEMENT SUPP.","EXTRA TEAM TRAINING")))))))</f>
        <v>EXTRA TEAM TRAINING</v>
      </c>
      <c r="AF30" s="361"/>
      <c r="AG30" s="361"/>
      <c r="AH30" s="361"/>
      <c r="AI30" s="362"/>
      <c r="AJ30" s="86">
        <v>0</v>
      </c>
      <c r="AK30" s="47" t="s">
        <v>127</v>
      </c>
      <c r="AL30" s="363">
        <v>100000</v>
      </c>
      <c r="AM30" s="364"/>
      <c r="AN30" s="49" t="str">
        <f t="shared" si="52"/>
        <v>gp</v>
      </c>
      <c r="AO30" s="365">
        <f t="shared" si="53"/>
        <v>0</v>
      </c>
      <c r="AP30" s="362"/>
      <c r="AQ30" s="432"/>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439"/>
      <c r="B31" s="440"/>
      <c r="C31" s="440"/>
      <c r="D31" s="404" t="str">
        <f>IF($K$25="Italiano","TESORERIA",(IF($K$25="Español","TESORERÍA",(IF($K$25="Deutsch","TEAMKASSE",(IF($K$25="Français","TRÉSORERIE","TREASURY")))))))</f>
        <v>TREASURY</v>
      </c>
      <c r="E31" s="405"/>
      <c r="F31" s="405"/>
      <c r="G31" s="405"/>
      <c r="H31" s="405"/>
      <c r="I31" s="405"/>
      <c r="J31" s="405"/>
      <c r="K31" s="400">
        <f>(((Games!AC3+Games!Z2-Games!Y2)+(SUM(AH37:AI52))-(SUM(AB37:AC52))-(SUM('Dead &amp; Retired Players'!AJ3:AK32)))/1000)-K30</f>
        <v>15</v>
      </c>
      <c r="L31" s="361"/>
      <c r="M31" s="361"/>
      <c r="N31" s="364"/>
      <c r="O31" s="401" t="str">
        <f>IF($K$25="Español","k mo",(IF($K$25="Deutsch","k gm",(IF($K$25="Français","k po","k gp")))))</f>
        <v>k gp</v>
      </c>
      <c r="P31" s="361"/>
      <c r="Q31" s="361"/>
      <c r="R31" s="362"/>
      <c r="S31" s="402" t="str">
        <f>IF($K$25="Italiano","ESORDIENTI RIBELLI",(IF($K$25="Español","NOVATOS ALBOROTADORES",(IF($K$25="Deutsch","RANDALIERENDE NEULINGE",(IF($K$25="Français","DÉBUTANTS DÉCHAINÉS","RIOTOUS ROOKIES")))))))</f>
        <v>RIOTOUS ROOKIES</v>
      </c>
      <c r="T31" s="361"/>
      <c r="U31" s="361"/>
      <c r="V31" s="361"/>
      <c r="W31" s="362"/>
      <c r="X31" s="86">
        <v>0</v>
      </c>
      <c r="Y31" s="47" t="s">
        <v>127</v>
      </c>
      <c r="Z31" s="363">
        <f>IFERROR(IF(BX2="LowCost",100000,0),0)</f>
        <v>0</v>
      </c>
      <c r="AA31" s="364"/>
      <c r="AB31" s="49" t="str">
        <f t="shared" si="51"/>
        <v>gp</v>
      </c>
      <c r="AC31" s="365">
        <f t="shared" si="54"/>
        <v>0</v>
      </c>
      <c r="AD31" s="362"/>
      <c r="AE31" s="360" t="str">
        <f>IF($K$25="Italiano","MEDICI VAGABONDI",(IF($K$25="Español","MÉDICO ERRANTE",(IF($K$25="Deutsch","WANDERNDER SANITÄTER",(IF($K$25="Français","APO ITINÉRANT","WANDERING APO")))))))</f>
        <v>WANDERING APO</v>
      </c>
      <c r="AF31" s="361"/>
      <c r="AG31" s="361"/>
      <c r="AH31" s="361"/>
      <c r="AI31" s="362"/>
      <c r="AJ31" s="86">
        <v>0</v>
      </c>
      <c r="AK31" s="47" t="s">
        <v>127</v>
      </c>
      <c r="AL31" s="363">
        <f>IFERROR(IF(Z22=0,0,100000),0)</f>
        <v>100000</v>
      </c>
      <c r="AM31" s="364"/>
      <c r="AN31" s="49" t="str">
        <f t="shared" si="52"/>
        <v>gp</v>
      </c>
      <c r="AO31" s="365">
        <f t="shared" si="53"/>
        <v>0</v>
      </c>
      <c r="AP31" s="362"/>
      <c r="AQ31" s="432"/>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441"/>
      <c r="B32" s="442"/>
      <c r="C32" s="442"/>
      <c r="D32" s="404" t="str">
        <f>IF($K$25="Italiano","VALORE SQUADRA",(IF($K$25="Español","VALOR DEL EQUIPO",(IF($K$25="Deutsch","TEAMWERT",(IF($K$25="Français","VALEUR D’ÉQUIPE ACTUELLE","TEAM VALUE")))))))</f>
        <v>TEAM VALUE</v>
      </c>
      <c r="E32" s="405"/>
      <c r="F32" s="405"/>
      <c r="G32" s="405"/>
      <c r="H32" s="405"/>
      <c r="I32" s="405"/>
      <c r="J32" s="405"/>
      <c r="K32" s="403">
        <f>(K28-(AC21/1000)+(SUM(AR2:AR17))-(AO23/2000))</f>
        <v>1085</v>
      </c>
      <c r="L32" s="361"/>
      <c r="M32" s="361"/>
      <c r="N32" s="361"/>
      <c r="O32" s="361"/>
      <c r="P32" s="361"/>
      <c r="Q32" s="361"/>
      <c r="R32" s="362"/>
      <c r="S32" s="402" t="str">
        <f>IF($K$25="Italiano","REGOLE SPECIALI",(IF($K$25="Español","REGLA ESPECIAL",(IF($K$25="Deutsch","SONDERREGELN",(IF($K$25="Français","RÈGLES SPÉCIALES","SPECIAL RULES")))))))</f>
        <v>SPECIAL RULES</v>
      </c>
      <c r="T32" s="361"/>
      <c r="U32" s="361"/>
      <c r="V32" s="361"/>
      <c r="W32" s="362"/>
      <c r="X32" s="421" t="str">
        <f>IFERROR(VLOOKUP(BP1,BM:BV,8,0),"")</f>
        <v>Badlands Brawl, Underworld Challenge and Bribery and Corruption</v>
      </c>
      <c r="Y32" s="361"/>
      <c r="Z32" s="361"/>
      <c r="AA32" s="361"/>
      <c r="AB32" s="361"/>
      <c r="AC32" s="361"/>
      <c r="AD32" s="361"/>
      <c r="AE32" s="361"/>
      <c r="AF32" s="361"/>
      <c r="AG32" s="361"/>
      <c r="AH32" s="361"/>
      <c r="AI32" s="361"/>
      <c r="AJ32" s="364"/>
      <c r="AK32" s="422" t="s">
        <v>185</v>
      </c>
      <c r="AL32" s="361"/>
      <c r="AM32" s="364"/>
      <c r="AN32" s="423"/>
      <c r="AO32" s="361"/>
      <c r="AP32" s="362"/>
      <c r="AQ32" s="432"/>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443" t="str">
        <f>IF(K25="Italiano","5.0 - Creato da dreamscreator",(IF(K25="Español","v5.0 - Creado por dreamscreator",(IF(K25="Deutsch","v5.0 - Erstellt von dreamscreator",(IF(K25="Français","v5.0 Créé par dreamscreator","v5.0 - Created by dreamscreator")))))))</f>
        <v>v5.0 - Created by dreamscreator</v>
      </c>
      <c r="B33" s="372"/>
      <c r="C33" s="373"/>
      <c r="D33" s="371"/>
      <c r="E33" s="371"/>
      <c r="F33" s="371"/>
      <c r="G33" s="370" t="str">
        <f>B60&amp;B61&amp;B62&amp;B63&amp;B64&amp;B65&amp;B66</f>
        <v/>
      </c>
      <c r="H33" s="371"/>
      <c r="I33" s="371"/>
      <c r="J33" s="371"/>
      <c r="K33" s="372"/>
      <c r="L33" s="372"/>
      <c r="M33" s="372"/>
      <c r="N33" s="372"/>
      <c r="O33" s="372"/>
      <c r="P33" s="372"/>
      <c r="Q33" s="372"/>
      <c r="R33" s="372"/>
      <c r="S33" s="372"/>
      <c r="T33" s="372"/>
      <c r="U33" s="372"/>
      <c r="V33" s="372"/>
      <c r="W33" s="372"/>
      <c r="X33" s="372"/>
      <c r="Y33" s="372"/>
      <c r="Z33" s="372"/>
      <c r="AA33" s="372"/>
      <c r="AB33" s="372"/>
      <c r="AC33" s="372"/>
      <c r="AD33" s="372"/>
      <c r="AE33" s="372"/>
      <c r="AF33" s="372"/>
      <c r="AG33" s="372"/>
      <c r="AH33" s="372"/>
      <c r="AI33" s="372"/>
      <c r="AJ33" s="372"/>
      <c r="AK33" s="372"/>
      <c r="AL33" s="372"/>
      <c r="AM33" s="372"/>
      <c r="AN33" s="372"/>
      <c r="AO33" s="372"/>
      <c r="AP33" s="373"/>
      <c r="AQ33" s="432"/>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444" t="str">
        <f>IF(K25="Italiano","Tradotto da Leonida https://bloodbowlhelp.wordpress.com",(IF(K25="Deutsch","Übersetzt von Coach Grong https://bloodbowlhelp.wordpress.com",(IF(K25="Français","Traduit par Fennec https://bloodbowlhelp.wordpress.com","https://bloodbowlhelp.wordpress.com")))))</f>
        <v>https://bloodbowlhelp.wordpress.com</v>
      </c>
      <c r="B34" s="375"/>
      <c r="C34" s="409"/>
      <c r="D34" s="375"/>
      <c r="E34" s="375"/>
      <c r="F34" s="376"/>
      <c r="G34" s="374" t="str">
        <f>IF(K25="Italiano","AVANZAMIENTO GIOCATORI",(IF(K25="Español","MEJORAS DE LOS JUGADORES",(IF(K25="Deutsch","SPIELERVERBESSERUNGEN",(IF(K25="Français","AMÉLIORATIONS DE JOUEURS","PLAYERS UPGRADES")))))))</f>
        <v>PLAYERS UPGRADES</v>
      </c>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6"/>
      <c r="AL34" s="55"/>
      <c r="AM34" s="55"/>
      <c r="AN34" s="55"/>
      <c r="AO34" s="55"/>
      <c r="AP34" s="55"/>
      <c r="AQ34" s="432"/>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435" t="s">
        <v>29</v>
      </c>
      <c r="B35" s="435" t="str">
        <f>IF($K$25="Italiano","TIPO",(IF($K$25="Español","TIPO",(IF($K$25="Deutsch","POSITION",(IF($K$25="Français","POSTE","TYPE")))))))</f>
        <v>TYPE</v>
      </c>
      <c r="C35" s="435" t="str">
        <f>IF($K$25="Italiano","Avanzamento 1",(IF($K$25="Español","Mejora 1",(IF($K$25="Deutsch","Verbes- serung 1",(IF($K$25="Français","Amélioration 1","Upgrade 1")))))))</f>
        <v>Upgrade 1</v>
      </c>
      <c r="D35" s="380" t="str">
        <f>IF($K$25="Italiano","Scelto o Casuale",(IF($K$25="Español","Elegida o Aleatoria",(IF($K$25="Deutsch","Ausge- wählt oder zufällig",(IF($K$25="Français","Choisie ou Aléatoire ","Chosen or Random")))))))</f>
        <v>Chosen or Random</v>
      </c>
      <c r="E35" s="381"/>
      <c r="F35" s="380" t="str">
        <f>IF($K$25="Italiano","Avanzamento 2",(IF($K$25="Español","Mejora 2",(IF($K$25="Deutsch","Verbes- serung 2",(IF($K$25="Français","Amélioration 2","Upgrade 2")))))))</f>
        <v>Upgrade 2</v>
      </c>
      <c r="G35" s="381"/>
      <c r="H35" s="380" t="str">
        <f>IF($K$25="Italiano","Scelto o Casuale",(IF($K$25="Español","Elegida o Aleatoria",(IF($K$25="Deutsch","Ausge- wählt oder zufällig",(IF($K$25="Français","Choisie ou Aléatoire ","Chosen or Random")))))))</f>
        <v>Chosen or Random</v>
      </c>
      <c r="I35" s="408"/>
      <c r="J35" s="408"/>
      <c r="K35" s="381"/>
      <c r="L35" s="380" t="str">
        <f>IF($K$25="Italiano","Avanzamento 3",(IF($K$25="Español","Mejora 3",(IF($K$25="Deutsch","Verbes- serung 3",(IF($K$25="Français","Amélioration 3","Upgrade 3")))))))</f>
        <v>Upgrade 3</v>
      </c>
      <c r="M35" s="381"/>
      <c r="N35" s="380" t="str">
        <f>IF($K$25="Italiano","Scelto o Casuale",(IF($K$25="Español","Elegida o Aleatoria",(IF($K$25="Deutsch","Ausge- wählt oder zufällig",(IF($K$25="Français","Choisie ou Aléatoire ","Chosen or Random")))))))</f>
        <v>Chosen or Random</v>
      </c>
      <c r="O35" s="381"/>
      <c r="P35" s="380" t="str">
        <f>IF($K$25="Italiano","Avanzamento 4",(IF($K$25="Español","Mejora 4",(IF($K$25="Deutsch","Verbes- serung 4",(IF($K$25="Français","Amélioration 4","Upgrade 4")))))))</f>
        <v>Upgrade 4</v>
      </c>
      <c r="Q35" s="381"/>
      <c r="R35" s="380" t="str">
        <f>IF($K$25="Italiano","Scelto o Casuale",(IF($K$25="Español","Elegida o Aleatoria",(IF($K$25="Deutsch","Ausge- wählt oder zufällig",(IF($K$25="Français","Choisie ou Aléatoire ","Chosen or Random")))))))</f>
        <v>Chosen or Random</v>
      </c>
      <c r="S35" s="381"/>
      <c r="T35" s="380" t="str">
        <f>IF($K$25="Italiano","Avanzamento 5",(IF($K$25="Español","Mejora 5",(IF($K$25="Deutsch","Verbes- serung 5",(IF($K$25="Français","Amélioration 5","Upgrade 5")))))))</f>
        <v>Upgrade 5</v>
      </c>
      <c r="U35" s="381"/>
      <c r="V35" s="380" t="str">
        <f>IF($K$25="Italiano","Scelto o Casuale",(IF($K$25="Español","Elegida o Aleatoria",(IF($K$25="Deutsch","Ausge- wählt oder zufällig",(IF($K$25="Français","Choisie ou Aléatoire ","Chosen or Random")))))))</f>
        <v>Chosen or Random</v>
      </c>
      <c r="W35" s="381"/>
      <c r="X35" s="380" t="str">
        <f>IF($K$25="Italiano","Avanzamento 6",(IF($K$25="Español","Mejora 6",(IF($K$25="Deutsch","Verbes- serung 6",(IF($K$25="Français","Amélioration 6","Upgrade 6")))))))</f>
        <v>Upgrade 6</v>
      </c>
      <c r="Y35" s="381"/>
      <c r="Z35" s="380" t="str">
        <f>IF($K$25="Italiano","Scelto o Casuale",(IF($K$25="Español","Elegida o Aleatoria",(IF($K$25="Deutsch","Ausge- wählt oder zufällig",(IF($K$25="Français","Choisie ou Aléatoire ","Chosen or Random")))))))</f>
        <v>Chosen or Random</v>
      </c>
      <c r="AA35" s="381"/>
      <c r="AB35" s="380" t="str">
        <f>IF($K$25="Italiano","Tassa di agenzia di ricontratto",(IF($K$25="Español","Tasa Agencia Recontratar",(IF($K$25="Deutsch","Gebühr für die Neuvergabe einer Agentur",(IF($K$25="Français","Frais d'agence pour le recontrat","Fee Agency Redraft")))))))</f>
        <v>Fee Agency Redraft</v>
      </c>
      <c r="AC35" s="381"/>
      <c r="AD35" s="380" t="str">
        <f>IF($K$25="Italiano","Modifica Manuale Valore",(IF($K$25="Español","Modificar valor manual",(IF($K$25="Deutsch","Manuelle Wertän- derung",(IF($K$25="Français","Modif. manuelle de Valeur","Manual Modify Value")))))))</f>
        <v>Manual Modify Value</v>
      </c>
      <c r="AE35" s="381"/>
      <c r="AF35" s="380" t="str">
        <f>IF($K$25="Italiano","Modifica Manuale SPP",(IF($K$25="Español","Modificar SPP manual",(IF($K$25="Deutsch","Manuelle SPP derung",(IF($K$25="Français","Modif. manuelle de SPP","Manual Modify SPP")))))))</f>
        <v>Manual Modify SPP</v>
      </c>
      <c r="AG35" s="381"/>
      <c r="AH35" s="380" t="str">
        <f>IF($K$25="Italiano","Valore Extra",(IF($K$25="Español","Valor extra",(IF($K$25="Deutsch","Extra Wert",(IF($K$25="Français","Hausse de Valeur","Value Extra")))))))</f>
        <v>Value Extra</v>
      </c>
      <c r="AI35" s="381"/>
      <c r="AJ35" s="415" t="str">
        <f>IF($K$25="Italiano","Costo SPP",(IF($K$25="Español","Coste",(IF($K$25="Deutsch","Σ SPP",(IF($K$25="Français","Coût en PSP","SPP Cost")))))))</f>
        <v>SPP Cost</v>
      </c>
      <c r="AK35" s="417" t="str">
        <f>IF($K$25="Italiano","Infortuni",(IF($K$25="Español","Lesiones",(IF($K$25="Deutsch","Verletzungen",(IF($K$25="Français","Blessures","Injuries")))))))</f>
        <v>Injuries</v>
      </c>
      <c r="AL35" s="361"/>
      <c r="AM35" s="361"/>
      <c r="AN35" s="361"/>
      <c r="AO35" s="361"/>
      <c r="AP35" s="362"/>
      <c r="AQ35" s="432"/>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445"/>
      <c r="B36" s="436"/>
      <c r="C36" s="436"/>
      <c r="D36" s="382"/>
      <c r="E36" s="383"/>
      <c r="F36" s="382"/>
      <c r="G36" s="383"/>
      <c r="H36" s="382"/>
      <c r="I36" s="409"/>
      <c r="J36" s="409"/>
      <c r="K36" s="383"/>
      <c r="L36" s="382"/>
      <c r="M36" s="383"/>
      <c r="N36" s="382"/>
      <c r="O36" s="383"/>
      <c r="P36" s="382"/>
      <c r="Q36" s="383"/>
      <c r="R36" s="382"/>
      <c r="S36" s="383"/>
      <c r="T36" s="382"/>
      <c r="U36" s="383"/>
      <c r="V36" s="382"/>
      <c r="W36" s="383"/>
      <c r="X36" s="382"/>
      <c r="Y36" s="383"/>
      <c r="Z36" s="382"/>
      <c r="AA36" s="383"/>
      <c r="AB36" s="382"/>
      <c r="AC36" s="383"/>
      <c r="AD36" s="382"/>
      <c r="AE36" s="383"/>
      <c r="AF36" s="382"/>
      <c r="AG36" s="383"/>
      <c r="AH36" s="382"/>
      <c r="AI36" s="383"/>
      <c r="AJ36" s="416"/>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432"/>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Looney</v>
      </c>
      <c r="C37" s="299"/>
      <c r="D37" s="384"/>
      <c r="E37" s="385"/>
      <c r="F37" s="378"/>
      <c r="G37" s="379"/>
      <c r="H37" s="367"/>
      <c r="I37" s="394"/>
      <c r="J37" s="394"/>
      <c r="K37" s="368"/>
      <c r="L37" s="384"/>
      <c r="M37" s="385"/>
      <c r="N37" s="386"/>
      <c r="O37" s="385"/>
      <c r="P37" s="384"/>
      <c r="Q37" s="385"/>
      <c r="R37" s="386"/>
      <c r="S37" s="385"/>
      <c r="T37" s="384"/>
      <c r="U37" s="385"/>
      <c r="V37" s="386"/>
      <c r="W37" s="385"/>
      <c r="X37" s="384"/>
      <c r="Y37" s="385"/>
      <c r="Z37" s="386"/>
      <c r="AA37" s="385"/>
      <c r="AB37" s="397"/>
      <c r="AC37" s="385"/>
      <c r="AD37" s="397"/>
      <c r="AE37" s="385"/>
      <c r="AF37" s="418"/>
      <c r="AG37" s="385"/>
      <c r="AH37" s="419">
        <f>IFERROR(BJ40+AD37,0)</f>
        <v>0</v>
      </c>
      <c r="AI37" s="420"/>
      <c r="AJ37" s="89">
        <f t="shared" ref="AJ37:AJ51" si="56">IFERROR((SUM(CV40:DA40)+AF37),0)</f>
        <v>0</v>
      </c>
      <c r="AK37" s="88">
        <v>0</v>
      </c>
      <c r="AL37" s="89">
        <v>0</v>
      </c>
      <c r="AM37" s="89">
        <v>0</v>
      </c>
      <c r="AN37" s="89">
        <v>0</v>
      </c>
      <c r="AO37" s="89">
        <v>0</v>
      </c>
      <c r="AP37" s="89">
        <v>0</v>
      </c>
      <c r="AQ37" s="432"/>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 xml:space="preserve">Fanatic </v>
      </c>
      <c r="C38" s="298"/>
      <c r="D38" s="367"/>
      <c r="E38" s="368"/>
      <c r="F38" s="378"/>
      <c r="G38" s="379"/>
      <c r="H38" s="367"/>
      <c r="I38" s="394"/>
      <c r="J38" s="394"/>
      <c r="K38" s="368"/>
      <c r="L38" s="367"/>
      <c r="M38" s="368"/>
      <c r="N38" s="367"/>
      <c r="O38" s="368"/>
      <c r="P38" s="367"/>
      <c r="Q38" s="368"/>
      <c r="R38" s="367"/>
      <c r="S38" s="368"/>
      <c r="T38" s="367"/>
      <c r="U38" s="368"/>
      <c r="V38" s="367"/>
      <c r="W38" s="368"/>
      <c r="X38" s="367"/>
      <c r="Y38" s="368"/>
      <c r="Z38" s="367"/>
      <c r="AA38" s="368"/>
      <c r="AB38" s="397">
        <v>0</v>
      </c>
      <c r="AC38" s="385"/>
      <c r="AD38" s="398"/>
      <c r="AE38" s="399"/>
      <c r="AF38" s="413"/>
      <c r="AG38" s="414"/>
      <c r="AH38" s="419">
        <f>IFERROR(BJ41+AD38,0)</f>
        <v>0</v>
      </c>
      <c r="AI38" s="420"/>
      <c r="AJ38" s="89">
        <f t="shared" si="56"/>
        <v>0</v>
      </c>
      <c r="AK38" s="88">
        <v>0</v>
      </c>
      <c r="AL38" s="89">
        <v>0</v>
      </c>
      <c r="AM38" s="89">
        <v>0</v>
      </c>
      <c r="AN38" s="89">
        <v>0</v>
      </c>
      <c r="AO38" s="89">
        <v>0</v>
      </c>
      <c r="AP38" s="89">
        <v>0</v>
      </c>
      <c r="AQ38" s="432"/>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Bombardier</v>
      </c>
      <c r="C39" s="299"/>
      <c r="D39" s="378"/>
      <c r="E39" s="379"/>
      <c r="F39" s="378"/>
      <c r="G39" s="379"/>
      <c r="H39" s="367"/>
      <c r="I39" s="394"/>
      <c r="J39" s="394"/>
      <c r="K39" s="368"/>
      <c r="L39" s="378"/>
      <c r="M39" s="379"/>
      <c r="N39" s="367"/>
      <c r="O39" s="368"/>
      <c r="P39" s="378"/>
      <c r="Q39" s="379"/>
      <c r="R39" s="367"/>
      <c r="S39" s="368"/>
      <c r="T39" s="378"/>
      <c r="U39" s="379"/>
      <c r="V39" s="367"/>
      <c r="W39" s="368"/>
      <c r="X39" s="378"/>
      <c r="Y39" s="379"/>
      <c r="Z39" s="367"/>
      <c r="AA39" s="368"/>
      <c r="AB39" s="397">
        <v>0</v>
      </c>
      <c r="AC39" s="385"/>
      <c r="AD39" s="398"/>
      <c r="AE39" s="399"/>
      <c r="AF39" s="413"/>
      <c r="AG39" s="414"/>
      <c r="AH39" s="419">
        <f t="shared" ref="AH39:AH52" si="57">IFERROR(BJ42+AD39,0)</f>
        <v>0</v>
      </c>
      <c r="AI39" s="420"/>
      <c r="AJ39" s="89">
        <f t="shared" si="56"/>
        <v>0</v>
      </c>
      <c r="AK39" s="88">
        <v>0</v>
      </c>
      <c r="AL39" s="89">
        <v>0</v>
      </c>
      <c r="AM39" s="89">
        <v>0</v>
      </c>
      <c r="AN39" s="89">
        <v>0</v>
      </c>
      <c r="AO39" s="89">
        <v>0</v>
      </c>
      <c r="AP39" s="89">
        <v>0</v>
      </c>
      <c r="AQ39" s="432"/>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11" t="s">
        <v>207</v>
      </c>
      <c r="BM39" s="412"/>
      <c r="BN39" s="412"/>
      <c r="BO39" s="412"/>
      <c r="BP39" s="412"/>
      <c r="BQ39" s="412"/>
      <c r="BR39" s="224"/>
      <c r="BS39" s="224"/>
      <c r="BT39" s="411" t="s">
        <v>208</v>
      </c>
      <c r="BU39" s="412"/>
      <c r="BV39" s="412"/>
      <c r="BW39" s="412"/>
      <c r="BX39" s="412"/>
      <c r="BY39" s="412"/>
      <c r="BZ39" s="224"/>
      <c r="CA39" s="411" t="s">
        <v>209</v>
      </c>
      <c r="CB39" s="412"/>
      <c r="CC39" s="412"/>
      <c r="CD39" s="412"/>
      <c r="CE39" s="412"/>
      <c r="CF39" s="412"/>
      <c r="CG39" s="224"/>
      <c r="CH39" s="411" t="s">
        <v>210</v>
      </c>
      <c r="CI39" s="412"/>
      <c r="CJ39" s="412"/>
      <c r="CK39" s="412"/>
      <c r="CL39" s="412"/>
      <c r="CM39" s="412"/>
      <c r="CN39" s="224"/>
      <c r="CO39" s="411" t="s">
        <v>211</v>
      </c>
      <c r="CP39" s="412"/>
      <c r="CQ39" s="412"/>
      <c r="CR39" s="412"/>
      <c r="CS39" s="412"/>
      <c r="CT39" s="412"/>
      <c r="CU39" s="224"/>
      <c r="CV39" s="411" t="s">
        <v>212</v>
      </c>
      <c r="CW39" s="412"/>
      <c r="CX39" s="412"/>
      <c r="CY39" s="412"/>
      <c r="CZ39" s="412"/>
      <c r="DA39" s="412"/>
      <c r="DB39" s="220"/>
      <c r="DC39" s="220"/>
    </row>
    <row r="40" spans="1:107" s="221" customFormat="1" ht="22.5" customHeight="1">
      <c r="A40" s="24">
        <v>4</v>
      </c>
      <c r="B40" s="41" t="str">
        <f t="shared" si="55"/>
        <v>Ooligan</v>
      </c>
      <c r="C40" s="298"/>
      <c r="D40" s="367"/>
      <c r="E40" s="368"/>
      <c r="F40" s="378"/>
      <c r="G40" s="379"/>
      <c r="H40" s="367"/>
      <c r="I40" s="394"/>
      <c r="J40" s="394"/>
      <c r="K40" s="368"/>
      <c r="L40" s="367"/>
      <c r="M40" s="368"/>
      <c r="N40" s="367"/>
      <c r="O40" s="368"/>
      <c r="P40" s="367"/>
      <c r="Q40" s="368"/>
      <c r="R40" s="367"/>
      <c r="S40" s="368"/>
      <c r="T40" s="367"/>
      <c r="U40" s="368"/>
      <c r="V40" s="367"/>
      <c r="W40" s="368"/>
      <c r="X40" s="367"/>
      <c r="Y40" s="368"/>
      <c r="Z40" s="367"/>
      <c r="AA40" s="368"/>
      <c r="AB40" s="397">
        <v>0</v>
      </c>
      <c r="AC40" s="385"/>
      <c r="AD40" s="398"/>
      <c r="AE40" s="399"/>
      <c r="AF40" s="413"/>
      <c r="AG40" s="414"/>
      <c r="AH40" s="419">
        <f t="shared" si="57"/>
        <v>0</v>
      </c>
      <c r="AI40" s="420"/>
      <c r="AJ40" s="89">
        <f t="shared" si="56"/>
        <v>0</v>
      </c>
      <c r="AK40" s="88">
        <v>0</v>
      </c>
      <c r="AL40" s="89">
        <v>0</v>
      </c>
      <c r="AM40" s="89">
        <v>0</v>
      </c>
      <c r="AN40" s="89">
        <v>0</v>
      </c>
      <c r="AO40" s="89">
        <v>0</v>
      </c>
      <c r="AP40" s="89">
        <v>0</v>
      </c>
      <c r="AQ40" s="432"/>
      <c r="AR40" s="220"/>
      <c r="AS40" s="220"/>
      <c r="AT40" s="220"/>
      <c r="AU40" s="220"/>
      <c r="AV40" s="220"/>
      <c r="AW40" s="220"/>
      <c r="AX40" s="220"/>
      <c r="AY40" s="28" t="str">
        <f t="shared" ref="AY40:AY53" si="58">B37</f>
        <v>Looney</v>
      </c>
      <c r="AZ40" s="28" t="str">
        <f>IFERROR((VLOOKUP($BP$1&amp;B37,Teams!D:S,12,0)),0)</f>
        <v>S</v>
      </c>
      <c r="BA40" s="28" t="str">
        <f>IFERROR((VLOOKUP($BP$1&amp;B37,Teams!D:S,13,0)),0)</f>
        <v>P</v>
      </c>
      <c r="BB40" s="28" t="str">
        <f>IFERROR((VLOOKUP($BP$1&amp;B37,Teams!D:S,14,0)),0)</f>
        <v>S</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Pogoer</v>
      </c>
      <c r="C41" s="298"/>
      <c r="D41" s="367"/>
      <c r="E41" s="368"/>
      <c r="F41" s="378"/>
      <c r="G41" s="379"/>
      <c r="H41" s="367"/>
      <c r="I41" s="394"/>
      <c r="J41" s="394"/>
      <c r="K41" s="368"/>
      <c r="L41" s="367"/>
      <c r="M41" s="368"/>
      <c r="N41" s="367"/>
      <c r="O41" s="368"/>
      <c r="P41" s="367"/>
      <c r="Q41" s="368"/>
      <c r="R41" s="367"/>
      <c r="S41" s="368"/>
      <c r="T41" s="367"/>
      <c r="U41" s="368"/>
      <c r="V41" s="367"/>
      <c r="W41" s="368"/>
      <c r="X41" s="367"/>
      <c r="Y41" s="368"/>
      <c r="Z41" s="367"/>
      <c r="AA41" s="368"/>
      <c r="AB41" s="397">
        <v>0</v>
      </c>
      <c r="AC41" s="385"/>
      <c r="AD41" s="398"/>
      <c r="AE41" s="399"/>
      <c r="AF41" s="398"/>
      <c r="AG41" s="399"/>
      <c r="AH41" s="419">
        <f t="shared" si="57"/>
        <v>0</v>
      </c>
      <c r="AI41" s="420"/>
      <c r="AJ41" s="89">
        <f t="shared" si="56"/>
        <v>0</v>
      </c>
      <c r="AK41" s="88">
        <v>0</v>
      </c>
      <c r="AL41" s="89">
        <v>0</v>
      </c>
      <c r="AM41" s="89">
        <v>0</v>
      </c>
      <c r="AN41" s="89">
        <v>0</v>
      </c>
      <c r="AO41" s="89">
        <v>0</v>
      </c>
      <c r="AP41" s="89">
        <v>0</v>
      </c>
      <c r="AQ41" s="432"/>
      <c r="AR41" s="220"/>
      <c r="AS41" s="220"/>
      <c r="AT41" s="220"/>
      <c r="AU41" s="220"/>
      <c r="AV41" s="220"/>
      <c r="AW41" s="220"/>
      <c r="AX41" s="220"/>
      <c r="AY41" s="28" t="str">
        <f t="shared" si="58"/>
        <v xml:space="preserve">Fanatic </v>
      </c>
      <c r="AZ41" s="28" t="str">
        <f>IFERROR((VLOOKUP($BP$1&amp;B38,Teams!D:S,12,0)),0)</f>
        <v>S</v>
      </c>
      <c r="BA41" s="28" t="str">
        <f>IFERROR((VLOOKUP($BP$1&amp;B38,Teams!D:S,13,0)),0)</f>
        <v>S</v>
      </c>
      <c r="BB41" s="28" t="str">
        <f>IFERROR((VLOOKUP($BP$1&amp;B38,Teams!D:S,14,0)),0)</f>
        <v>P</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Doom Diver</v>
      </c>
      <c r="C42" s="298"/>
      <c r="D42" s="367"/>
      <c r="E42" s="368"/>
      <c r="F42" s="378"/>
      <c r="G42" s="379"/>
      <c r="H42" s="367"/>
      <c r="I42" s="394"/>
      <c r="J42" s="394"/>
      <c r="K42" s="368"/>
      <c r="L42" s="367"/>
      <c r="M42" s="368"/>
      <c r="N42" s="367"/>
      <c r="O42" s="368"/>
      <c r="P42" s="367"/>
      <c r="Q42" s="368"/>
      <c r="R42" s="367"/>
      <c r="S42" s="368"/>
      <c r="T42" s="367"/>
      <c r="U42" s="368"/>
      <c r="V42" s="367"/>
      <c r="W42" s="368"/>
      <c r="X42" s="367"/>
      <c r="Y42" s="368"/>
      <c r="Z42" s="367"/>
      <c r="AA42" s="368"/>
      <c r="AB42" s="397">
        <v>0</v>
      </c>
      <c r="AC42" s="385"/>
      <c r="AD42" s="398"/>
      <c r="AE42" s="399"/>
      <c r="AF42" s="398"/>
      <c r="AG42" s="399"/>
      <c r="AH42" s="419">
        <f t="shared" si="57"/>
        <v>0</v>
      </c>
      <c r="AI42" s="420"/>
      <c r="AJ42" s="89">
        <f t="shared" si="56"/>
        <v>0</v>
      </c>
      <c r="AK42" s="88">
        <v>0</v>
      </c>
      <c r="AL42" s="89">
        <v>0</v>
      </c>
      <c r="AM42" s="89">
        <v>0</v>
      </c>
      <c r="AN42" s="89">
        <v>0</v>
      </c>
      <c r="AO42" s="89">
        <v>0</v>
      </c>
      <c r="AP42" s="89">
        <v>0</v>
      </c>
      <c r="AQ42" s="432"/>
      <c r="AR42" s="220"/>
      <c r="AS42" s="220"/>
      <c r="AT42" s="220"/>
      <c r="AU42" s="220"/>
      <c r="AV42" s="220"/>
      <c r="AW42" s="220"/>
      <c r="AX42" s="220"/>
      <c r="AY42" s="28" t="str">
        <f t="shared" si="58"/>
        <v>Bombardier</v>
      </c>
      <c r="AZ42" s="28" t="str">
        <f>IFERROR((VLOOKUP($BP$1&amp;B39,Teams!D:S,12,0)),0)</f>
        <v>S</v>
      </c>
      <c r="BA42" s="28" t="str">
        <f>IFERROR((VLOOKUP($BP$1&amp;B39,Teams!D:S,13,0)),0)</f>
        <v>P</v>
      </c>
      <c r="BB42" s="28" t="str">
        <f>IFERROR((VLOOKUP($BP$1&amp;B39,Teams!D:S,14,0)),0)</f>
        <v>S</v>
      </c>
      <c r="BC42" s="28" t="str">
        <f>IFERROR((VLOOKUP($BP$1&amp;B39,Teams!D:S,15,0)),0)</f>
        <v>S</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Goblin</v>
      </c>
      <c r="C43" s="298"/>
      <c r="D43" s="367"/>
      <c r="E43" s="368"/>
      <c r="F43" s="378"/>
      <c r="G43" s="379"/>
      <c r="H43" s="367"/>
      <c r="I43" s="394"/>
      <c r="J43" s="394"/>
      <c r="K43" s="368"/>
      <c r="L43" s="367"/>
      <c r="M43" s="368"/>
      <c r="N43" s="367"/>
      <c r="O43" s="368"/>
      <c r="P43" s="367"/>
      <c r="Q43" s="368"/>
      <c r="R43" s="367"/>
      <c r="S43" s="368"/>
      <c r="T43" s="367"/>
      <c r="U43" s="368"/>
      <c r="V43" s="367"/>
      <c r="W43" s="368"/>
      <c r="X43" s="367"/>
      <c r="Y43" s="368"/>
      <c r="Z43" s="367"/>
      <c r="AA43" s="368"/>
      <c r="AB43" s="397">
        <v>0</v>
      </c>
      <c r="AC43" s="385"/>
      <c r="AD43" s="398"/>
      <c r="AE43" s="399"/>
      <c r="AF43" s="398"/>
      <c r="AG43" s="399"/>
      <c r="AH43" s="419">
        <f t="shared" si="57"/>
        <v>0</v>
      </c>
      <c r="AI43" s="420"/>
      <c r="AJ43" s="89">
        <f t="shared" si="56"/>
        <v>0</v>
      </c>
      <c r="AK43" s="88">
        <v>0</v>
      </c>
      <c r="AL43" s="89">
        <v>0</v>
      </c>
      <c r="AM43" s="89">
        <v>0</v>
      </c>
      <c r="AN43" s="89">
        <v>0</v>
      </c>
      <c r="AO43" s="89">
        <v>0</v>
      </c>
      <c r="AP43" s="89">
        <v>0</v>
      </c>
      <c r="AQ43" s="432"/>
      <c r="AR43" s="220"/>
      <c r="AS43" s="220"/>
      <c r="AT43" s="220"/>
      <c r="AU43" s="220"/>
      <c r="AV43" s="220"/>
      <c r="AW43" s="220"/>
      <c r="AX43" s="220"/>
      <c r="AY43" s="28" t="str">
        <f t="shared" si="58"/>
        <v>Ooligan</v>
      </c>
      <c r="AZ43" s="28" t="str">
        <f>IFERROR((VLOOKUP($BP$1&amp;B40,Teams!D:S,12,0)),0)</f>
        <v>S</v>
      </c>
      <c r="BA43" s="28" t="str">
        <f>IFERROR((VLOOKUP($BP$1&amp;B40,Teams!D:S,13,0)),0)</f>
        <v>P</v>
      </c>
      <c r="BB43" s="28" t="str">
        <f>IFERROR((VLOOKUP($BP$1&amp;B40,Teams!D:S,14,0)),0)</f>
        <v>S</v>
      </c>
      <c r="BC43" s="28" t="str">
        <f>IFERROR((VLOOKUP($BP$1&amp;B40,Teams!D:S,15,0)),0)</f>
        <v>S</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Goblin</v>
      </c>
      <c r="C44" s="298"/>
      <c r="D44" s="367"/>
      <c r="E44" s="368"/>
      <c r="F44" s="378"/>
      <c r="G44" s="379"/>
      <c r="H44" s="367"/>
      <c r="I44" s="394"/>
      <c r="J44" s="394"/>
      <c r="K44" s="368"/>
      <c r="L44" s="367"/>
      <c r="M44" s="368"/>
      <c r="N44" s="367"/>
      <c r="O44" s="368"/>
      <c r="P44" s="367"/>
      <c r="Q44" s="368"/>
      <c r="R44" s="367"/>
      <c r="S44" s="368"/>
      <c r="T44" s="367"/>
      <c r="U44" s="368"/>
      <c r="V44" s="367"/>
      <c r="W44" s="368"/>
      <c r="X44" s="367"/>
      <c r="Y44" s="368"/>
      <c r="Z44" s="367"/>
      <c r="AA44" s="368"/>
      <c r="AB44" s="397">
        <v>0</v>
      </c>
      <c r="AC44" s="385"/>
      <c r="AD44" s="398"/>
      <c r="AE44" s="399"/>
      <c r="AF44" s="398"/>
      <c r="AG44" s="399"/>
      <c r="AH44" s="419">
        <f t="shared" si="57"/>
        <v>0</v>
      </c>
      <c r="AI44" s="420"/>
      <c r="AJ44" s="89">
        <f t="shared" si="56"/>
        <v>0</v>
      </c>
      <c r="AK44" s="88">
        <v>0</v>
      </c>
      <c r="AL44" s="89">
        <v>0</v>
      </c>
      <c r="AM44" s="89">
        <v>0</v>
      </c>
      <c r="AN44" s="89">
        <v>0</v>
      </c>
      <c r="AO44" s="89">
        <v>0</v>
      </c>
      <c r="AP44" s="89">
        <v>0</v>
      </c>
      <c r="AQ44" s="432"/>
      <c r="AR44" s="220"/>
      <c r="AS44" s="220"/>
      <c r="AT44" s="220"/>
      <c r="AU44" s="220"/>
      <c r="AV44" s="220"/>
      <c r="AW44" s="220"/>
      <c r="AX44" s="220"/>
      <c r="AY44" s="28" t="str">
        <f t="shared" si="58"/>
        <v>Pogoer</v>
      </c>
      <c r="AZ44" s="28" t="str">
        <f>IFERROR((VLOOKUP($BP$1&amp;B41,Teams!D:S,12,0)),0)</f>
        <v>S</v>
      </c>
      <c r="BA44" s="28" t="str">
        <f>IFERROR((VLOOKUP($BP$1&amp;B41,Teams!D:S,13,0)),0)</f>
        <v>P</v>
      </c>
      <c r="BB44" s="28" t="str">
        <f>IFERROR((VLOOKUP($BP$1&amp;B41,Teams!D:S,14,0)),0)</f>
        <v>S</v>
      </c>
      <c r="BC44" s="28" t="str">
        <f>IFERROR((VLOOKUP($BP$1&amp;B41,Teams!D:S,15,0)),0)</f>
        <v>S</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Goblin</v>
      </c>
      <c r="C45" s="298"/>
      <c r="D45" s="367"/>
      <c r="E45" s="368"/>
      <c r="F45" s="378"/>
      <c r="G45" s="379"/>
      <c r="H45" s="367"/>
      <c r="I45" s="394"/>
      <c r="J45" s="394"/>
      <c r="K45" s="368"/>
      <c r="L45" s="367"/>
      <c r="M45" s="368"/>
      <c r="N45" s="367"/>
      <c r="O45" s="368"/>
      <c r="P45" s="367"/>
      <c r="Q45" s="368"/>
      <c r="R45" s="367"/>
      <c r="S45" s="368"/>
      <c r="T45" s="367"/>
      <c r="U45" s="368"/>
      <c r="V45" s="367"/>
      <c r="W45" s="368"/>
      <c r="X45" s="367"/>
      <c r="Y45" s="368"/>
      <c r="Z45" s="367"/>
      <c r="AA45" s="368"/>
      <c r="AB45" s="397">
        <v>0</v>
      </c>
      <c r="AC45" s="385"/>
      <c r="AD45" s="398"/>
      <c r="AE45" s="399"/>
      <c r="AF45" s="398"/>
      <c r="AG45" s="399"/>
      <c r="AH45" s="419">
        <f t="shared" si="57"/>
        <v>0</v>
      </c>
      <c r="AI45" s="420"/>
      <c r="AJ45" s="89">
        <f t="shared" si="56"/>
        <v>0</v>
      </c>
      <c r="AK45" s="88">
        <v>0</v>
      </c>
      <c r="AL45" s="89">
        <v>0</v>
      </c>
      <c r="AM45" s="89">
        <v>0</v>
      </c>
      <c r="AN45" s="89">
        <v>0</v>
      </c>
      <c r="AO45" s="89">
        <v>0</v>
      </c>
      <c r="AP45" s="89">
        <v>0</v>
      </c>
      <c r="AQ45" s="432"/>
      <c r="AR45" s="220"/>
      <c r="AS45" s="220"/>
      <c r="AT45" s="220"/>
      <c r="AU45" s="220"/>
      <c r="AV45" s="220"/>
      <c r="AW45" s="220"/>
      <c r="AX45" s="220"/>
      <c r="AY45" s="28" t="str">
        <f t="shared" si="58"/>
        <v>Doom Diver</v>
      </c>
      <c r="AZ45" s="28" t="str">
        <f>IFERROR((VLOOKUP($BP$1&amp;B42,Teams!D:S,12,0)),0)</f>
        <v>S</v>
      </c>
      <c r="BA45" s="28" t="str">
        <f>IFERROR((VLOOKUP($BP$1&amp;B42,Teams!D:S,13,0)),0)</f>
        <v>P</v>
      </c>
      <c r="BB45" s="28" t="str">
        <f>IFERROR((VLOOKUP($BP$1&amp;B42,Teams!D:S,14,0)),0)</f>
        <v>S</v>
      </c>
      <c r="BC45" s="28">
        <f>IFERROR((VLOOKUP($BP$1&amp;B42,Teams!D:S,15,0)),0)</f>
        <v>0</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Goblin</v>
      </c>
      <c r="C46" s="298"/>
      <c r="D46" s="367"/>
      <c r="E46" s="368"/>
      <c r="F46" s="378"/>
      <c r="G46" s="379"/>
      <c r="H46" s="367"/>
      <c r="I46" s="394"/>
      <c r="J46" s="394"/>
      <c r="K46" s="368"/>
      <c r="L46" s="367"/>
      <c r="M46" s="368"/>
      <c r="N46" s="367"/>
      <c r="O46" s="368"/>
      <c r="P46" s="367"/>
      <c r="Q46" s="368"/>
      <c r="R46" s="367"/>
      <c r="S46" s="368"/>
      <c r="T46" s="367"/>
      <c r="U46" s="368"/>
      <c r="V46" s="367"/>
      <c r="W46" s="368"/>
      <c r="X46" s="367"/>
      <c r="Y46" s="368"/>
      <c r="Z46" s="367"/>
      <c r="AA46" s="368"/>
      <c r="AB46" s="397">
        <v>0</v>
      </c>
      <c r="AC46" s="385"/>
      <c r="AD46" s="398"/>
      <c r="AE46" s="399"/>
      <c r="AF46" s="398"/>
      <c r="AG46" s="399"/>
      <c r="AH46" s="419">
        <f t="shared" si="57"/>
        <v>0</v>
      </c>
      <c r="AI46" s="420"/>
      <c r="AJ46" s="89">
        <f t="shared" si="56"/>
        <v>0</v>
      </c>
      <c r="AK46" s="88">
        <v>0</v>
      </c>
      <c r="AL46" s="89">
        <v>0</v>
      </c>
      <c r="AM46" s="89">
        <v>0</v>
      </c>
      <c r="AN46" s="89">
        <v>0</v>
      </c>
      <c r="AO46" s="89">
        <v>0</v>
      </c>
      <c r="AP46" s="89">
        <v>0</v>
      </c>
      <c r="AQ46" s="432"/>
      <c r="AR46" s="220"/>
      <c r="AS46" s="220"/>
      <c r="AT46" s="220"/>
      <c r="AU46" s="220"/>
      <c r="AV46" s="220"/>
      <c r="AW46" s="220"/>
      <c r="AX46" s="220"/>
      <c r="AY46" s="28" t="str">
        <f t="shared" si="58"/>
        <v>Goblin</v>
      </c>
      <c r="AZ46" s="28" t="str">
        <f>IFERROR((VLOOKUP($BP$1&amp;B43,Teams!D:S,12,0)),0)</f>
        <v>S</v>
      </c>
      <c r="BA46" s="28" t="str">
        <f>IFERROR((VLOOKUP($BP$1&amp;B43,Teams!D:S,13,0)),0)</f>
        <v>P</v>
      </c>
      <c r="BB46" s="28" t="str">
        <f>IFERROR((VLOOKUP($BP$1&amp;B43,Teams!D:S,14,0)),0)</f>
        <v>S</v>
      </c>
      <c r="BC46" s="28" t="str">
        <f>IFERROR((VLOOKUP($BP$1&amp;B43,Teams!D:S,15,0)),0)</f>
        <v>S</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Goblin</v>
      </c>
      <c r="C47" s="298"/>
      <c r="D47" s="367"/>
      <c r="E47" s="368"/>
      <c r="F47" s="378"/>
      <c r="G47" s="379"/>
      <c r="H47" s="367"/>
      <c r="I47" s="394"/>
      <c r="J47" s="394"/>
      <c r="K47" s="368"/>
      <c r="L47" s="367"/>
      <c r="M47" s="368"/>
      <c r="N47" s="367"/>
      <c r="O47" s="368"/>
      <c r="P47" s="367"/>
      <c r="Q47" s="368"/>
      <c r="R47" s="367"/>
      <c r="S47" s="368"/>
      <c r="T47" s="367"/>
      <c r="U47" s="368"/>
      <c r="V47" s="367"/>
      <c r="W47" s="368"/>
      <c r="X47" s="367"/>
      <c r="Y47" s="368"/>
      <c r="Z47" s="367"/>
      <c r="AA47" s="368"/>
      <c r="AB47" s="397">
        <v>0</v>
      </c>
      <c r="AC47" s="385"/>
      <c r="AD47" s="398"/>
      <c r="AE47" s="399"/>
      <c r="AF47" s="398"/>
      <c r="AG47" s="399"/>
      <c r="AH47" s="419">
        <f t="shared" si="57"/>
        <v>0</v>
      </c>
      <c r="AI47" s="420"/>
      <c r="AJ47" s="89">
        <f t="shared" si="56"/>
        <v>0</v>
      </c>
      <c r="AK47" s="88">
        <v>0</v>
      </c>
      <c r="AL47" s="89">
        <v>0</v>
      </c>
      <c r="AM47" s="89">
        <v>0</v>
      </c>
      <c r="AN47" s="89">
        <v>0</v>
      </c>
      <c r="AO47" s="89">
        <v>0</v>
      </c>
      <c r="AP47" s="89">
        <v>0</v>
      </c>
      <c r="AQ47" s="432"/>
      <c r="AR47" s="220"/>
      <c r="AS47" s="220"/>
      <c r="AT47" s="220"/>
      <c r="AU47" s="220"/>
      <c r="AV47" s="220"/>
      <c r="AW47" s="220"/>
      <c r="AX47" s="220"/>
      <c r="AY47" s="28" t="str">
        <f t="shared" si="58"/>
        <v>Goblin</v>
      </c>
      <c r="AZ47" s="28" t="str">
        <f>IFERROR((VLOOKUP($BP$1&amp;B44,Teams!D:S,12,0)),0)</f>
        <v>S</v>
      </c>
      <c r="BA47" s="28" t="str">
        <f>IFERROR((VLOOKUP($BP$1&amp;B44,Teams!D:S,13,0)),0)</f>
        <v>P</v>
      </c>
      <c r="BB47" s="28" t="str">
        <f>IFERROR((VLOOKUP($BP$1&amp;B44,Teams!D:S,14,0)),0)</f>
        <v>S</v>
      </c>
      <c r="BC47" s="28" t="str">
        <f>IFERROR((VLOOKUP($BP$1&amp;B44,Teams!D:S,15,0)),0)</f>
        <v>S</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Goblin</v>
      </c>
      <c r="C48" s="298"/>
      <c r="D48" s="367"/>
      <c r="E48" s="368"/>
      <c r="F48" s="378"/>
      <c r="G48" s="379"/>
      <c r="H48" s="367"/>
      <c r="I48" s="394"/>
      <c r="J48" s="394"/>
      <c r="K48" s="368"/>
      <c r="L48" s="367"/>
      <c r="M48" s="368"/>
      <c r="N48" s="367"/>
      <c r="O48" s="368"/>
      <c r="P48" s="367"/>
      <c r="Q48" s="368"/>
      <c r="R48" s="367"/>
      <c r="S48" s="368"/>
      <c r="T48" s="367"/>
      <c r="U48" s="368"/>
      <c r="V48" s="367"/>
      <c r="W48" s="368"/>
      <c r="X48" s="367"/>
      <c r="Y48" s="368"/>
      <c r="Z48" s="367"/>
      <c r="AA48" s="368"/>
      <c r="AB48" s="397">
        <v>0</v>
      </c>
      <c r="AC48" s="385"/>
      <c r="AD48" s="398"/>
      <c r="AE48" s="399"/>
      <c r="AF48" s="398"/>
      <c r="AG48" s="399"/>
      <c r="AH48" s="419">
        <f t="shared" si="57"/>
        <v>0</v>
      </c>
      <c r="AI48" s="420"/>
      <c r="AJ48" s="89">
        <f t="shared" si="56"/>
        <v>0</v>
      </c>
      <c r="AK48" s="88">
        <v>0</v>
      </c>
      <c r="AL48" s="89">
        <v>0</v>
      </c>
      <c r="AM48" s="89">
        <v>0</v>
      </c>
      <c r="AN48" s="89">
        <v>0</v>
      </c>
      <c r="AO48" s="89">
        <v>0</v>
      </c>
      <c r="AP48" s="89">
        <v>0</v>
      </c>
      <c r="AQ48" s="432"/>
      <c r="AR48" s="220"/>
      <c r="AS48" s="220"/>
      <c r="AT48" s="220"/>
      <c r="AU48" s="220"/>
      <c r="AV48" s="220"/>
      <c r="AW48" s="220"/>
      <c r="AX48" s="220"/>
      <c r="AY48" s="28" t="str">
        <f t="shared" si="58"/>
        <v>Goblin</v>
      </c>
      <c r="AZ48" s="28" t="str">
        <f>IFERROR((VLOOKUP($BP$1&amp;B45,Teams!D:S,12,0)),0)</f>
        <v>S</v>
      </c>
      <c r="BA48" s="28" t="str">
        <f>IFERROR((VLOOKUP($BP$1&amp;B45,Teams!D:S,13,0)),0)</f>
        <v>P</v>
      </c>
      <c r="BB48" s="28" t="str">
        <f>IFERROR((VLOOKUP($BP$1&amp;B45,Teams!D:S,14,0)),0)</f>
        <v>S</v>
      </c>
      <c r="BC48" s="28" t="str">
        <f>IFERROR((VLOOKUP($BP$1&amp;B45,Teams!D:S,15,0)),0)</f>
        <v>S</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Goblin</v>
      </c>
      <c r="C49" s="298"/>
      <c r="D49" s="367"/>
      <c r="E49" s="368"/>
      <c r="F49" s="378"/>
      <c r="G49" s="379"/>
      <c r="H49" s="367"/>
      <c r="I49" s="394"/>
      <c r="J49" s="394"/>
      <c r="K49" s="368"/>
      <c r="L49" s="367"/>
      <c r="M49" s="368"/>
      <c r="N49" s="367"/>
      <c r="O49" s="368"/>
      <c r="P49" s="367"/>
      <c r="Q49" s="368"/>
      <c r="R49" s="367"/>
      <c r="S49" s="368"/>
      <c r="T49" s="367"/>
      <c r="U49" s="368"/>
      <c r="V49" s="367"/>
      <c r="W49" s="368"/>
      <c r="X49" s="367"/>
      <c r="Y49" s="368"/>
      <c r="Z49" s="367"/>
      <c r="AA49" s="368"/>
      <c r="AB49" s="397">
        <v>0</v>
      </c>
      <c r="AC49" s="385"/>
      <c r="AD49" s="398"/>
      <c r="AE49" s="399"/>
      <c r="AF49" s="398"/>
      <c r="AG49" s="399"/>
      <c r="AH49" s="419">
        <f t="shared" si="57"/>
        <v>0</v>
      </c>
      <c r="AI49" s="420"/>
      <c r="AJ49" s="89">
        <f t="shared" si="56"/>
        <v>0</v>
      </c>
      <c r="AK49" s="88">
        <v>0</v>
      </c>
      <c r="AL49" s="89">
        <v>0</v>
      </c>
      <c r="AM49" s="89">
        <v>0</v>
      </c>
      <c r="AN49" s="89">
        <v>0</v>
      </c>
      <c r="AO49" s="89">
        <v>0</v>
      </c>
      <c r="AP49" s="89">
        <v>0</v>
      </c>
      <c r="AQ49" s="432"/>
      <c r="AR49" s="220"/>
      <c r="AS49" s="220"/>
      <c r="AT49" s="220"/>
      <c r="AU49" s="220"/>
      <c r="AV49" s="220"/>
      <c r="AW49" s="220"/>
      <c r="AX49" s="220"/>
      <c r="AY49" s="28" t="str">
        <f t="shared" si="58"/>
        <v>Goblin</v>
      </c>
      <c r="AZ49" s="28" t="str">
        <f>IFERROR((VLOOKUP($BP$1&amp;B46,Teams!D:S,12,0)),0)</f>
        <v>S</v>
      </c>
      <c r="BA49" s="28" t="str">
        <f>IFERROR((VLOOKUP($BP$1&amp;B46,Teams!D:S,13,0)),0)</f>
        <v>P</v>
      </c>
      <c r="BB49" s="28" t="str">
        <f>IFERROR((VLOOKUP($BP$1&amp;B46,Teams!D:S,14,0)),0)</f>
        <v>S</v>
      </c>
      <c r="BC49" s="28" t="str">
        <f>IFERROR((VLOOKUP($BP$1&amp;B46,Teams!D:S,15,0)),0)</f>
        <v>S</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t="str">
        <f t="shared" si="55"/>
        <v>Goblin</v>
      </c>
      <c r="C50" s="298"/>
      <c r="D50" s="367"/>
      <c r="E50" s="368"/>
      <c r="F50" s="378"/>
      <c r="G50" s="379"/>
      <c r="H50" s="367"/>
      <c r="I50" s="394"/>
      <c r="J50" s="394"/>
      <c r="K50" s="368"/>
      <c r="L50" s="367"/>
      <c r="M50" s="368"/>
      <c r="N50" s="367"/>
      <c r="O50" s="368"/>
      <c r="P50" s="367"/>
      <c r="Q50" s="368"/>
      <c r="R50" s="367"/>
      <c r="S50" s="368"/>
      <c r="T50" s="367"/>
      <c r="U50" s="368"/>
      <c r="V50" s="367"/>
      <c r="W50" s="368"/>
      <c r="X50" s="367"/>
      <c r="Y50" s="368"/>
      <c r="Z50" s="367"/>
      <c r="AA50" s="368"/>
      <c r="AB50" s="397">
        <v>0</v>
      </c>
      <c r="AC50" s="385"/>
      <c r="AD50" s="398"/>
      <c r="AE50" s="399"/>
      <c r="AF50" s="398"/>
      <c r="AG50" s="399"/>
      <c r="AH50" s="419">
        <f t="shared" si="57"/>
        <v>0</v>
      </c>
      <c r="AI50" s="420"/>
      <c r="AJ50" s="89">
        <f t="shared" si="56"/>
        <v>0</v>
      </c>
      <c r="AK50" s="88">
        <v>0</v>
      </c>
      <c r="AL50" s="89">
        <v>0</v>
      </c>
      <c r="AM50" s="89">
        <v>0</v>
      </c>
      <c r="AN50" s="89">
        <v>0</v>
      </c>
      <c r="AO50" s="89">
        <v>0</v>
      </c>
      <c r="AP50" s="89">
        <v>0</v>
      </c>
      <c r="AQ50" s="432"/>
      <c r="AR50" s="220"/>
      <c r="AS50" s="220"/>
      <c r="AT50" s="220"/>
      <c r="AU50" s="220"/>
      <c r="AV50" s="220"/>
      <c r="AW50" s="220"/>
      <c r="AX50" s="220"/>
      <c r="AY50" s="28" t="str">
        <f t="shared" si="58"/>
        <v>Goblin</v>
      </c>
      <c r="AZ50" s="28" t="str">
        <f>IFERROR((VLOOKUP($BP$1&amp;B47,Teams!D:S,12,0)),0)</f>
        <v>S</v>
      </c>
      <c r="BA50" s="28" t="str">
        <f>IFERROR((VLOOKUP($BP$1&amp;B47,Teams!D:S,13,0)),0)</f>
        <v>P</v>
      </c>
      <c r="BB50" s="28" t="str">
        <f>IFERROR((VLOOKUP($BP$1&amp;B47,Teams!D:S,14,0)),0)</f>
        <v>S</v>
      </c>
      <c r="BC50" s="28" t="str">
        <f>IFERROR((VLOOKUP($BP$1&amp;B47,Teams!D:S,15,0)),0)</f>
        <v>S</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 xml:space="preserve">Troll </v>
      </c>
      <c r="C51" s="298"/>
      <c r="D51" s="367"/>
      <c r="E51" s="368"/>
      <c r="F51" s="378"/>
      <c r="G51" s="379"/>
      <c r="H51" s="367"/>
      <c r="I51" s="394"/>
      <c r="J51" s="394"/>
      <c r="K51" s="368"/>
      <c r="L51" s="367"/>
      <c r="M51" s="368"/>
      <c r="N51" s="367"/>
      <c r="O51" s="368"/>
      <c r="P51" s="367"/>
      <c r="Q51" s="368"/>
      <c r="R51" s="367"/>
      <c r="S51" s="368"/>
      <c r="T51" s="367"/>
      <c r="U51" s="368"/>
      <c r="V51" s="367"/>
      <c r="W51" s="368"/>
      <c r="X51" s="367"/>
      <c r="Y51" s="368"/>
      <c r="Z51" s="367"/>
      <c r="AA51" s="368"/>
      <c r="AB51" s="397">
        <v>0</v>
      </c>
      <c r="AC51" s="385"/>
      <c r="AD51" s="398"/>
      <c r="AE51" s="399"/>
      <c r="AF51" s="398"/>
      <c r="AG51" s="399"/>
      <c r="AH51" s="419">
        <f t="shared" si="57"/>
        <v>0</v>
      </c>
      <c r="AI51" s="420"/>
      <c r="AJ51" s="89">
        <f t="shared" si="56"/>
        <v>0</v>
      </c>
      <c r="AK51" s="88">
        <v>0</v>
      </c>
      <c r="AL51" s="89">
        <v>0</v>
      </c>
      <c r="AM51" s="89">
        <v>0</v>
      </c>
      <c r="AN51" s="89">
        <v>0</v>
      </c>
      <c r="AO51" s="89">
        <v>0</v>
      </c>
      <c r="AP51" s="89">
        <v>0</v>
      </c>
      <c r="AQ51" s="432"/>
      <c r="AR51" s="220"/>
      <c r="AS51" s="220"/>
      <c r="AT51" s="220"/>
      <c r="AU51" s="220"/>
      <c r="AV51" s="220"/>
      <c r="AW51" s="220"/>
      <c r="AX51" s="220"/>
      <c r="AY51" s="28" t="str">
        <f t="shared" si="58"/>
        <v>Goblin</v>
      </c>
      <c r="AZ51" s="28" t="str">
        <f>IFERROR((VLOOKUP($BP$1&amp;B48,Teams!D:S,12,0)),0)</f>
        <v>S</v>
      </c>
      <c r="BA51" s="28" t="str">
        <f>IFERROR((VLOOKUP($BP$1&amp;B48,Teams!D:S,13,0)),0)</f>
        <v>P</v>
      </c>
      <c r="BB51" s="28" t="str">
        <f>IFERROR((VLOOKUP($BP$1&amp;B48,Teams!D:S,14,0)),0)</f>
        <v>S</v>
      </c>
      <c r="BC51" s="28" t="str">
        <f>IFERROR((VLOOKUP($BP$1&amp;B48,Teams!D:S,15,0)),0)</f>
        <v>S</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xml:space="preserve">Troll </v>
      </c>
      <c r="C52" s="299"/>
      <c r="D52" s="378"/>
      <c r="E52" s="379"/>
      <c r="F52" s="378"/>
      <c r="G52" s="379"/>
      <c r="H52" s="367"/>
      <c r="I52" s="394"/>
      <c r="J52" s="394"/>
      <c r="K52" s="368"/>
      <c r="L52" s="378"/>
      <c r="M52" s="379"/>
      <c r="N52" s="367"/>
      <c r="O52" s="368"/>
      <c r="P52" s="378"/>
      <c r="Q52" s="379"/>
      <c r="R52" s="367"/>
      <c r="S52" s="368"/>
      <c r="T52" s="378"/>
      <c r="U52" s="379"/>
      <c r="V52" s="367"/>
      <c r="W52" s="368"/>
      <c r="X52" s="378"/>
      <c r="Y52" s="379"/>
      <c r="Z52" s="367"/>
      <c r="AA52" s="368"/>
      <c r="AB52" s="397">
        <v>0</v>
      </c>
      <c r="AC52" s="385"/>
      <c r="AD52" s="398"/>
      <c r="AE52" s="399"/>
      <c r="AF52" s="398"/>
      <c r="AG52" s="399"/>
      <c r="AH52" s="419">
        <f t="shared" si="57"/>
        <v>0</v>
      </c>
      <c r="AI52" s="420"/>
      <c r="AJ52" s="89">
        <f>IFERROR((SUM(CV55:DA55)+AF52),0)</f>
        <v>0</v>
      </c>
      <c r="AK52" s="90">
        <v>0</v>
      </c>
      <c r="AL52" s="89">
        <v>0</v>
      </c>
      <c r="AM52" s="89">
        <v>0</v>
      </c>
      <c r="AN52" s="89">
        <v>0</v>
      </c>
      <c r="AO52" s="89">
        <v>0</v>
      </c>
      <c r="AP52" s="89">
        <v>0</v>
      </c>
      <c r="AQ52" s="432"/>
      <c r="AR52" s="220"/>
      <c r="AS52" s="220"/>
      <c r="AT52" s="220"/>
      <c r="AU52" s="220"/>
      <c r="AV52" s="220"/>
      <c r="AW52" s="220"/>
      <c r="AX52" s="220"/>
      <c r="AY52" s="28" t="str">
        <f t="shared" si="58"/>
        <v>Goblin</v>
      </c>
      <c r="AZ52" s="28" t="str">
        <f>IFERROR((VLOOKUP($BP$1&amp;B49,Teams!D:S,12,0)),0)</f>
        <v>S</v>
      </c>
      <c r="BA52" s="28" t="str">
        <f>IFERROR((VLOOKUP($BP$1&amp;B49,Teams!D:S,13,0)),0)</f>
        <v>P</v>
      </c>
      <c r="BB52" s="28" t="str">
        <f>IFERROR((VLOOKUP($BP$1&amp;B49,Teams!D:S,14,0)),0)</f>
        <v>S</v>
      </c>
      <c r="BC52" s="28" t="str">
        <f>IFERROR((VLOOKUP($BP$1&amp;B49,Teams!D:S,15,0)),0)</f>
        <v>S</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2"/>
      <c r="AR53" s="220"/>
      <c r="AS53" s="220"/>
      <c r="AT53" s="220"/>
      <c r="AU53" s="220"/>
      <c r="AV53" s="220"/>
      <c r="AW53" s="220"/>
      <c r="AX53" s="220"/>
      <c r="AY53" s="28" t="str">
        <f t="shared" si="58"/>
        <v>Goblin</v>
      </c>
      <c r="AZ53" s="28" t="str">
        <f>IFERROR((VLOOKUP($BP$1&amp;B50,Teams!D:S,12,0)),0)</f>
        <v>S</v>
      </c>
      <c r="BA53" s="28" t="str">
        <f>IFERROR((VLOOKUP($BP$1&amp;B50,Teams!D:S,13,0)),0)</f>
        <v>P</v>
      </c>
      <c r="BB53" s="28" t="str">
        <f>IFERROR((VLOOKUP($BP$1&amp;B50,Teams!D:S,14,0)),0)</f>
        <v>S</v>
      </c>
      <c r="BC53" s="28" t="str">
        <f>IFERROR((VLOOKUP($BP$1&amp;B50,Teams!D:S,15,0)),0)</f>
        <v>S</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 xml:space="preserve">Troll </v>
      </c>
      <c r="AZ54" s="28" t="str">
        <f>IFERROR((VLOOKUP($BP$1&amp;B51,Teams!D:S,12,0)),0)</f>
        <v>S</v>
      </c>
      <c r="BA54" s="28" t="str">
        <f>IFERROR((VLOOKUP($BP$1&amp;B51,Teams!D:S,13,0)),0)</f>
        <v>S</v>
      </c>
      <c r="BB54" s="28" t="str">
        <f>IFERROR((VLOOKUP($BP$1&amp;B51,Teams!D:S,14,0)),0)</f>
        <v>P</v>
      </c>
      <c r="BC54" s="28" t="str">
        <f>IFERROR((VLOOKUP($BP$1&amp;B51,Teams!D:S,15,0)),0)</f>
        <v>S</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xml:space="preserve">Troll </v>
      </c>
      <c r="AZ55" s="28" t="str">
        <f>IFERROR((VLOOKUP($BP$1&amp;B52,Teams!D:S,12,0)),0)</f>
        <v>S</v>
      </c>
      <c r="BA55" s="28" t="str">
        <f>IFERROR((VLOOKUP($BP$1&amp;B52,Teams!D:S,13,0)),0)</f>
        <v>S</v>
      </c>
      <c r="BB55" s="28" t="str">
        <f>IFERROR((VLOOKUP($BP$1&amp;B52,Teams!D:S,14,0)),0)</f>
        <v>P</v>
      </c>
      <c r="BC55" s="28" t="str">
        <f>IFERROR((VLOOKUP($BP$1&amp;B52,Teams!D:S,15,0)),0)</f>
        <v>S</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PM</v>
      </c>
      <c r="CI57" s="246" t="str">
        <f>VLOOKUP(CI58,Teams!$D:$T,17,FALSE)</f>
        <v>PM</v>
      </c>
      <c r="CJ57" s="28" t="str">
        <f>VLOOKUP(CJ58,Teams!$D:$T,17,FALSE)</f>
        <v>M</v>
      </c>
      <c r="CK57" s="28" t="str">
        <f>VLOOKUP(CK58,Teams!$D:$T,17,FALSE)</f>
        <v>M</v>
      </c>
      <c r="CL57" s="28" t="str">
        <f>VLOOKUP(CL58,Teams!$D:$T,17,FALSE)</f>
        <v>M</v>
      </c>
      <c r="CM57" s="28" t="str">
        <f>VLOOKUP(CM58,Teams!$D:$T,17,FALSE)</f>
        <v>PM</v>
      </c>
      <c r="CN57" s="28" t="str">
        <f>VLOOKUP(CN58,Teams!$D:$T,17,FALSE)</f>
        <v>M</v>
      </c>
      <c r="CO57" s="28" t="str">
        <f>VLOOKUP(CO58,Teams!$D:$T,17,FALSE)</f>
        <v>M</v>
      </c>
      <c r="CP57" s="28" t="str">
        <f>VLOOKUP(CP58,Teams!$D:$T,17,FALSE)</f>
        <v>M</v>
      </c>
      <c r="CQ57" s="28" t="str">
        <f>VLOOKUP(CQ58,Teams!$D:$T,17,FALSE)</f>
        <v>M</v>
      </c>
      <c r="CR57" s="28" t="str">
        <f>VLOOKUP(CR58,Teams!$D:$T,17,FALSE)</f>
        <v>M</v>
      </c>
      <c r="CS57" s="28" t="str">
        <f>VLOOKUP(CS58,Teams!$D:$T,17,FALSE)</f>
        <v>M</v>
      </c>
      <c r="CT57" s="28" t="str">
        <f>VLOOKUP(CT58,Teams!$D:$T,17,FALSE)</f>
        <v>M</v>
      </c>
      <c r="CU57" s="28" t="str">
        <f>VLOOKUP(CU58,Teams!$D:$T,17,FALSE)</f>
        <v>M</v>
      </c>
      <c r="CV57" s="28" t="str">
        <f>VLOOKUP(CV58,Teams!$D:$T,17,FALSE)</f>
        <v>M</v>
      </c>
      <c r="CW57" s="28" t="str">
        <f>VLOOKUP(CW58,Teams!$D:$T,17,FALSE)</f>
        <v>M</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GoblinLooney</v>
      </c>
      <c r="CI58" s="249" t="str">
        <f>$BP$1&amp;$D3</f>
        <v xml:space="preserve">GoblinFanatic </v>
      </c>
      <c r="CJ58" s="68" t="str">
        <f>$BP$1&amp;$D4</f>
        <v>GoblinBombardier</v>
      </c>
      <c r="CK58" s="67" t="str">
        <f>$BP$1&amp;$D5</f>
        <v>GoblinOoligan</v>
      </c>
      <c r="CL58" s="67" t="str">
        <f>$BP$1&amp;$D6</f>
        <v>GoblinPogoer</v>
      </c>
      <c r="CM58" s="67" t="str">
        <f>$BP$1&amp;$D7</f>
        <v>GoblinDoom Diver</v>
      </c>
      <c r="CN58" s="68" t="str">
        <f>$BP$1&amp;$D8</f>
        <v>GoblinGoblin</v>
      </c>
      <c r="CO58" s="67" t="str">
        <f>$BP$1&amp;$D9</f>
        <v>GoblinGoblin</v>
      </c>
      <c r="CP58" s="67" t="str">
        <f>$BP$1&amp;$D10</f>
        <v>GoblinGoblin</v>
      </c>
      <c r="CQ58" s="67" t="str">
        <f>$BP$1&amp;$D11</f>
        <v>GoblinGoblin</v>
      </c>
      <c r="CR58" s="68" t="str">
        <f>$BP$1&amp;$D12</f>
        <v>GoblinGoblin</v>
      </c>
      <c r="CS58" s="67" t="str">
        <f>$BP$1&amp;$D13</f>
        <v>GoblinGoblin</v>
      </c>
      <c r="CT58" s="67" t="str">
        <f>$BP$1&amp;$D14</f>
        <v>GoblinGoblin</v>
      </c>
      <c r="CU58" s="67" t="str">
        <f>$BP$1&amp;$D15</f>
        <v>GoblinGoblin</v>
      </c>
      <c r="CV58" s="68" t="str">
        <f>$BP$1&amp;$D16</f>
        <v xml:space="preserve">GoblinTroll </v>
      </c>
      <c r="CW58" s="67" t="str">
        <f>$BP$1&amp;$D17</f>
        <v xml:space="preserve">GoblinTroll </v>
      </c>
      <c r="CX58" s="30"/>
      <c r="CY58" s="30"/>
      <c r="CZ58" s="30"/>
      <c r="DA58" s="28"/>
      <c r="DB58" s="30"/>
      <c r="DC58" s="30"/>
    </row>
    <row r="59" spans="1:107" ht="15" hidden="1" customHeight="1">
      <c r="A59" s="28"/>
      <c r="B59" s="395" t="s">
        <v>213</v>
      </c>
      <c r="C59" s="395"/>
      <c r="D59" s="396"/>
      <c r="E59" s="396"/>
      <c r="F59" s="396"/>
      <c r="G59" s="396"/>
      <c r="H59" s="28"/>
      <c r="I59" s="28"/>
      <c r="J59" s="28"/>
      <c r="K59" s="28"/>
      <c r="L59" s="395" t="s">
        <v>214</v>
      </c>
      <c r="M59" s="396"/>
      <c r="N59" s="396"/>
      <c r="O59" s="396"/>
      <c r="P59" s="396"/>
      <c r="Q59" s="28"/>
      <c r="R59" s="395" t="s">
        <v>215</v>
      </c>
      <c r="S59" s="396"/>
      <c r="T59" s="396"/>
      <c r="U59" s="396"/>
      <c r="V59" s="396"/>
      <c r="W59" s="28"/>
      <c r="X59" s="395" t="s">
        <v>216</v>
      </c>
      <c r="Y59" s="396"/>
      <c r="Z59" s="396"/>
      <c r="AA59" s="396"/>
      <c r="AB59" s="396"/>
      <c r="AC59" s="28"/>
      <c r="AD59" s="395" t="s">
        <v>217</v>
      </c>
      <c r="AE59" s="396"/>
      <c r="AF59" s="396"/>
      <c r="AG59" s="396"/>
      <c r="AH59" s="396"/>
      <c r="AI59" s="28"/>
      <c r="AJ59" s="28"/>
      <c r="AK59" s="28"/>
      <c r="AL59" s="395" t="s">
        <v>218</v>
      </c>
      <c r="AM59" s="396"/>
      <c r="AN59" s="396"/>
      <c r="AO59" s="396"/>
      <c r="AP59" s="396"/>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393" t="s">
        <v>225</v>
      </c>
      <c r="BU59" s="393"/>
      <c r="BV59" s="393" t="s">
        <v>199</v>
      </c>
      <c r="BW59" s="393"/>
      <c r="BX59" s="393" t="s">
        <v>200</v>
      </c>
      <c r="BY59" s="393"/>
      <c r="BZ59" s="393" t="s">
        <v>226</v>
      </c>
      <c r="CA59" s="393"/>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07" t="str">
        <f>IF(K31&lt;0,(IF(K25="Italiano","AVETE SPESO TROPPO!   ",IF(K25="Español","¡HAS GASTADO DEMASIADO!   ",(IF(K25="Deutsch","ZU VIEL AUSGEGEBEN!   ",(IF(K25="Français","TU DÉPENSES TROP!   ","YOU HAVE EXPENT TOO MUCH!   "))))))),"")</f>
        <v/>
      </c>
      <c r="C60" s="407"/>
      <c r="D60" s="396"/>
      <c r="E60" s="396"/>
      <c r="F60" s="396"/>
      <c r="G60" s="396"/>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0</v>
      </c>
      <c r="AZ60" s="28">
        <f>COUNTIF(BT40:BY55,"S")</f>
        <v>0</v>
      </c>
      <c r="BA60" s="28">
        <f>AY60+AZ60</f>
        <v>0</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80000</v>
      </c>
      <c r="BO60" s="75"/>
      <c r="BP60" s="226" t="s">
        <v>1224</v>
      </c>
      <c r="BQ60" s="75">
        <f>IFERROR((IF(OR(COUNTIF($BV$2,"*BadlandsBrawl*")),50000,0)),0)</f>
        <v>50000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str">
        <f t="shared" ref="CU60:CU139" si="128">IFERROR((IF($CU$57="M",BX60,IF($CU$57="PM",BZ60,IF($CU$57="P",BV60,IF($CU$57="FULL",BT60))))),"")</f>
        <v/>
      </c>
      <c r="CV60" s="67" t="str">
        <f t="shared" ref="CV60:CV139" si="129">IFERROR((IF($CV$57="M",BX60,IF($CV$57="PM",BZ60,IF($CV$57="P",BV60,IF($CV$57="FULL",BT60))))),"")</f>
        <v/>
      </c>
      <c r="CW60" s="67" t="str">
        <f t="shared" ref="CW60:CW125" si="130">IFERROR((IF($CW$57="M",BX60,IF($CW$57="PM",BZ60,IF($CW$57="P",BV60,IF($CW$57="FULL",BT60))))),"")</f>
        <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6</v>
      </c>
      <c r="M61" s="27">
        <f t="shared" ref="M61:M76" si="132">IF(S61=0,0,(IF(S61&gt;8,8,(IF(S61&lt;1,1,S61)))))</f>
        <v>2</v>
      </c>
      <c r="N61" s="27">
        <f t="shared" ref="N61:O61" si="133">IF(T61=0,0,(IF(T61&gt;6,6,(IF(T61&lt;1,1,T61)))))</f>
        <v>3</v>
      </c>
      <c r="O61" s="27">
        <f t="shared" si="133"/>
        <v>0</v>
      </c>
      <c r="P61" s="27">
        <f t="shared" ref="P61:P76" si="134">IF(V61=0,0,(IF(V61&gt;11,11,(IF(V61&lt;3,3,V61)))))</f>
        <v>8</v>
      </c>
      <c r="Q61" s="28"/>
      <c r="R61" s="27">
        <f>IFERROR((VLOOKUP($BP$1&amp;D2,Teams!D:M,2,0)+AL61+AD61),0)</f>
        <v>6</v>
      </c>
      <c r="S61" s="27">
        <f>IFERROR((VLOOKUP($BP$1&amp;D2,Teams!D:M,3,0)+AM61+AE61),0)</f>
        <v>2</v>
      </c>
      <c r="T61" s="27">
        <f>IFERROR((VLOOKUP($BP$1&amp;D2,Teams!D:M,4,0)+AN61-AF61),0)</f>
        <v>3</v>
      </c>
      <c r="U61" s="27">
        <f>IFERROR((VLOOKUP($BP$1&amp;D2,Teams!D:M,5,0)+AO61-AG61),0)</f>
        <v>0</v>
      </c>
      <c r="V61" s="27">
        <f>IFERROR((VLOOKUP($BP$1&amp;D2,Teams!D:M,6,0)+AP61+AH61),0)</f>
        <v>8</v>
      </c>
      <c r="W61" s="28"/>
      <c r="X61" s="28">
        <f>IFERROR((VLOOKUP($BP$1&amp;D2,Teams!D:M,2,0)),0)</f>
        <v>6</v>
      </c>
      <c r="Y61" s="28">
        <f>IFERROR((VLOOKUP($BP$1&amp;D2,Teams!D:M,3,0)),0)</f>
        <v>2</v>
      </c>
      <c r="Z61" s="28">
        <f>IFERROR((VLOOKUP($BP$1&amp;D2,Teams!D:M,4,0)),0)</f>
        <v>3</v>
      </c>
      <c r="AA61" s="28">
        <f>IFERROR((VLOOKUP($BP$1&amp;D2,Teams!D:M,5,0)),0)</f>
        <v>0</v>
      </c>
      <c r="AB61" s="28">
        <f>IFERROR((VLOOKUP($BP$1&amp;D2,Teams!D:M,6,0)),0)</f>
        <v>8</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0</v>
      </c>
      <c r="BG61" s="75"/>
      <c r="BH61" s="30"/>
      <c r="BI61" s="226" t="s">
        <v>1209</v>
      </c>
      <c r="BJ61" s="75">
        <f>IFERROR((IF(OR(COUNTIF($BV$2,"*Favouredof*"),COUNTIF($BV$2,"*UnderworldChallenge*")),150000,0)),0)</f>
        <v>150000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str">
        <f t="shared" si="122"/>
        <v>MA+</v>
      </c>
      <c r="CP61" s="67" t="str">
        <f t="shared" si="123"/>
        <v>MA+</v>
      </c>
      <c r="CQ61" s="67" t="str">
        <f t="shared" si="124"/>
        <v>MA+</v>
      </c>
      <c r="CR61" s="67" t="str">
        <f t="shared" si="125"/>
        <v>MA+</v>
      </c>
      <c r="CS61" s="67" t="str">
        <f t="shared" si="126"/>
        <v>MA+</v>
      </c>
      <c r="CT61" s="67" t="str">
        <f t="shared" si="127"/>
        <v>MA+</v>
      </c>
      <c r="CU61" s="67" t="str">
        <f t="shared" si="128"/>
        <v>MA+</v>
      </c>
      <c r="CV61" s="67" t="str">
        <f t="shared" si="129"/>
        <v>MA+</v>
      </c>
      <c r="CW61" s="67" t="str">
        <f t="shared" si="130"/>
        <v>MA+</v>
      </c>
      <c r="CX61" s="30"/>
      <c r="CY61" s="30"/>
      <c r="CZ61" s="30"/>
      <c r="DA61" s="28"/>
      <c r="DB61" s="30"/>
      <c r="DC61" s="30"/>
    </row>
    <row r="62" spans="1:107" ht="15" hidden="1" customHeight="1">
      <c r="A62" s="28"/>
      <c r="B62" s="54"/>
      <c r="C62" s="54"/>
      <c r="D62" s="54"/>
      <c r="E62" s="54"/>
      <c r="F62" s="54"/>
      <c r="G62" s="54"/>
      <c r="H62" s="28"/>
      <c r="I62" s="28"/>
      <c r="J62" s="28"/>
      <c r="K62" s="28"/>
      <c r="L62" s="28">
        <f t="shared" si="131"/>
        <v>3</v>
      </c>
      <c r="M62" s="28">
        <f t="shared" si="132"/>
        <v>7</v>
      </c>
      <c r="N62" s="28">
        <f t="shared" ref="N62:O62" si="144">IF(T62=0,0,(IF(T62&gt;6,6,(IF(T62&lt;1,1,T62)))))</f>
        <v>3</v>
      </c>
      <c r="O62" s="28">
        <f t="shared" si="144"/>
        <v>0</v>
      </c>
      <c r="P62" s="28">
        <f t="shared" si="134"/>
        <v>8</v>
      </c>
      <c r="Q62" s="28"/>
      <c r="R62" s="27">
        <f>IFERROR((VLOOKUP($BP$1&amp;D3,Teams!D:M,2,0)+AL62+AD62),0)</f>
        <v>3</v>
      </c>
      <c r="S62" s="27">
        <f>IFERROR((VLOOKUP($BP$1&amp;D3,Teams!D:M,3,0)+AM62+AE62),0)</f>
        <v>7</v>
      </c>
      <c r="T62" s="27">
        <f>IFERROR((VLOOKUP($BP$1&amp;D3,Teams!D:M,4,0)+AN62-AF62),0)</f>
        <v>3</v>
      </c>
      <c r="U62" s="27">
        <f>IFERROR((VLOOKUP($BP$1&amp;D3,Teams!D:M,5,0)+AO62-AG62),0)</f>
        <v>0</v>
      </c>
      <c r="V62" s="27">
        <f>IFERROR((VLOOKUP($BP$1&amp;D3,Teams!D:M,6,0)+AP62+AH62),0)</f>
        <v>8</v>
      </c>
      <c r="W62" s="28"/>
      <c r="X62" s="28">
        <f>IFERROR((VLOOKUP($BP$1&amp;D3,Teams!D:M,2,0)),0)</f>
        <v>3</v>
      </c>
      <c r="Y62" s="28">
        <f>IFERROR((VLOOKUP($BP$1&amp;D3,Teams!D:M,3,0)),0)</f>
        <v>7</v>
      </c>
      <c r="Z62" s="28">
        <f>IFERROR((VLOOKUP($BP$1&amp;D3,Teams!D:M,4,0)),0)</f>
        <v>3</v>
      </c>
      <c r="AA62" s="28">
        <f>IFERROR((VLOOKUP($BP$1&amp;D3,Teams!D:M,5,0)),0)</f>
        <v>0</v>
      </c>
      <c r="AB62" s="28">
        <f>IFERROR((VLOOKUP($BP$1&amp;D3,Teams!D:M,6,0)),0)</f>
        <v>8</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80000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str">
        <f t="shared" si="122"/>
        <v>AV+</v>
      </c>
      <c r="CP62" s="67" t="str">
        <f t="shared" si="123"/>
        <v>AV+</v>
      </c>
      <c r="CQ62" s="67" t="str">
        <f t="shared" si="124"/>
        <v>AV+</v>
      </c>
      <c r="CR62" s="67" t="str">
        <f t="shared" si="125"/>
        <v>AV+</v>
      </c>
      <c r="CS62" s="67" t="str">
        <f t="shared" si="126"/>
        <v>AV+</v>
      </c>
      <c r="CT62" s="67" t="str">
        <f t="shared" si="127"/>
        <v>AV+</v>
      </c>
      <c r="CU62" s="67" t="str">
        <f t="shared" si="128"/>
        <v>AV+</v>
      </c>
      <c r="CV62" s="67" t="str">
        <f t="shared" si="129"/>
        <v>AV+</v>
      </c>
      <c r="CW62" s="67" t="str">
        <f t="shared" si="130"/>
        <v>AV+</v>
      </c>
      <c r="CX62" s="30"/>
      <c r="CY62" s="30"/>
      <c r="CZ62" s="30"/>
      <c r="DA62" s="28"/>
      <c r="DB62" s="30"/>
      <c r="DC62" s="30"/>
    </row>
    <row r="63" spans="1:107" ht="15" hidden="1" customHeight="1">
      <c r="A63" s="28"/>
      <c r="B63" s="54"/>
      <c r="C63" s="54"/>
      <c r="D63" s="54"/>
      <c r="E63" s="54"/>
      <c r="F63" s="54"/>
      <c r="G63" s="54"/>
      <c r="H63" s="28"/>
      <c r="I63" s="28"/>
      <c r="J63" s="28"/>
      <c r="K63" s="28"/>
      <c r="L63" s="28">
        <f t="shared" si="131"/>
        <v>6</v>
      </c>
      <c r="M63" s="28">
        <f t="shared" si="132"/>
        <v>2</v>
      </c>
      <c r="N63" s="28">
        <f t="shared" ref="N63:O63" si="146">IF(T63=0,0,(IF(T63&gt;6,6,(IF(T63&lt;1,1,T63)))))</f>
        <v>3</v>
      </c>
      <c r="O63" s="28">
        <f t="shared" si="146"/>
        <v>4</v>
      </c>
      <c r="P63" s="28">
        <f t="shared" si="134"/>
        <v>8</v>
      </c>
      <c r="Q63" s="28"/>
      <c r="R63" s="27">
        <f>IFERROR((VLOOKUP($BP$1&amp;D4,Teams!D:M,2,0)+AL63+AD63),0)</f>
        <v>6</v>
      </c>
      <c r="S63" s="27">
        <f>IFERROR((VLOOKUP($BP$1&amp;D4,Teams!D:M,3,0)+AM63+AE63),0)</f>
        <v>2</v>
      </c>
      <c r="T63" s="27">
        <f>IFERROR((VLOOKUP($BP$1&amp;D4,Teams!D:M,4,0)+AN63-AF63),0)</f>
        <v>3</v>
      </c>
      <c r="U63" s="27">
        <f>IFERROR((VLOOKUP($BP$1&amp;D4,Teams!D:M,5,0)+AO63-AG63),0)</f>
        <v>4</v>
      </c>
      <c r="V63" s="27">
        <f>IFERROR((VLOOKUP($BP$1&amp;D4,Teams!D:M,6,0)+AP63+AH63),0)</f>
        <v>8</v>
      </c>
      <c r="W63" s="28"/>
      <c r="X63" s="28">
        <f>IFERROR((VLOOKUP($BP$1&amp;D4,Teams!D:M,2,0)),0)</f>
        <v>6</v>
      </c>
      <c r="Y63" s="28">
        <f>IFERROR((VLOOKUP($BP$1&amp;D4,Teams!D:M,3,0)),0)</f>
        <v>2</v>
      </c>
      <c r="Z63" s="28">
        <f>IFERROR((VLOOKUP($BP$1&amp;D4,Teams!D:M,4,0)),0)</f>
        <v>3</v>
      </c>
      <c r="AA63" s="28">
        <f>IFERROR((VLOOKUP($BP$1&amp;D4,Teams!D:M,5,0)),0)</f>
        <v>4</v>
      </c>
      <c r="AB63" s="28">
        <f>IFERROR((VLOOKUP($BP$1&amp;D4,Teams!D:M,6,0)),0)</f>
        <v>8</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80000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str">
        <f t="shared" si="122"/>
        <v>AG-</v>
      </c>
      <c r="CP63" s="67" t="str">
        <f t="shared" si="123"/>
        <v>AG-</v>
      </c>
      <c r="CQ63" s="67" t="str">
        <f t="shared" si="124"/>
        <v>AG-</v>
      </c>
      <c r="CR63" s="67" t="str">
        <f t="shared" si="125"/>
        <v>AG-</v>
      </c>
      <c r="CS63" s="67" t="str">
        <f t="shared" si="126"/>
        <v>AG-</v>
      </c>
      <c r="CT63" s="67" t="str">
        <f t="shared" si="127"/>
        <v>AG-</v>
      </c>
      <c r="CU63" s="67" t="str">
        <f t="shared" si="128"/>
        <v>AG-</v>
      </c>
      <c r="CV63" s="67" t="str">
        <f t="shared" si="129"/>
        <v>AG-</v>
      </c>
      <c r="CW63" s="67" t="str">
        <f t="shared" si="130"/>
        <v>AG-</v>
      </c>
      <c r="CX63" s="30"/>
      <c r="CY63" s="30"/>
      <c r="CZ63" s="30"/>
      <c r="DA63" s="28"/>
      <c r="DB63" s="30"/>
      <c r="DC63" s="30"/>
    </row>
    <row r="64" spans="1:107" ht="15" hidden="1" customHeight="1">
      <c r="A64" s="28"/>
      <c r="B64" s="54"/>
      <c r="C64" s="54"/>
      <c r="D64" s="54"/>
      <c r="E64" s="54"/>
      <c r="F64" s="54"/>
      <c r="G64" s="54"/>
      <c r="H64" s="28"/>
      <c r="I64" s="28"/>
      <c r="J64" s="28"/>
      <c r="K64" s="28"/>
      <c r="L64" s="28">
        <f t="shared" si="131"/>
        <v>6</v>
      </c>
      <c r="M64" s="28">
        <f t="shared" si="132"/>
        <v>2</v>
      </c>
      <c r="N64" s="28">
        <f t="shared" ref="N64:O64" si="148">IF(T64=0,0,(IF(T64&gt;6,6,(IF(T64&lt;1,1,T64)))))</f>
        <v>3</v>
      </c>
      <c r="O64" s="28">
        <f t="shared" si="148"/>
        <v>6</v>
      </c>
      <c r="P64" s="28">
        <f t="shared" si="134"/>
        <v>8</v>
      </c>
      <c r="Q64" s="28" t="s">
        <v>245</v>
      </c>
      <c r="R64" s="27">
        <f>IFERROR((VLOOKUP($BP$1&amp;D5,Teams!D:M,2,0)+AL64+AD64),0)</f>
        <v>6</v>
      </c>
      <c r="S64" s="27">
        <f>IFERROR((VLOOKUP($BP$1&amp;D5,Teams!D:M,3,0)+AM64+AE64),0)</f>
        <v>2</v>
      </c>
      <c r="T64" s="27">
        <f>IFERROR((VLOOKUP($BP$1&amp;D5,Teams!D:M,4,0)+AN64-AF64),0)</f>
        <v>3</v>
      </c>
      <c r="U64" s="27">
        <f>IFERROR((VLOOKUP($BP$1&amp;D5,Teams!D:M,5,0)+AO64-AG64),0)</f>
        <v>6</v>
      </c>
      <c r="V64" s="27">
        <f>IFERROR((VLOOKUP($BP$1&amp;D5,Teams!D:M,6,0)+AP64+AH64),0)</f>
        <v>8</v>
      </c>
      <c r="W64" s="28"/>
      <c r="X64" s="28">
        <f>IFERROR((VLOOKUP($BP$1&amp;D5,Teams!D:M,2,0)),0)</f>
        <v>6</v>
      </c>
      <c r="Y64" s="28">
        <f>IFERROR((VLOOKUP($BP$1&amp;D5,Teams!D:M,3,0)),0)</f>
        <v>2</v>
      </c>
      <c r="Z64" s="28">
        <f>IFERROR((VLOOKUP($BP$1&amp;D5,Teams!D:M,4,0)),0)</f>
        <v>3</v>
      </c>
      <c r="AA64" s="28">
        <f>IFERROR((VLOOKUP($BP$1&amp;D5,Teams!D:M,5,0)),0)</f>
        <v>6</v>
      </c>
      <c r="AB64" s="28">
        <f>IFERROR((VLOOKUP($BP$1&amp;D5,Teams!D:M,6,0)),0)</f>
        <v>8</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70000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str">
        <f t="shared" si="122"/>
        <v>PA-</v>
      </c>
      <c r="CP64" s="67" t="str">
        <f t="shared" si="123"/>
        <v>PA-</v>
      </c>
      <c r="CQ64" s="67" t="str">
        <f t="shared" si="124"/>
        <v>PA-</v>
      </c>
      <c r="CR64" s="67" t="str">
        <f t="shared" si="125"/>
        <v>PA-</v>
      </c>
      <c r="CS64" s="67" t="str">
        <f t="shared" si="126"/>
        <v>PA-</v>
      </c>
      <c r="CT64" s="67" t="str">
        <f t="shared" si="127"/>
        <v>PA-</v>
      </c>
      <c r="CU64" s="67" t="str">
        <f t="shared" si="128"/>
        <v>PA-</v>
      </c>
      <c r="CV64" s="67" t="str">
        <f t="shared" si="129"/>
        <v>PA-</v>
      </c>
      <c r="CW64" s="67" t="str">
        <f t="shared" si="130"/>
        <v>PA-</v>
      </c>
      <c r="CX64" s="30"/>
      <c r="CY64" s="30"/>
      <c r="CZ64" s="30"/>
      <c r="DA64" s="28"/>
      <c r="DB64" s="30"/>
      <c r="DC64" s="30"/>
    </row>
    <row r="65" spans="1:107" ht="15" hidden="1" customHeight="1">
      <c r="A65" s="28"/>
      <c r="B65" s="54"/>
      <c r="C65" s="54"/>
      <c r="D65" s="54"/>
      <c r="E65" s="54"/>
      <c r="F65" s="54"/>
      <c r="G65" s="54"/>
      <c r="H65" s="28"/>
      <c r="I65" s="28"/>
      <c r="J65" s="28"/>
      <c r="K65" s="28"/>
      <c r="L65" s="28">
        <f t="shared" si="131"/>
        <v>7</v>
      </c>
      <c r="M65" s="28">
        <f t="shared" si="132"/>
        <v>2</v>
      </c>
      <c r="N65" s="28">
        <f t="shared" ref="N65:O65" si="150">IF(T65=0,0,(IF(T65&gt;6,6,(IF(T65&lt;1,1,T65)))))</f>
        <v>3</v>
      </c>
      <c r="O65" s="28">
        <f t="shared" si="150"/>
        <v>5</v>
      </c>
      <c r="P65" s="28">
        <f t="shared" si="134"/>
        <v>8</v>
      </c>
      <c r="Q65" s="28"/>
      <c r="R65" s="27">
        <f>IFERROR((VLOOKUP($BP$1&amp;D6,Teams!D:M,2,0)+AL65+AD65),0)</f>
        <v>7</v>
      </c>
      <c r="S65" s="27">
        <f>IFERROR((VLOOKUP($BP$1&amp;D6,Teams!D:M,3,0)+AM65+AE65),0)</f>
        <v>2</v>
      </c>
      <c r="T65" s="27">
        <f>IFERROR((VLOOKUP($BP$1&amp;D6,Teams!D:M,4,0)+AN65-AF65),0)</f>
        <v>3</v>
      </c>
      <c r="U65" s="27">
        <f>IFERROR((VLOOKUP($BP$1&amp;D6,Teams!D:M,5,0)+AO65-AG65),0)</f>
        <v>5</v>
      </c>
      <c r="V65" s="27">
        <f>IFERROR((VLOOKUP($BP$1&amp;D6,Teams!D:M,6,0)+AP65+AH65),0)</f>
        <v>8</v>
      </c>
      <c r="W65" s="28"/>
      <c r="X65" s="28">
        <f>IFERROR((VLOOKUP($BP$1&amp;D6,Teams!D:M,2,0)),0)</f>
        <v>7</v>
      </c>
      <c r="Y65" s="28">
        <f>IFERROR((VLOOKUP($BP$1&amp;D6,Teams!D:M,3,0)),0)</f>
        <v>2</v>
      </c>
      <c r="Z65" s="28">
        <f>IFERROR((VLOOKUP($BP$1&amp;D6,Teams!D:M,4,0)),0)</f>
        <v>3</v>
      </c>
      <c r="AA65" s="28">
        <f>IFERROR((VLOOKUP($BP$1&amp;D6,Teams!D:M,5,0)),0)</f>
        <v>5</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150000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str">
        <f t="shared" si="122"/>
        <v>ST+</v>
      </c>
      <c r="CP65" s="67" t="str">
        <f t="shared" si="123"/>
        <v>ST+</v>
      </c>
      <c r="CQ65" s="67" t="str">
        <f t="shared" si="124"/>
        <v>ST+</v>
      </c>
      <c r="CR65" s="67" t="str">
        <f t="shared" si="125"/>
        <v>ST+</v>
      </c>
      <c r="CS65" s="67" t="str">
        <f t="shared" si="126"/>
        <v>ST+</v>
      </c>
      <c r="CT65" s="67" t="str">
        <f t="shared" si="127"/>
        <v>ST+</v>
      </c>
      <c r="CU65" s="67" t="str">
        <f t="shared" si="128"/>
        <v>ST+</v>
      </c>
      <c r="CV65" s="67" t="str">
        <f t="shared" si="129"/>
        <v>ST+</v>
      </c>
      <c r="CW65" s="67" t="str">
        <f t="shared" si="130"/>
        <v>ST+</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2</v>
      </c>
      <c r="N66" s="28">
        <f t="shared" ref="N66:O66" si="152">IF(T66=0,0,(IF(T66&gt;6,6,(IF(T66&lt;1,1,T66)))))</f>
        <v>3</v>
      </c>
      <c r="O66" s="28">
        <f t="shared" si="152"/>
        <v>6</v>
      </c>
      <c r="P66" s="28">
        <f t="shared" si="134"/>
        <v>8</v>
      </c>
      <c r="Q66" s="28"/>
      <c r="R66" s="27">
        <f>IFERROR((VLOOKUP($BP$1&amp;D7,Teams!D:M,2,0)+AL66+AD66),0)</f>
        <v>6</v>
      </c>
      <c r="S66" s="27">
        <f>IFERROR((VLOOKUP($BP$1&amp;D7,Teams!D:M,3,0)+AM66+AE66),0)</f>
        <v>2</v>
      </c>
      <c r="T66" s="27">
        <f>IFERROR((VLOOKUP($BP$1&amp;D7,Teams!D:M,4,0)+AN66-AF66),0)</f>
        <v>3</v>
      </c>
      <c r="U66" s="27">
        <f>IFERROR((VLOOKUP($BP$1&amp;D7,Teams!D:M,5,0)+AO66-AG66),0)</f>
        <v>6</v>
      </c>
      <c r="V66" s="27">
        <f>IFERROR((VLOOKUP($BP$1&amp;D7,Teams!D:M,6,0)+AP66+AH66),0)</f>
        <v>8</v>
      </c>
      <c r="W66" s="28"/>
      <c r="X66" s="28">
        <f>IFERROR((VLOOKUP($BP$1&amp;D7,Teams!D:M,2,0)),0)</f>
        <v>6</v>
      </c>
      <c r="Y66" s="28">
        <f>IFERROR((VLOOKUP($BP$1&amp;D7,Teams!D:M,3,0)),0)</f>
        <v>2</v>
      </c>
      <c r="Z66" s="28">
        <f>IFERROR((VLOOKUP($BP$1&amp;D7,Teams!D:M,4,0)),0)</f>
        <v>3</v>
      </c>
      <c r="AA66" s="28">
        <f>IFERROR((VLOOKUP($BP$1&amp;D7,Teams!D:M,5,0)),0)</f>
        <v>6</v>
      </c>
      <c r="AB66" s="28">
        <f>IFERROR((VLOOKUP($BP$1&amp;D7,Teams!D:M,6,0)),0)</f>
        <v>8</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str">
        <f t="shared" si="122"/>
        <v>Block</v>
      </c>
      <c r="CP66" s="67" t="str">
        <f t="shared" si="123"/>
        <v>Block</v>
      </c>
      <c r="CQ66" s="67" t="str">
        <f t="shared" si="124"/>
        <v>Block</v>
      </c>
      <c r="CR66" s="67" t="str">
        <f t="shared" si="125"/>
        <v>Block</v>
      </c>
      <c r="CS66" s="67" t="str">
        <f t="shared" si="126"/>
        <v>Block</v>
      </c>
      <c r="CT66" s="67" t="str">
        <f t="shared" si="127"/>
        <v>Block</v>
      </c>
      <c r="CU66" s="67" t="str">
        <f t="shared" si="128"/>
        <v>Block</v>
      </c>
      <c r="CV66" s="67" t="str">
        <f t="shared" si="129"/>
        <v>Block</v>
      </c>
      <c r="CW66" s="67" t="str">
        <f t="shared" si="130"/>
        <v>Block</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2</v>
      </c>
      <c r="N67" s="28">
        <f t="shared" ref="N67:O67" si="154">IF(T67=0,0,(IF(T67&gt;6,6,(IF(T67&lt;1,1,T67)))))</f>
        <v>3</v>
      </c>
      <c r="O67" s="28">
        <f t="shared" si="154"/>
        <v>4</v>
      </c>
      <c r="P67" s="28">
        <f t="shared" si="134"/>
        <v>8</v>
      </c>
      <c r="Q67" s="28"/>
      <c r="R67" s="27">
        <f>IFERROR((VLOOKUP($BP$1&amp;D8,Teams!D:M,2,0)+AL67+AD67),0)</f>
        <v>6</v>
      </c>
      <c r="S67" s="27">
        <f>IFERROR((VLOOKUP($BP$1&amp;D8,Teams!D:M,3,0)+AM67+AE67),0)</f>
        <v>2</v>
      </c>
      <c r="T67" s="27">
        <f>IFERROR((VLOOKUP($BP$1&amp;D8,Teams!D:M,4,0)+AN67-AF67),0)</f>
        <v>3</v>
      </c>
      <c r="U67" s="27">
        <f>IFERROR((VLOOKUP($BP$1&amp;D8,Teams!D:M,5,0)+AO67-AG67),0)</f>
        <v>4</v>
      </c>
      <c r="V67" s="27">
        <f>IFERROR((VLOOKUP($BP$1&amp;D8,Teams!D:M,6,0)+AP67+AH67),0)</f>
        <v>8</v>
      </c>
      <c r="W67" s="28"/>
      <c r="X67" s="28">
        <f>IFERROR((VLOOKUP($BP$1&amp;D8,Teams!D:M,2,0)),0)</f>
        <v>6</v>
      </c>
      <c r="Y67" s="28">
        <f>IFERROR((VLOOKUP($BP$1&amp;D8,Teams!D:M,3,0)),0)</f>
        <v>2</v>
      </c>
      <c r="Z67" s="28">
        <f>IFERROR((VLOOKUP($BP$1&amp;D8,Teams!D:M,4,0)),0)</f>
        <v>3</v>
      </c>
      <c r="AA67" s="28">
        <f>IFERROR((VLOOKUP($BP$1&amp;D8,Teams!D:M,5,0)),0)</f>
        <v>4</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150000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str">
        <f t="shared" si="122"/>
        <v>Dauntless</v>
      </c>
      <c r="CP67" s="67" t="str">
        <f t="shared" si="123"/>
        <v>Dauntless</v>
      </c>
      <c r="CQ67" s="67" t="str">
        <f t="shared" si="124"/>
        <v>Dauntless</v>
      </c>
      <c r="CR67" s="67" t="str">
        <f t="shared" si="125"/>
        <v>Dauntless</v>
      </c>
      <c r="CS67" s="67" t="str">
        <f t="shared" si="126"/>
        <v>Dauntless</v>
      </c>
      <c r="CT67" s="67" t="str">
        <f t="shared" si="127"/>
        <v>Dauntless</v>
      </c>
      <c r="CU67" s="67" t="str">
        <f t="shared" si="128"/>
        <v>Dauntless</v>
      </c>
      <c r="CV67" s="67" t="str">
        <f t="shared" si="129"/>
        <v>Dauntless</v>
      </c>
      <c r="CW67" s="67" t="str">
        <f t="shared" si="130"/>
        <v>Dauntless</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2</v>
      </c>
      <c r="N68" s="28">
        <f t="shared" ref="N68:O68" si="156">IF(T68=0,0,(IF(T68&gt;6,6,(IF(T68&lt;1,1,T68)))))</f>
        <v>3</v>
      </c>
      <c r="O68" s="28">
        <f t="shared" si="156"/>
        <v>4</v>
      </c>
      <c r="P68" s="28">
        <f t="shared" si="134"/>
        <v>8</v>
      </c>
      <c r="Q68" s="28"/>
      <c r="R68" s="27">
        <f>IFERROR((VLOOKUP($BP$1&amp;D9,Teams!D:M,2,0)+AL68+AD68),0)</f>
        <v>6</v>
      </c>
      <c r="S68" s="27">
        <f>IFERROR((VLOOKUP($BP$1&amp;D9,Teams!D:M,3,0)+AM68+AE68),0)</f>
        <v>2</v>
      </c>
      <c r="T68" s="27">
        <f>IFERROR((VLOOKUP($BP$1&amp;D9,Teams!D:M,4,0)+AN68-AF68),0)</f>
        <v>3</v>
      </c>
      <c r="U68" s="27">
        <f>IFERROR((VLOOKUP($BP$1&amp;D9,Teams!D:M,5,0)+AO68-AG68),0)</f>
        <v>4</v>
      </c>
      <c r="V68" s="27">
        <f>IFERROR((VLOOKUP($BP$1&amp;D9,Teams!D:M,6,0)+AP68+AH68),0)</f>
        <v>8</v>
      </c>
      <c r="W68" s="28"/>
      <c r="X68" s="28">
        <f>IFERROR((VLOOKUP($BP$1&amp;D9,Teams!D:M,2,0)),0)</f>
        <v>6</v>
      </c>
      <c r="Y68" s="28">
        <f>IFERROR((VLOOKUP($BP$1&amp;D9,Teams!D:M,3,0)),0)</f>
        <v>2</v>
      </c>
      <c r="Z68" s="28">
        <f>IFERROR((VLOOKUP($BP$1&amp;D9,Teams!D:M,4,0)),0)</f>
        <v>3</v>
      </c>
      <c r="AA68" s="28">
        <f>IFERROR((VLOOKUP($BP$1&amp;D9,Teams!D:M,5,0)),0)</f>
        <v>4</v>
      </c>
      <c r="AB68" s="28">
        <f>IFERROR((VLOOKUP($BP$1&amp;D9,Teams!D:M,6,0)),0)</f>
        <v>8</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90000</v>
      </c>
      <c r="BG68" s="30"/>
      <c r="BH68" s="30"/>
      <c r="BI68" s="226" t="s">
        <v>1215</v>
      </c>
      <c r="BJ68" s="75">
        <f>IFERROR((IF(OR(COUNTIF($BV$2,"*UnderworldChallenge*")),150000,0)),0)</f>
        <v>150000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str">
        <f t="shared" si="122"/>
        <v>Dirty Player (+1)</v>
      </c>
      <c r="CP68" s="67" t="str">
        <f t="shared" si="123"/>
        <v>Dirty Player (+1)</v>
      </c>
      <c r="CQ68" s="67" t="str">
        <f t="shared" si="124"/>
        <v>Dirty Player (+1)</v>
      </c>
      <c r="CR68" s="67" t="str">
        <f t="shared" si="125"/>
        <v>Dirty Player (+1)</v>
      </c>
      <c r="CS68" s="67" t="str">
        <f t="shared" si="126"/>
        <v>Dirty Player (+1)</v>
      </c>
      <c r="CT68" s="67" t="str">
        <f t="shared" si="127"/>
        <v>Dirty Player (+1)</v>
      </c>
      <c r="CU68" s="67" t="str">
        <f t="shared" si="128"/>
        <v>Dirty Player (+1)</v>
      </c>
      <c r="CV68" s="67" t="str">
        <f t="shared" si="129"/>
        <v>Dirty Player (+1)</v>
      </c>
      <c r="CW68" s="67" t="str">
        <f t="shared" si="130"/>
        <v>Dirty Player (+1)</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2</v>
      </c>
      <c r="N69" s="28">
        <f t="shared" ref="N69:O69" si="158">IF(T69=0,0,(IF(T69&gt;6,6,(IF(T69&lt;1,1,T69)))))</f>
        <v>3</v>
      </c>
      <c r="O69" s="28">
        <f t="shared" si="158"/>
        <v>4</v>
      </c>
      <c r="P69" s="28">
        <f t="shared" si="134"/>
        <v>8</v>
      </c>
      <c r="Q69" s="28"/>
      <c r="R69" s="27">
        <f>IFERROR((VLOOKUP($BP$1&amp;D10,Teams!D:M,2,0)+AL69+AD69),0)</f>
        <v>6</v>
      </c>
      <c r="S69" s="27">
        <f>IFERROR((VLOOKUP($BP$1&amp;D10,Teams!D:M,3,0)+AM69+AE69),0)</f>
        <v>2</v>
      </c>
      <c r="T69" s="27">
        <f>IFERROR((VLOOKUP($BP$1&amp;D10,Teams!D:M,4,0)+AN69-AF69),0)</f>
        <v>3</v>
      </c>
      <c r="U69" s="27">
        <f>IFERROR((VLOOKUP($BP$1&amp;D10,Teams!D:M,5,0)+AO69-AG69),0)</f>
        <v>4</v>
      </c>
      <c r="V69" s="27">
        <f>IFERROR((VLOOKUP($BP$1&amp;D10,Teams!D:M,6,0)+AP69+AH69),0)</f>
        <v>8</v>
      </c>
      <c r="W69" s="28"/>
      <c r="X69" s="28">
        <f>IFERROR((VLOOKUP($BP$1&amp;D10,Teams!D:M,2,0)),0)</f>
        <v>6</v>
      </c>
      <c r="Y69" s="28">
        <f>IFERROR((VLOOKUP($BP$1&amp;D10,Teams!D:M,3,0)),0)</f>
        <v>2</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150000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str">
        <f t="shared" si="122"/>
        <v>Fend</v>
      </c>
      <c r="CP69" s="67" t="str">
        <f t="shared" si="123"/>
        <v>Fend</v>
      </c>
      <c r="CQ69" s="67" t="str">
        <f t="shared" si="124"/>
        <v>Fend</v>
      </c>
      <c r="CR69" s="67" t="str">
        <f t="shared" si="125"/>
        <v>Fend</v>
      </c>
      <c r="CS69" s="67" t="str">
        <f t="shared" si="126"/>
        <v>Fend</v>
      </c>
      <c r="CT69" s="67" t="str">
        <f t="shared" si="127"/>
        <v>Fend</v>
      </c>
      <c r="CU69" s="67" t="str">
        <f t="shared" si="128"/>
        <v>Fend</v>
      </c>
      <c r="CV69" s="67" t="str">
        <f t="shared" si="129"/>
        <v>Fend</v>
      </c>
      <c r="CW69" s="67" t="str">
        <f t="shared" si="130"/>
        <v>Fend</v>
      </c>
      <c r="CX69" s="30"/>
      <c r="CY69" s="30"/>
      <c r="CZ69" s="30"/>
      <c r="DA69" s="28"/>
      <c r="DB69" s="30"/>
      <c r="DC69" s="30"/>
    </row>
    <row r="70" spans="1:107" ht="15" hidden="1" customHeight="1">
      <c r="A70" s="28"/>
      <c r="B70" s="28"/>
      <c r="C70" s="300"/>
      <c r="D70" s="54"/>
      <c r="E70" s="54"/>
      <c r="F70" s="54"/>
      <c r="G70" s="54"/>
      <c r="H70" s="28"/>
      <c r="I70" s="28"/>
      <c r="J70" s="28"/>
      <c r="K70" s="28"/>
      <c r="L70" s="28">
        <f t="shared" si="131"/>
        <v>6</v>
      </c>
      <c r="M70" s="28">
        <f t="shared" si="132"/>
        <v>2</v>
      </c>
      <c r="N70" s="28">
        <f t="shared" ref="N70:O70" si="160">IF(T70=0,0,(IF(T70&gt;6,6,(IF(T70&lt;1,1,T70)))))</f>
        <v>3</v>
      </c>
      <c r="O70" s="28">
        <f t="shared" si="160"/>
        <v>4</v>
      </c>
      <c r="P70" s="28">
        <f t="shared" si="134"/>
        <v>8</v>
      </c>
      <c r="Q70" s="28"/>
      <c r="R70" s="27">
        <f>IFERROR((VLOOKUP($BP$1&amp;D11,Teams!D:M,2,0)+AL70+AD70),0)</f>
        <v>6</v>
      </c>
      <c r="S70" s="27">
        <f>IFERROR((VLOOKUP($BP$1&amp;D11,Teams!D:M,3,0)+AM70+AE70),0)</f>
        <v>2</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2</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150000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str">
        <f t="shared" si="122"/>
        <v>Frenzy</v>
      </c>
      <c r="CP70" s="67" t="str">
        <f t="shared" si="123"/>
        <v>Frenzy</v>
      </c>
      <c r="CQ70" s="67" t="str">
        <f t="shared" si="124"/>
        <v>Frenzy</v>
      </c>
      <c r="CR70" s="67" t="str">
        <f t="shared" si="125"/>
        <v>Frenzy</v>
      </c>
      <c r="CS70" s="67" t="str">
        <f t="shared" si="126"/>
        <v>Frenzy</v>
      </c>
      <c r="CT70" s="67" t="str">
        <f t="shared" si="127"/>
        <v>Frenzy</v>
      </c>
      <c r="CU70" s="67" t="str">
        <f t="shared" si="128"/>
        <v>Frenzy</v>
      </c>
      <c r="CV70" s="67" t="str">
        <f t="shared" si="129"/>
        <v>Frenzy</v>
      </c>
      <c r="CW70" s="67" t="str">
        <f t="shared" si="130"/>
        <v>Frenzy</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2</v>
      </c>
      <c r="N71" s="28">
        <f t="shared" ref="N71:O71" si="162">IF(T71=0,0,(IF(T71&gt;6,6,(IF(T71&lt;1,1,T71)))))</f>
        <v>3</v>
      </c>
      <c r="O71" s="28">
        <f t="shared" si="162"/>
        <v>4</v>
      </c>
      <c r="P71" s="28">
        <f t="shared" si="134"/>
        <v>8</v>
      </c>
      <c r="Q71" s="28"/>
      <c r="R71" s="27">
        <f>IFERROR((VLOOKUP($BP$1&amp;D12,Teams!D:M,2,0)+AL71+AD71),0)</f>
        <v>6</v>
      </c>
      <c r="S71" s="27">
        <f>IFERROR((VLOOKUP($BP$1&amp;D12,Teams!D:M,3,0)+AM71+AE71),0)</f>
        <v>2</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2</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str">
        <f t="shared" si="122"/>
        <v>Kick</v>
      </c>
      <c r="CP71" s="67" t="str">
        <f t="shared" si="123"/>
        <v>Kick</v>
      </c>
      <c r="CQ71" s="67" t="str">
        <f t="shared" si="124"/>
        <v>Kick</v>
      </c>
      <c r="CR71" s="67" t="str">
        <f t="shared" si="125"/>
        <v>Kick</v>
      </c>
      <c r="CS71" s="67" t="str">
        <f t="shared" si="126"/>
        <v>Kick</v>
      </c>
      <c r="CT71" s="67" t="str">
        <f t="shared" si="127"/>
        <v>Kick</v>
      </c>
      <c r="CU71" s="67" t="str">
        <f t="shared" si="128"/>
        <v>Kick</v>
      </c>
      <c r="CV71" s="67" t="str">
        <f t="shared" si="129"/>
        <v>Kick</v>
      </c>
      <c r="CW71" s="67" t="str">
        <f t="shared" si="130"/>
        <v>Kick</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2</v>
      </c>
      <c r="N72" s="28">
        <f t="shared" ref="N72:O72" si="164">IF(T72=0,0,(IF(T72&gt;6,6,(IF(T72&lt;1,1,T72)))))</f>
        <v>3</v>
      </c>
      <c r="O72" s="28">
        <f t="shared" si="164"/>
        <v>4</v>
      </c>
      <c r="P72" s="28">
        <f t="shared" si="134"/>
        <v>8</v>
      </c>
      <c r="Q72" s="28"/>
      <c r="R72" s="27">
        <f>IFERROR((VLOOKUP($BP$1&amp;D13,Teams!D:M,2,0)+AL72+AD72),0)</f>
        <v>6</v>
      </c>
      <c r="S72" s="27">
        <f>IFERROR((VLOOKUP($BP$1&amp;D13,Teams!D:M,3,0)+AM72+AE72),0)</f>
        <v>2</v>
      </c>
      <c r="T72" s="27">
        <f>IFERROR((VLOOKUP($BP$1&amp;D13,Teams!D:M,4,0)+AN72-AF72),0)</f>
        <v>3</v>
      </c>
      <c r="U72" s="27">
        <f>IFERROR((VLOOKUP($BP$1&amp;D13,Teams!D:M,5,0)+AO72-AG72),0)</f>
        <v>4</v>
      </c>
      <c r="V72" s="27">
        <f>IFERROR((VLOOKUP($BP$1&amp;D13,Teams!D:M,6,0)+AP72+AH72),0)</f>
        <v>8</v>
      </c>
      <c r="W72" s="28"/>
      <c r="X72" s="28">
        <f>IFERROR((VLOOKUP($BP$1&amp;D13,Teams!D:M,2,0)),0)</f>
        <v>6</v>
      </c>
      <c r="Y72" s="28">
        <f>IFERROR((VLOOKUP($BP$1&amp;D13,Teams!D:M,3,0)),0)</f>
        <v>2</v>
      </c>
      <c r="Z72" s="28">
        <f>IFERROR((VLOOKUP($BP$1&amp;D13,Teams!D:M,4,0)),0)</f>
        <v>3</v>
      </c>
      <c r="AA72" s="28">
        <f>IFERROR((VLOOKUP($BP$1&amp;D13,Teams!D:M,5,0)),0)</f>
        <v>4</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2</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str">
        <f t="shared" si="122"/>
        <v>Pro</v>
      </c>
      <c r="CP72" s="67" t="str">
        <f t="shared" si="123"/>
        <v>Pro</v>
      </c>
      <c r="CQ72" s="67" t="str">
        <f t="shared" si="124"/>
        <v>Pro</v>
      </c>
      <c r="CR72" s="67" t="str">
        <f t="shared" si="125"/>
        <v>Pro</v>
      </c>
      <c r="CS72" s="67" t="str">
        <f t="shared" si="126"/>
        <v>Pro</v>
      </c>
      <c r="CT72" s="67" t="str">
        <f t="shared" si="127"/>
        <v>Pro</v>
      </c>
      <c r="CU72" s="67" t="str">
        <f t="shared" si="128"/>
        <v>Pro</v>
      </c>
      <c r="CV72" s="67" t="str">
        <f t="shared" si="129"/>
        <v>Pro</v>
      </c>
      <c r="CW72" s="67" t="str">
        <f t="shared" si="130"/>
        <v>Pro</v>
      </c>
      <c r="CX72" s="30"/>
      <c r="CY72" s="30"/>
      <c r="CZ72" s="30"/>
      <c r="DA72" s="28"/>
      <c r="DB72" s="30"/>
      <c r="DC72" s="30"/>
    </row>
    <row r="73" spans="1:107" ht="15" hidden="1" customHeight="1">
      <c r="A73" s="28"/>
      <c r="B73" s="54"/>
      <c r="C73" s="54"/>
      <c r="D73" s="54"/>
      <c r="E73" s="54"/>
      <c r="F73" s="54"/>
      <c r="G73" s="54"/>
      <c r="H73" s="28"/>
      <c r="I73" s="28"/>
      <c r="J73" s="28"/>
      <c r="K73" s="28"/>
      <c r="L73" s="28">
        <f t="shared" si="131"/>
        <v>6</v>
      </c>
      <c r="M73" s="28">
        <f t="shared" si="132"/>
        <v>2</v>
      </c>
      <c r="N73" s="28">
        <f t="shared" ref="N73:O73" si="166">IF(T73=0,0,(IF(T73&gt;6,6,(IF(T73&lt;1,1,T73)))))</f>
        <v>3</v>
      </c>
      <c r="O73" s="28">
        <f t="shared" si="166"/>
        <v>4</v>
      </c>
      <c r="P73" s="28">
        <f t="shared" si="134"/>
        <v>8</v>
      </c>
      <c r="Q73" s="28"/>
      <c r="R73" s="27">
        <f>IFERROR((VLOOKUP($BP$1&amp;D14,Teams!D:M,2,0)+AL73+AD73),0)</f>
        <v>6</v>
      </c>
      <c r="S73" s="27">
        <f>IFERROR((VLOOKUP($BP$1&amp;D14,Teams!D:M,3,0)+AM73+AE73),0)</f>
        <v>2</v>
      </c>
      <c r="T73" s="27">
        <f>IFERROR((VLOOKUP($BP$1&amp;D14,Teams!D:M,4,0)+AN73-AF73),0)</f>
        <v>3</v>
      </c>
      <c r="U73" s="27">
        <f>IFERROR((VLOOKUP($BP$1&amp;D14,Teams!D:M,5,0)+AO73-AG73),0)</f>
        <v>4</v>
      </c>
      <c r="V73" s="27">
        <f>IFERROR((VLOOKUP($BP$1&amp;D14,Teams!D:M,6,0)+AP73+AH73),0)</f>
        <v>8</v>
      </c>
      <c r="W73" s="28"/>
      <c r="X73" s="28">
        <f>IFERROR((VLOOKUP($BP$1&amp;D14,Teams!D:M,2,0)),0)</f>
        <v>6</v>
      </c>
      <c r="Y73" s="28">
        <f>IFERROR((VLOOKUP($BP$1&amp;D14,Teams!D:M,3,0)),0)</f>
        <v>2</v>
      </c>
      <c r="Z73" s="28">
        <f>IFERROR((VLOOKUP($BP$1&amp;D14,Teams!D:M,4,0)),0)</f>
        <v>3</v>
      </c>
      <c r="AA73" s="28">
        <f>IFERROR((VLOOKUP($BP$1&amp;D14,Teams!D:M,5,0)),0)</f>
        <v>4</v>
      </c>
      <c r="AB73" s="28">
        <f>IFERROR((VLOOKUP($BP$1&amp;D14,Teams!D:M,6,0)),0)</f>
        <v>8</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str">
        <f t="shared" si="122"/>
        <v>Shadowing</v>
      </c>
      <c r="CP73" s="67" t="str">
        <f t="shared" si="123"/>
        <v>Shadowing</v>
      </c>
      <c r="CQ73" s="67" t="str">
        <f t="shared" si="124"/>
        <v>Shadowing</v>
      </c>
      <c r="CR73" s="67" t="str">
        <f t="shared" si="125"/>
        <v>Shadowing</v>
      </c>
      <c r="CS73" s="67" t="str">
        <f t="shared" si="126"/>
        <v>Shadowing</v>
      </c>
      <c r="CT73" s="67" t="str">
        <f t="shared" si="127"/>
        <v>Shadowing</v>
      </c>
      <c r="CU73" s="67" t="str">
        <f t="shared" si="128"/>
        <v>Shadowing</v>
      </c>
      <c r="CV73" s="67" t="str">
        <f t="shared" si="129"/>
        <v>Shadowing</v>
      </c>
      <c r="CW73" s="67" t="str">
        <f t="shared" si="130"/>
        <v>Shadowing</v>
      </c>
      <c r="CX73" s="30"/>
      <c r="CY73" s="30"/>
      <c r="CZ73" s="30"/>
      <c r="DA73" s="28"/>
      <c r="DB73" s="30"/>
      <c r="DC73" s="30"/>
    </row>
    <row r="74" spans="1:107" ht="15" hidden="1" customHeight="1">
      <c r="A74" s="28"/>
      <c r="B74" s="28"/>
      <c r="C74" s="300"/>
      <c r="D74" s="28"/>
      <c r="E74" s="28"/>
      <c r="F74" s="28"/>
      <c r="G74" s="28"/>
      <c r="H74" s="28"/>
      <c r="I74" s="28"/>
      <c r="J74" s="28"/>
      <c r="K74" s="28"/>
      <c r="L74" s="28">
        <f t="shared" si="131"/>
        <v>6</v>
      </c>
      <c r="M74" s="28">
        <f t="shared" si="132"/>
        <v>2</v>
      </c>
      <c r="N74" s="28">
        <f t="shared" ref="N74:O74" si="168">IF(T74=0,0,(IF(T74&gt;6,6,(IF(T74&lt;1,1,T74)))))</f>
        <v>3</v>
      </c>
      <c r="O74" s="28">
        <f t="shared" si="168"/>
        <v>4</v>
      </c>
      <c r="P74" s="28">
        <f t="shared" si="134"/>
        <v>8</v>
      </c>
      <c r="Q74" s="28"/>
      <c r="R74" s="27">
        <f>IFERROR((VLOOKUP($BP$1&amp;D15,Teams!D:M,2,0)+AL74+AD74),0)</f>
        <v>6</v>
      </c>
      <c r="S74" s="27">
        <f>IFERROR((VLOOKUP($BP$1&amp;D15,Teams!D:M,3,0)+AM74+AE74),0)</f>
        <v>2</v>
      </c>
      <c r="T74" s="27">
        <f>IFERROR((VLOOKUP($BP$1&amp;D15,Teams!D:M,4,0)+AN74-AF74),0)</f>
        <v>3</v>
      </c>
      <c r="U74" s="27">
        <f>IFERROR((VLOOKUP($BP$1&amp;D15,Teams!D:M,5,0)+AO74-AG74),0)</f>
        <v>4</v>
      </c>
      <c r="V74" s="27">
        <f>IFERROR((VLOOKUP($BP$1&amp;D15,Teams!D:M,6,0)+AP74+AH74),0)</f>
        <v>8</v>
      </c>
      <c r="W74" s="28"/>
      <c r="X74" s="28">
        <f>IFERROR((VLOOKUP($BP$1&amp;D15,Teams!D:M,2,0)),0)</f>
        <v>6</v>
      </c>
      <c r="Y74" s="28">
        <f>IFERROR((VLOOKUP($BP$1&amp;D15,Teams!D:M,3,0)),0)</f>
        <v>2</v>
      </c>
      <c r="Z74" s="28">
        <f>IFERROR((VLOOKUP($BP$1&amp;D15,Teams!D:M,4,0)),0)</f>
        <v>3</v>
      </c>
      <c r="AA74" s="28">
        <f>IFERROR((VLOOKUP($BP$1&amp;D15,Teams!D:M,5,0)),0)</f>
        <v>4</v>
      </c>
      <c r="AB74" s="28">
        <f>IFERROR((VLOOKUP($BP$1&amp;D15,Teams!D:M,6,0)),0)</f>
        <v>8</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2</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str">
        <f t="shared" si="122"/>
        <v>Strip Ball</v>
      </c>
      <c r="CP74" s="67" t="str">
        <f t="shared" si="123"/>
        <v>Strip Ball</v>
      </c>
      <c r="CQ74" s="67" t="str">
        <f t="shared" si="124"/>
        <v>Strip Ball</v>
      </c>
      <c r="CR74" s="67" t="str">
        <f t="shared" si="125"/>
        <v>Strip Ball</v>
      </c>
      <c r="CS74" s="67" t="str">
        <f t="shared" si="126"/>
        <v>Strip Ball</v>
      </c>
      <c r="CT74" s="67" t="str">
        <f t="shared" si="127"/>
        <v>Strip Ball</v>
      </c>
      <c r="CU74" s="67" t="str">
        <f t="shared" si="128"/>
        <v>Strip Ball</v>
      </c>
      <c r="CV74" s="67" t="str">
        <f t="shared" si="129"/>
        <v>Strip Ball</v>
      </c>
      <c r="CW74" s="67" t="str">
        <f t="shared" si="130"/>
        <v>Strip Ball</v>
      </c>
      <c r="CX74" s="30"/>
      <c r="CY74" s="30"/>
      <c r="CZ74" s="30"/>
      <c r="DA74" s="28"/>
      <c r="DB74" s="30"/>
      <c r="DC74" s="30"/>
    </row>
    <row r="75" spans="1:107" ht="15" hidden="1" customHeight="1">
      <c r="A75" s="28"/>
      <c r="B75" s="28"/>
      <c r="C75" s="300"/>
      <c r="D75" s="28"/>
      <c r="E75" s="28"/>
      <c r="F75" s="28"/>
      <c r="G75" s="28"/>
      <c r="H75" s="28"/>
      <c r="I75" s="28"/>
      <c r="J75" s="28"/>
      <c r="K75" s="28"/>
      <c r="L75" s="28">
        <f t="shared" si="131"/>
        <v>4</v>
      </c>
      <c r="M75" s="28">
        <f t="shared" si="132"/>
        <v>5</v>
      </c>
      <c r="N75" s="28">
        <f t="shared" ref="N75:O75" si="170">IF(T75=0,0,(IF(T75&gt;6,6,(IF(T75&lt;1,1,T75)))))</f>
        <v>5</v>
      </c>
      <c r="O75" s="28">
        <f t="shared" si="170"/>
        <v>5</v>
      </c>
      <c r="P75" s="28">
        <f t="shared" si="134"/>
        <v>10</v>
      </c>
      <c r="Q75" s="28"/>
      <c r="R75" s="27">
        <f>IFERROR((VLOOKUP($BP$1&amp;D16,Teams!D:M,2,0)+AL75+AD75),0)</f>
        <v>4</v>
      </c>
      <c r="S75" s="27">
        <f>IFERROR((VLOOKUP($BP$1&amp;D16,Teams!D:M,3,0)+AM75+AE75),0)</f>
        <v>5</v>
      </c>
      <c r="T75" s="27">
        <f>IFERROR((VLOOKUP($BP$1&amp;D16,Teams!D:M,4,0)+AN75-AF75),0)</f>
        <v>5</v>
      </c>
      <c r="U75" s="27">
        <f>IFERROR((VLOOKUP($BP$1&amp;D16,Teams!D:M,5,0)+AO75-AG75),0)</f>
        <v>5</v>
      </c>
      <c r="V75" s="27">
        <f>IFERROR((VLOOKUP($BP$1&amp;D16,Teams!D:M,6,0)+AP75+AH75),0)</f>
        <v>10</v>
      </c>
      <c r="W75" s="28"/>
      <c r="X75" s="28">
        <f>IFERROR((VLOOKUP($BP$1&amp;D16,Teams!D:M,2,0)),0)</f>
        <v>4</v>
      </c>
      <c r="Y75" s="28">
        <f>IFERROR((VLOOKUP($BP$1&amp;D16,Teams!D:M,3,0)),0)</f>
        <v>5</v>
      </c>
      <c r="Z75" s="28">
        <f>IFERROR((VLOOKUP($BP$1&amp;D16,Teams!D:M,4,0)),0)</f>
        <v>5</v>
      </c>
      <c r="AA75" s="28">
        <f>IFERROR((VLOOKUP($BP$1&amp;D16,Teams!D:M,5,0)),0)</f>
        <v>5</v>
      </c>
      <c r="AB75" s="28">
        <f>IFERROR((VLOOKUP($BP$1&amp;D16,Teams!D:M,6,0)),0)</f>
        <v>10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str">
        <f t="shared" si="122"/>
        <v>Sure Hands</v>
      </c>
      <c r="CP75" s="67" t="str">
        <f t="shared" si="123"/>
        <v>Sure Hands</v>
      </c>
      <c r="CQ75" s="67" t="str">
        <f t="shared" si="124"/>
        <v>Sure Hands</v>
      </c>
      <c r="CR75" s="67" t="str">
        <f t="shared" si="125"/>
        <v>Sure Hands</v>
      </c>
      <c r="CS75" s="67" t="str">
        <f t="shared" si="126"/>
        <v>Sure Hands</v>
      </c>
      <c r="CT75" s="67" t="str">
        <f t="shared" si="127"/>
        <v>Sure Hands</v>
      </c>
      <c r="CU75" s="67" t="str">
        <f t="shared" si="128"/>
        <v>Sure Hands</v>
      </c>
      <c r="CV75" s="67" t="str">
        <f t="shared" si="129"/>
        <v>Sure Hands</v>
      </c>
      <c r="CW75" s="67" t="str">
        <f t="shared" si="130"/>
        <v>Sure Hands</v>
      </c>
      <c r="CX75" s="30"/>
      <c r="CY75" s="30"/>
      <c r="CZ75" s="30"/>
      <c r="DA75" s="28"/>
      <c r="DB75" s="30"/>
      <c r="DC75" s="30"/>
    </row>
    <row r="76" spans="1:107" ht="15" hidden="1" customHeight="1">
      <c r="A76" s="28"/>
      <c r="B76" s="28"/>
      <c r="C76" s="300"/>
      <c r="D76" s="28"/>
      <c r="E76" s="28"/>
      <c r="F76" s="28"/>
      <c r="G76" s="28"/>
      <c r="H76" s="28"/>
      <c r="I76" s="28"/>
      <c r="J76" s="28"/>
      <c r="K76" s="28"/>
      <c r="L76" s="28">
        <f t="shared" si="131"/>
        <v>4</v>
      </c>
      <c r="M76" s="28">
        <f t="shared" si="132"/>
        <v>5</v>
      </c>
      <c r="N76" s="28">
        <f t="shared" ref="N76:O76" si="172">IF(T76=0,0,(IF(T76&gt;6,6,(IF(T76&lt;1,1,T76)))))</f>
        <v>5</v>
      </c>
      <c r="O76" s="28">
        <f t="shared" si="172"/>
        <v>5</v>
      </c>
      <c r="P76" s="28">
        <f t="shared" si="134"/>
        <v>10</v>
      </c>
      <c r="Q76" s="28"/>
      <c r="R76" s="27">
        <f>IFERROR((VLOOKUP($BP$1&amp;D17,Teams!D:M,2,0)+AL76+AD76),0)</f>
        <v>4</v>
      </c>
      <c r="S76" s="27">
        <f>IFERROR((VLOOKUP($BP$1&amp;D17,Teams!D:M,3,0)+AM76+AE76),0)</f>
        <v>5</v>
      </c>
      <c r="T76" s="27">
        <f>IFERROR((VLOOKUP($BP$1&amp;D17,Teams!D:M,4,0)+AN76-AF76),0)</f>
        <v>5</v>
      </c>
      <c r="U76" s="27">
        <f>IFERROR((VLOOKUP($BP$1&amp;D17,Teams!D:M,5,0)+AO76-AG76),0)</f>
        <v>5</v>
      </c>
      <c r="V76" s="27">
        <f>IFERROR((VLOOKUP($BP$1&amp;D17,Teams!D:M,6,0)+AP76+AH76),0)</f>
        <v>10</v>
      </c>
      <c r="W76" s="28"/>
      <c r="X76" s="28">
        <f>IFERROR((VLOOKUP($BP$1&amp;D17,Teams!D:M,2,0)),0)</f>
        <v>4</v>
      </c>
      <c r="Y76" s="28">
        <f>IFERROR((VLOOKUP($BP$1&amp;D17,Teams!D:M,3,0)),0)</f>
        <v>5</v>
      </c>
      <c r="Z76" s="28">
        <f>IFERROR((VLOOKUP($BP$1&amp;D17,Teams!D:M,4,0)),0)</f>
        <v>5</v>
      </c>
      <c r="AA76" s="28">
        <f>IFERROR((VLOOKUP($BP$1&amp;D17,Teams!D:M,5,0)),0)</f>
        <v>5</v>
      </c>
      <c r="AB76" s="28">
        <f>IFERROR((VLOOKUP($BP$1&amp;D17,Teams!D:M,6,0)),0)</f>
        <v>10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str">
        <f t="shared" si="122"/>
        <v>Tackle</v>
      </c>
      <c r="CP76" s="67" t="str">
        <f t="shared" si="123"/>
        <v>Tackle</v>
      </c>
      <c r="CQ76" s="67" t="str">
        <f t="shared" si="124"/>
        <v>Tackle</v>
      </c>
      <c r="CR76" s="67" t="str">
        <f t="shared" si="125"/>
        <v>Tackle</v>
      </c>
      <c r="CS76" s="67" t="str">
        <f t="shared" si="126"/>
        <v>Tackle</v>
      </c>
      <c r="CT76" s="67" t="str">
        <f t="shared" si="127"/>
        <v>Tackle</v>
      </c>
      <c r="CU76" s="67" t="str">
        <f t="shared" si="128"/>
        <v>Tackle</v>
      </c>
      <c r="CV76" s="67" t="str">
        <f t="shared" si="129"/>
        <v>Tackle</v>
      </c>
      <c r="CW76" s="67" t="str">
        <f t="shared" si="130"/>
        <v>Tackle</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str">
        <f t="shared" si="122"/>
        <v>Wrestle</v>
      </c>
      <c r="CP77" s="67" t="str">
        <f t="shared" si="123"/>
        <v>Wrestle</v>
      </c>
      <c r="CQ77" s="67" t="str">
        <f t="shared" si="124"/>
        <v>Wrestle</v>
      </c>
      <c r="CR77" s="67" t="str">
        <f t="shared" si="125"/>
        <v>Wrestle</v>
      </c>
      <c r="CS77" s="67" t="str">
        <f t="shared" si="126"/>
        <v>Wrestle</v>
      </c>
      <c r="CT77" s="67" t="str">
        <f t="shared" si="127"/>
        <v>Wrestle</v>
      </c>
      <c r="CU77" s="67" t="str">
        <f t="shared" si="128"/>
        <v>Wrestle</v>
      </c>
      <c r="CV77" s="67" t="str">
        <f t="shared" si="129"/>
        <v>Wrestle</v>
      </c>
      <c r="CW77" s="67" t="str">
        <f t="shared" si="130"/>
        <v>Wrestle</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str">
        <f t="shared" si="122"/>
        <v>Catch</v>
      </c>
      <c r="CP78" s="67" t="str">
        <f t="shared" si="123"/>
        <v>Catch</v>
      </c>
      <c r="CQ78" s="67" t="str">
        <f t="shared" si="124"/>
        <v>Catch</v>
      </c>
      <c r="CR78" s="67" t="str">
        <f t="shared" si="125"/>
        <v>Catch</v>
      </c>
      <c r="CS78" s="67" t="str">
        <f t="shared" si="126"/>
        <v>Catch</v>
      </c>
      <c r="CT78" s="67" t="str">
        <f t="shared" si="127"/>
        <v>Catch</v>
      </c>
      <c r="CU78" s="67" t="str">
        <f t="shared" si="128"/>
        <v>Catch</v>
      </c>
      <c r="CV78" s="67" t="str">
        <f t="shared" si="129"/>
        <v>Catch</v>
      </c>
      <c r="CW78" s="67" t="str">
        <f t="shared" si="130"/>
        <v>Catch</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str">
        <f t="shared" si="122"/>
        <v>Diving Catch</v>
      </c>
      <c r="CP79" s="67" t="str">
        <f t="shared" si="123"/>
        <v>Diving Catch</v>
      </c>
      <c r="CQ79" s="67" t="str">
        <f t="shared" si="124"/>
        <v>Diving Catch</v>
      </c>
      <c r="CR79" s="67" t="str">
        <f t="shared" si="125"/>
        <v>Diving Catch</v>
      </c>
      <c r="CS79" s="67" t="str">
        <f t="shared" si="126"/>
        <v>Diving Catch</v>
      </c>
      <c r="CT79" s="67" t="str">
        <f t="shared" si="127"/>
        <v>Diving Catch</v>
      </c>
      <c r="CU79" s="67" t="str">
        <f t="shared" si="128"/>
        <v>Diving Catch</v>
      </c>
      <c r="CV79" s="67" t="str">
        <f t="shared" si="129"/>
        <v>Diving Catch</v>
      </c>
      <c r="CW79" s="67" t="str">
        <f t="shared" si="130"/>
        <v>Diving Catch</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str">
        <f t="shared" si="122"/>
        <v>Diving Tackle</v>
      </c>
      <c r="CP80" s="67" t="str">
        <f t="shared" si="123"/>
        <v>Diving Tackle</v>
      </c>
      <c r="CQ80" s="67" t="str">
        <f t="shared" si="124"/>
        <v>Diving Tackle</v>
      </c>
      <c r="CR80" s="67" t="str">
        <f t="shared" si="125"/>
        <v>Diving Tackle</v>
      </c>
      <c r="CS80" s="67" t="str">
        <f t="shared" si="126"/>
        <v>Diving Tackle</v>
      </c>
      <c r="CT80" s="67" t="str">
        <f t="shared" si="127"/>
        <v>Diving Tackle</v>
      </c>
      <c r="CU80" s="67" t="str">
        <f t="shared" si="128"/>
        <v>Diving Tackle</v>
      </c>
      <c r="CV80" s="67" t="str">
        <f t="shared" si="129"/>
        <v>Diving Tackle</v>
      </c>
      <c r="CW80" s="67" t="str">
        <f t="shared" si="130"/>
        <v>Diving Tackle</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str">
        <f t="shared" si="122"/>
        <v>Dodge</v>
      </c>
      <c r="CP81" s="67" t="str">
        <f t="shared" si="123"/>
        <v>Dodge</v>
      </c>
      <c r="CQ81" s="67" t="str">
        <f t="shared" si="124"/>
        <v>Dodge</v>
      </c>
      <c r="CR81" s="67" t="str">
        <f t="shared" si="125"/>
        <v>Dodge</v>
      </c>
      <c r="CS81" s="67" t="str">
        <f t="shared" si="126"/>
        <v>Dodge</v>
      </c>
      <c r="CT81" s="67" t="str">
        <f t="shared" si="127"/>
        <v>Dodge</v>
      </c>
      <c r="CU81" s="67" t="str">
        <f t="shared" si="128"/>
        <v>Dodge</v>
      </c>
      <c r="CV81" s="67" t="str">
        <f t="shared" si="129"/>
        <v>Dodge</v>
      </c>
      <c r="CW81" s="67" t="str">
        <f t="shared" si="130"/>
        <v>Dodge</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str">
        <f t="shared" si="122"/>
        <v>Defensive</v>
      </c>
      <c r="CP82" s="67" t="str">
        <f t="shared" si="123"/>
        <v>Defensive</v>
      </c>
      <c r="CQ82" s="67" t="str">
        <f t="shared" si="124"/>
        <v>Defensive</v>
      </c>
      <c r="CR82" s="67" t="str">
        <f t="shared" si="125"/>
        <v>Defensive</v>
      </c>
      <c r="CS82" s="67" t="str">
        <f t="shared" si="126"/>
        <v>Defensive</v>
      </c>
      <c r="CT82" s="67" t="str">
        <f t="shared" si="127"/>
        <v>Defensive</v>
      </c>
      <c r="CU82" s="67" t="str">
        <f t="shared" si="128"/>
        <v>Defensive</v>
      </c>
      <c r="CV82" s="67" t="str">
        <f t="shared" si="129"/>
        <v>Defensive</v>
      </c>
      <c r="CW82" s="67" t="str">
        <f t="shared" si="130"/>
        <v>Defensive</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str">
        <f t="shared" si="122"/>
        <v>Jump Up</v>
      </c>
      <c r="CP83" s="67" t="str">
        <f t="shared" si="123"/>
        <v>Jump Up</v>
      </c>
      <c r="CQ83" s="67" t="str">
        <f t="shared" si="124"/>
        <v>Jump Up</v>
      </c>
      <c r="CR83" s="67" t="str">
        <f t="shared" si="125"/>
        <v>Jump Up</v>
      </c>
      <c r="CS83" s="67" t="str">
        <f t="shared" si="126"/>
        <v>Jump Up</v>
      </c>
      <c r="CT83" s="67" t="str">
        <f t="shared" si="127"/>
        <v>Jump Up</v>
      </c>
      <c r="CU83" s="67" t="str">
        <f t="shared" si="128"/>
        <v>Jump Up</v>
      </c>
      <c r="CV83" s="67" t="str">
        <f t="shared" si="129"/>
        <v>Jump Up</v>
      </c>
      <c r="CW83" s="67" t="str">
        <f t="shared" si="130"/>
        <v>Jump Up</v>
      </c>
      <c r="CX83" s="30"/>
      <c r="CY83" s="30"/>
      <c r="CZ83" s="30"/>
      <c r="DA83" s="28"/>
      <c r="DB83" s="30"/>
      <c r="DC83" s="30"/>
    </row>
    <row r="84" spans="1:107" ht="15" hidden="1" customHeight="1">
      <c r="A84" s="28"/>
      <c r="B84" s="407"/>
      <c r="C84" s="407"/>
      <c r="D84" s="396"/>
      <c r="E84" s="396"/>
      <c r="F84" s="396"/>
      <c r="G84" s="396"/>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str">
        <f t="shared" si="122"/>
        <v>Leap</v>
      </c>
      <c r="CP84" s="67" t="str">
        <f t="shared" si="123"/>
        <v>Leap</v>
      </c>
      <c r="CQ84" s="67" t="str">
        <f t="shared" si="124"/>
        <v>Leap</v>
      </c>
      <c r="CR84" s="67" t="str">
        <f t="shared" si="125"/>
        <v>Leap</v>
      </c>
      <c r="CS84" s="67" t="str">
        <f t="shared" si="126"/>
        <v>Leap</v>
      </c>
      <c r="CT84" s="67" t="str">
        <f t="shared" si="127"/>
        <v>Leap</v>
      </c>
      <c r="CU84" s="67" t="str">
        <f t="shared" si="128"/>
        <v>Leap</v>
      </c>
      <c r="CV84" s="67" t="str">
        <f t="shared" si="129"/>
        <v>Leap</v>
      </c>
      <c r="CW84" s="67" t="str">
        <f t="shared" si="130"/>
        <v>Leap</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str">
        <f t="shared" si="123"/>
        <v>Safe Pair of Hands</v>
      </c>
      <c r="CQ85" s="67" t="str">
        <f t="shared" si="124"/>
        <v>Safe Pair of Hands</v>
      </c>
      <c r="CR85" s="67" t="str">
        <f t="shared" si="125"/>
        <v>Safe Pair of Hands</v>
      </c>
      <c r="CS85" s="67" t="str">
        <f t="shared" si="126"/>
        <v>Safe Pair of Hands</v>
      </c>
      <c r="CT85" s="67" t="str">
        <f t="shared" si="127"/>
        <v>Safe Pair of Hands</v>
      </c>
      <c r="CU85" s="67" t="str">
        <f t="shared" si="128"/>
        <v>Safe Pair of Hands</v>
      </c>
      <c r="CV85" s="67" t="str">
        <f t="shared" si="129"/>
        <v>Safe Pair of Hands</v>
      </c>
      <c r="CW85" s="67" t="str">
        <f t="shared" si="130"/>
        <v>Safe Pair of Hands</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str">
        <f t="shared" si="122"/>
        <v>Sidestep</v>
      </c>
      <c r="CP86" s="67" t="str">
        <f t="shared" si="123"/>
        <v>Sidestep</v>
      </c>
      <c r="CQ86" s="67" t="str">
        <f t="shared" si="124"/>
        <v>Sidestep</v>
      </c>
      <c r="CR86" s="67" t="str">
        <f t="shared" si="125"/>
        <v>Sidestep</v>
      </c>
      <c r="CS86" s="67" t="str">
        <f t="shared" si="126"/>
        <v>Sidestep</v>
      </c>
      <c r="CT86" s="67" t="str">
        <f t="shared" si="127"/>
        <v>Sidestep</v>
      </c>
      <c r="CU86" s="67" t="str">
        <f t="shared" si="128"/>
        <v>Sidestep</v>
      </c>
      <c r="CV86" s="67" t="str">
        <f t="shared" si="129"/>
        <v>Sidestep</v>
      </c>
      <c r="CW86" s="67" t="str">
        <f t="shared" si="130"/>
        <v>Sidestep</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str">
        <f t="shared" si="122"/>
        <v>Sneaky Git</v>
      </c>
      <c r="CP87" s="67" t="str">
        <f t="shared" si="123"/>
        <v>Sneaky Git</v>
      </c>
      <c r="CQ87" s="67" t="str">
        <f t="shared" si="124"/>
        <v>Sneaky Git</v>
      </c>
      <c r="CR87" s="67" t="str">
        <f t="shared" si="125"/>
        <v>Sneaky Git</v>
      </c>
      <c r="CS87" s="67" t="str">
        <f t="shared" si="126"/>
        <v>Sneaky Git</v>
      </c>
      <c r="CT87" s="67" t="str">
        <f t="shared" si="127"/>
        <v>Sneaky Git</v>
      </c>
      <c r="CU87" s="67" t="str">
        <f t="shared" si="128"/>
        <v>Sneaky Git</v>
      </c>
      <c r="CV87" s="67" t="str">
        <f t="shared" si="129"/>
        <v>Sneaky Git</v>
      </c>
      <c r="CW87" s="67" t="str">
        <f t="shared" si="130"/>
        <v>Sneaky Git</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str">
        <f t="shared" si="122"/>
        <v>Sprint</v>
      </c>
      <c r="CP88" s="67" t="str">
        <f t="shared" si="123"/>
        <v>Sprint</v>
      </c>
      <c r="CQ88" s="67" t="str">
        <f t="shared" si="124"/>
        <v>Sprint</v>
      </c>
      <c r="CR88" s="67" t="str">
        <f t="shared" si="125"/>
        <v>Sprint</v>
      </c>
      <c r="CS88" s="67" t="str">
        <f t="shared" si="126"/>
        <v>Sprint</v>
      </c>
      <c r="CT88" s="67" t="str">
        <f t="shared" si="127"/>
        <v>Sprint</v>
      </c>
      <c r="CU88" s="67" t="str">
        <f t="shared" si="128"/>
        <v>Sprint</v>
      </c>
      <c r="CV88" s="67" t="str">
        <f t="shared" si="129"/>
        <v>Sprint</v>
      </c>
      <c r="CW88" s="67" t="str">
        <f t="shared" si="130"/>
        <v>Sprint</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str">
        <f t="shared" si="122"/>
        <v>Sure Feet</v>
      </c>
      <c r="CP89" s="67" t="str">
        <f t="shared" si="123"/>
        <v>Sure Feet</v>
      </c>
      <c r="CQ89" s="67" t="str">
        <f t="shared" si="124"/>
        <v>Sure Feet</v>
      </c>
      <c r="CR89" s="67" t="str">
        <f t="shared" si="125"/>
        <v>Sure Feet</v>
      </c>
      <c r="CS89" s="67" t="str">
        <f t="shared" si="126"/>
        <v>Sure Feet</v>
      </c>
      <c r="CT89" s="67" t="str">
        <f t="shared" si="127"/>
        <v>Sure Feet</v>
      </c>
      <c r="CU89" s="67" t="str">
        <f t="shared" si="128"/>
        <v>Sure Feet</v>
      </c>
      <c r="CV89" s="67" t="str">
        <f t="shared" si="129"/>
        <v>Sure Feet</v>
      </c>
      <c r="CW89" s="67" t="str">
        <f t="shared" si="130"/>
        <v>Sure Feet</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Arm Bar</v>
      </c>
      <c r="CI90" s="249" t="str">
        <f t="shared" si="116"/>
        <v>Arm Bar</v>
      </c>
      <c r="CJ90" s="67" t="str">
        <f t="shared" si="117"/>
        <v>Accurate</v>
      </c>
      <c r="CK90" s="67" t="str">
        <f t="shared" si="118"/>
        <v>Accurate</v>
      </c>
      <c r="CL90" s="67" t="str">
        <f t="shared" si="119"/>
        <v>Accurate</v>
      </c>
      <c r="CM90" s="67" t="str">
        <f t="shared" si="120"/>
        <v>Arm Bar</v>
      </c>
      <c r="CN90" s="67" t="str">
        <f t="shared" si="121"/>
        <v>Accurate</v>
      </c>
      <c r="CO90" s="67" t="str">
        <f t="shared" si="122"/>
        <v>Accurate</v>
      </c>
      <c r="CP90" s="67" t="str">
        <f t="shared" si="123"/>
        <v>Accurate</v>
      </c>
      <c r="CQ90" s="67" t="str">
        <f t="shared" si="124"/>
        <v>Accurate</v>
      </c>
      <c r="CR90" s="67" t="str">
        <f t="shared" si="125"/>
        <v>Accurate</v>
      </c>
      <c r="CS90" s="67" t="str">
        <f t="shared" si="126"/>
        <v>Accurate</v>
      </c>
      <c r="CT90" s="67" t="str">
        <f t="shared" si="127"/>
        <v>Accurate</v>
      </c>
      <c r="CU90" s="67" t="str">
        <f t="shared" si="128"/>
        <v>Accurate</v>
      </c>
      <c r="CV90" s="67" t="str">
        <f t="shared" si="129"/>
        <v>Accurate</v>
      </c>
      <c r="CW90" s="67" t="str">
        <f t="shared" si="130"/>
        <v>Accurate</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Brawler</v>
      </c>
      <c r="CI91" s="249" t="str">
        <f t="shared" si="116"/>
        <v>Brawler</v>
      </c>
      <c r="CJ91" s="67" t="str">
        <f t="shared" si="117"/>
        <v>Cannoneer</v>
      </c>
      <c r="CK91" s="67" t="str">
        <f t="shared" si="118"/>
        <v>Cannoneer</v>
      </c>
      <c r="CL91" s="67" t="str">
        <f t="shared" si="119"/>
        <v>Cannoneer</v>
      </c>
      <c r="CM91" s="67" t="str">
        <f t="shared" si="120"/>
        <v>Brawler</v>
      </c>
      <c r="CN91" s="67" t="str">
        <f t="shared" si="121"/>
        <v>Cannoneer</v>
      </c>
      <c r="CO91" s="67" t="str">
        <f t="shared" si="122"/>
        <v>Cannoneer</v>
      </c>
      <c r="CP91" s="67" t="str">
        <f t="shared" si="123"/>
        <v>Cannoneer</v>
      </c>
      <c r="CQ91" s="67" t="str">
        <f t="shared" si="124"/>
        <v>Cannoneer</v>
      </c>
      <c r="CR91" s="67" t="str">
        <f t="shared" si="125"/>
        <v>Cannoneer</v>
      </c>
      <c r="CS91" s="67" t="str">
        <f t="shared" si="126"/>
        <v>Cannoneer</v>
      </c>
      <c r="CT91" s="67" t="str">
        <f t="shared" si="127"/>
        <v>Cannoneer</v>
      </c>
      <c r="CU91" s="67" t="str">
        <f t="shared" si="128"/>
        <v>Cannoneer</v>
      </c>
      <c r="CV91" s="67" t="str">
        <f t="shared" si="129"/>
        <v>Cannoneer</v>
      </c>
      <c r="CW91" s="67" t="str">
        <f t="shared" si="130"/>
        <v>Cannoneer</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Break Tackle</v>
      </c>
      <c r="CI92" s="249" t="str">
        <f t="shared" si="116"/>
        <v>Break Tackle</v>
      </c>
      <c r="CJ92" s="67" t="str">
        <f t="shared" si="117"/>
        <v>Cloud Burster</v>
      </c>
      <c r="CK92" s="67" t="str">
        <f t="shared" si="118"/>
        <v>Cloud Burster</v>
      </c>
      <c r="CL92" s="67" t="str">
        <f t="shared" si="119"/>
        <v>Cloud Burster</v>
      </c>
      <c r="CM92" s="67" t="str">
        <f t="shared" si="120"/>
        <v>Break Tackle</v>
      </c>
      <c r="CN92" s="67" t="str">
        <f t="shared" si="121"/>
        <v>Cloud Burster</v>
      </c>
      <c r="CO92" s="67" t="str">
        <f t="shared" si="122"/>
        <v>Cloud Burster</v>
      </c>
      <c r="CP92" s="67" t="str">
        <f t="shared" si="123"/>
        <v>Cloud Burster</v>
      </c>
      <c r="CQ92" s="67" t="str">
        <f t="shared" si="124"/>
        <v>Cloud Burster</v>
      </c>
      <c r="CR92" s="67" t="str">
        <f t="shared" si="125"/>
        <v>Cloud Burster</v>
      </c>
      <c r="CS92" s="67" t="str">
        <f t="shared" si="126"/>
        <v>Cloud Burster</v>
      </c>
      <c r="CT92" s="67" t="str">
        <f t="shared" si="127"/>
        <v>Cloud Burster</v>
      </c>
      <c r="CU92" s="67" t="str">
        <f t="shared" si="128"/>
        <v>Cloud Burster</v>
      </c>
      <c r="CV92" s="67" t="str">
        <f t="shared" si="129"/>
        <v>Cloud Burster</v>
      </c>
      <c r="CW92" s="67" t="str">
        <f t="shared" si="130"/>
        <v>Cloud Burster</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Grab</v>
      </c>
      <c r="CI93" s="249" t="str">
        <f t="shared" si="116"/>
        <v>Grab</v>
      </c>
      <c r="CJ93" s="67" t="str">
        <f t="shared" si="117"/>
        <v>Dump-Off</v>
      </c>
      <c r="CK93" s="67" t="str">
        <f t="shared" si="118"/>
        <v>Dump-Off</v>
      </c>
      <c r="CL93" s="67" t="str">
        <f t="shared" si="119"/>
        <v>Dump-Off</v>
      </c>
      <c r="CM93" s="67" t="str">
        <f t="shared" si="120"/>
        <v>Grab</v>
      </c>
      <c r="CN93" s="67" t="str">
        <f t="shared" si="121"/>
        <v>Dump-Off</v>
      </c>
      <c r="CO93" s="67" t="str">
        <f t="shared" si="122"/>
        <v>Dump-Off</v>
      </c>
      <c r="CP93" s="67" t="str">
        <f t="shared" si="123"/>
        <v>Dump-Off</v>
      </c>
      <c r="CQ93" s="67" t="str">
        <f t="shared" si="124"/>
        <v>Dump-Off</v>
      </c>
      <c r="CR93" s="67" t="str">
        <f t="shared" si="125"/>
        <v>Dump-Off</v>
      </c>
      <c r="CS93" s="67" t="str">
        <f t="shared" si="126"/>
        <v>Dump-Off</v>
      </c>
      <c r="CT93" s="67" t="str">
        <f t="shared" si="127"/>
        <v>Dump-Off</v>
      </c>
      <c r="CU93" s="67" t="str">
        <f t="shared" si="128"/>
        <v>Dump-Off</v>
      </c>
      <c r="CV93" s="67" t="str">
        <f t="shared" si="129"/>
        <v>Dump-Off</v>
      </c>
      <c r="CW93" s="67" t="str">
        <f t="shared" si="130"/>
        <v>Dump-Off</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Guard</v>
      </c>
      <c r="CI94" s="249" t="str">
        <f t="shared" si="116"/>
        <v>Guard</v>
      </c>
      <c r="CJ94" s="67" t="str">
        <f t="shared" si="117"/>
        <v>Fumblerooskie</v>
      </c>
      <c r="CK94" s="67" t="str">
        <f t="shared" si="118"/>
        <v>Fumblerooskie</v>
      </c>
      <c r="CL94" s="67" t="str">
        <f t="shared" si="119"/>
        <v>Fumblerooskie</v>
      </c>
      <c r="CM94" s="67" t="str">
        <f t="shared" si="120"/>
        <v>Guard</v>
      </c>
      <c r="CN94" s="67" t="str">
        <f t="shared" si="121"/>
        <v>Fumblerooskie</v>
      </c>
      <c r="CO94" s="67" t="str">
        <f t="shared" si="122"/>
        <v>Fumblerooskie</v>
      </c>
      <c r="CP94" s="67" t="str">
        <f t="shared" si="123"/>
        <v>Fumblerooskie</v>
      </c>
      <c r="CQ94" s="67" t="str">
        <f t="shared" si="124"/>
        <v>Fumblerooskie</v>
      </c>
      <c r="CR94" s="67" t="str">
        <f t="shared" si="125"/>
        <v>Fumblerooskie</v>
      </c>
      <c r="CS94" s="67" t="str">
        <f t="shared" si="126"/>
        <v>Fumblerooskie</v>
      </c>
      <c r="CT94" s="67" t="str">
        <f t="shared" si="127"/>
        <v>Fumblerooskie</v>
      </c>
      <c r="CU94" s="67" t="str">
        <f t="shared" si="128"/>
        <v>Fumblerooskie</v>
      </c>
      <c r="CV94" s="67" t="str">
        <f t="shared" si="129"/>
        <v>Fumblerooskie</v>
      </c>
      <c r="CW94" s="67" t="str">
        <f t="shared" si="130"/>
        <v>Fumblerooskie</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Juggernaut</v>
      </c>
      <c r="CI95" s="249" t="str">
        <f t="shared" si="116"/>
        <v>Juggernaut</v>
      </c>
      <c r="CJ95" s="67" t="str">
        <f t="shared" si="117"/>
        <v>Hail Mary Pass</v>
      </c>
      <c r="CK95" s="67" t="str">
        <f t="shared" si="118"/>
        <v>Hail Mary Pass</v>
      </c>
      <c r="CL95" s="67" t="str">
        <f t="shared" si="119"/>
        <v>Hail Mary Pass</v>
      </c>
      <c r="CM95" s="67" t="str">
        <f t="shared" si="120"/>
        <v>Juggernaut</v>
      </c>
      <c r="CN95" s="67" t="str">
        <f t="shared" si="121"/>
        <v>Hail Mary Pass</v>
      </c>
      <c r="CO95" s="67" t="str">
        <f t="shared" si="122"/>
        <v>Hail Mary Pass</v>
      </c>
      <c r="CP95" s="67" t="str">
        <f t="shared" si="123"/>
        <v>Hail Mary Pass</v>
      </c>
      <c r="CQ95" s="67" t="str">
        <f t="shared" si="124"/>
        <v>Hail Mary Pass</v>
      </c>
      <c r="CR95" s="67" t="str">
        <f t="shared" si="125"/>
        <v>Hail Mary Pass</v>
      </c>
      <c r="CS95" s="67" t="str">
        <f t="shared" si="126"/>
        <v>Hail Mary Pass</v>
      </c>
      <c r="CT95" s="67" t="str">
        <f t="shared" si="127"/>
        <v>Hail Mary Pass</v>
      </c>
      <c r="CU95" s="67" t="str">
        <f t="shared" si="128"/>
        <v>Hail Mary Pass</v>
      </c>
      <c r="CV95" s="67" t="str">
        <f t="shared" si="129"/>
        <v>Hail Mary Pass</v>
      </c>
      <c r="CW95" s="67" t="str">
        <f t="shared" si="130"/>
        <v>Hail Mary Pass</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Mighty Blow (+1)</v>
      </c>
      <c r="CI96" s="249" t="str">
        <f t="shared" si="116"/>
        <v>Mighty Blow (+1)</v>
      </c>
      <c r="CJ96" s="67" t="str">
        <f t="shared" si="117"/>
        <v>Leader</v>
      </c>
      <c r="CK96" s="67" t="str">
        <f t="shared" si="118"/>
        <v>Leader</v>
      </c>
      <c r="CL96" s="67" t="str">
        <f t="shared" si="119"/>
        <v>Leader</v>
      </c>
      <c r="CM96" s="67" t="str">
        <f t="shared" si="120"/>
        <v>Mighty Blow (+1)</v>
      </c>
      <c r="CN96" s="67" t="str">
        <f t="shared" si="121"/>
        <v>Leader</v>
      </c>
      <c r="CO96" s="67" t="str">
        <f t="shared" si="122"/>
        <v>Leader</v>
      </c>
      <c r="CP96" s="67" t="str">
        <f t="shared" si="123"/>
        <v>Leader</v>
      </c>
      <c r="CQ96" s="67" t="str">
        <f t="shared" si="124"/>
        <v>Leader</v>
      </c>
      <c r="CR96" s="67" t="str">
        <f t="shared" si="125"/>
        <v>Leader</v>
      </c>
      <c r="CS96" s="67" t="str">
        <f t="shared" si="126"/>
        <v>Leader</v>
      </c>
      <c r="CT96" s="67" t="str">
        <f t="shared" si="127"/>
        <v>Leader</v>
      </c>
      <c r="CU96" s="67" t="str">
        <f t="shared" si="128"/>
        <v>Leader</v>
      </c>
      <c r="CV96" s="67" t="str">
        <f t="shared" si="129"/>
        <v>Leader</v>
      </c>
      <c r="CW96" s="67" t="str">
        <f t="shared" si="130"/>
        <v>Leader</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Multiple Blocks</v>
      </c>
      <c r="CI97" s="249" t="str">
        <f t="shared" si="116"/>
        <v>Multiple Blocks</v>
      </c>
      <c r="CJ97" s="67" t="str">
        <f t="shared" si="117"/>
        <v>Nerves of Steel</v>
      </c>
      <c r="CK97" s="67" t="str">
        <f t="shared" si="118"/>
        <v>Nerves of Steel</v>
      </c>
      <c r="CL97" s="67" t="str">
        <f t="shared" si="119"/>
        <v>Nerves of Steel</v>
      </c>
      <c r="CM97" s="67" t="str">
        <f t="shared" si="120"/>
        <v>Multiple Blocks</v>
      </c>
      <c r="CN97" s="67" t="str">
        <f t="shared" si="121"/>
        <v>Nerves of Steel</v>
      </c>
      <c r="CO97" s="67" t="str">
        <f t="shared" si="122"/>
        <v>Nerves of Steel</v>
      </c>
      <c r="CP97" s="67" t="str">
        <f t="shared" si="123"/>
        <v>Nerves of Steel</v>
      </c>
      <c r="CQ97" s="67" t="str">
        <f t="shared" si="124"/>
        <v>Nerves of Steel</v>
      </c>
      <c r="CR97" s="67" t="str">
        <f t="shared" si="125"/>
        <v>Nerves of Steel</v>
      </c>
      <c r="CS97" s="67" t="str">
        <f t="shared" si="126"/>
        <v>Nerves of Steel</v>
      </c>
      <c r="CT97" s="67" t="str">
        <f t="shared" si="127"/>
        <v>Nerves of Steel</v>
      </c>
      <c r="CU97" s="67" t="str">
        <f t="shared" si="128"/>
        <v>Nerves of Steel</v>
      </c>
      <c r="CV97" s="67" t="str">
        <f t="shared" si="129"/>
        <v>Nerves of Steel</v>
      </c>
      <c r="CW97" s="67" t="str">
        <f t="shared" si="130"/>
        <v>Nerves of Steel</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Pile Diver</v>
      </c>
      <c r="CI98" s="249" t="str">
        <f t="shared" si="116"/>
        <v>Pile Diver</v>
      </c>
      <c r="CJ98" s="67" t="str">
        <f t="shared" si="117"/>
        <v>On the Ball</v>
      </c>
      <c r="CK98" s="67" t="str">
        <f t="shared" si="118"/>
        <v>On the Ball</v>
      </c>
      <c r="CL98" s="67" t="str">
        <f t="shared" si="119"/>
        <v>On the Ball</v>
      </c>
      <c r="CM98" s="67" t="str">
        <f t="shared" si="120"/>
        <v>Pile Diver</v>
      </c>
      <c r="CN98" s="67" t="str">
        <f t="shared" si="121"/>
        <v>On the Ball</v>
      </c>
      <c r="CO98" s="67" t="str">
        <f t="shared" si="122"/>
        <v>On the Ball</v>
      </c>
      <c r="CP98" s="67" t="str">
        <f t="shared" si="123"/>
        <v>On the Ball</v>
      </c>
      <c r="CQ98" s="67" t="str">
        <f t="shared" si="124"/>
        <v>On the Ball</v>
      </c>
      <c r="CR98" s="67" t="str">
        <f t="shared" si="125"/>
        <v>On the Ball</v>
      </c>
      <c r="CS98" s="67" t="str">
        <f t="shared" si="126"/>
        <v>On the Ball</v>
      </c>
      <c r="CT98" s="67" t="str">
        <f t="shared" si="127"/>
        <v>On the Ball</v>
      </c>
      <c r="CU98" s="67" t="str">
        <f t="shared" si="128"/>
        <v>On the Ball</v>
      </c>
      <c r="CV98" s="67" t="str">
        <f t="shared" si="129"/>
        <v>On the Ball</v>
      </c>
      <c r="CW98" s="67" t="str">
        <f t="shared" si="130"/>
        <v>On the Ball</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Stand Firm</v>
      </c>
      <c r="CI99" s="249" t="str">
        <f t="shared" si="116"/>
        <v>Stand Firm</v>
      </c>
      <c r="CJ99" s="67" t="str">
        <f t="shared" si="117"/>
        <v>Pass</v>
      </c>
      <c r="CK99" s="67" t="str">
        <f t="shared" si="118"/>
        <v>Pass</v>
      </c>
      <c r="CL99" s="67" t="str">
        <f t="shared" si="119"/>
        <v>Pass</v>
      </c>
      <c r="CM99" s="67" t="str">
        <f t="shared" si="120"/>
        <v>Stand Firm</v>
      </c>
      <c r="CN99" s="67" t="str">
        <f t="shared" si="121"/>
        <v>Pass</v>
      </c>
      <c r="CO99" s="67" t="str">
        <f t="shared" si="122"/>
        <v>Pass</v>
      </c>
      <c r="CP99" s="67" t="str">
        <f t="shared" si="123"/>
        <v>Pass</v>
      </c>
      <c r="CQ99" s="67" t="str">
        <f t="shared" si="124"/>
        <v>Pass</v>
      </c>
      <c r="CR99" s="67" t="str">
        <f t="shared" si="125"/>
        <v>Pass</v>
      </c>
      <c r="CS99" s="67" t="str">
        <f t="shared" si="126"/>
        <v>Pass</v>
      </c>
      <c r="CT99" s="67" t="str">
        <f t="shared" si="127"/>
        <v>Pass</v>
      </c>
      <c r="CU99" s="67" t="str">
        <f t="shared" si="128"/>
        <v>Pass</v>
      </c>
      <c r="CV99" s="67" t="str">
        <f t="shared" si="129"/>
        <v>Pass</v>
      </c>
      <c r="CW99" s="67" t="str">
        <f t="shared" si="130"/>
        <v>Pass</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Strong Arm</v>
      </c>
      <c r="CI100" s="249" t="str">
        <f t="shared" si="116"/>
        <v>Strong Arm</v>
      </c>
      <c r="CJ100" s="67" t="str">
        <f t="shared" si="117"/>
        <v>Running Pass</v>
      </c>
      <c r="CK100" s="67" t="str">
        <f t="shared" si="118"/>
        <v>Running Pass</v>
      </c>
      <c r="CL100" s="67" t="str">
        <f t="shared" si="119"/>
        <v>Running Pass</v>
      </c>
      <c r="CM100" s="67" t="str">
        <f t="shared" si="120"/>
        <v>Strong Arm</v>
      </c>
      <c r="CN100" s="67" t="str">
        <f t="shared" si="121"/>
        <v>Running Pass</v>
      </c>
      <c r="CO100" s="67" t="str">
        <f t="shared" si="122"/>
        <v>Running Pass</v>
      </c>
      <c r="CP100" s="67" t="str">
        <f t="shared" si="123"/>
        <v>Running Pass</v>
      </c>
      <c r="CQ100" s="67" t="str">
        <f t="shared" si="124"/>
        <v>Running Pass</v>
      </c>
      <c r="CR100" s="67" t="str">
        <f t="shared" si="125"/>
        <v>Running Pass</v>
      </c>
      <c r="CS100" s="67" t="str">
        <f t="shared" si="126"/>
        <v>Running Pass</v>
      </c>
      <c r="CT100" s="67" t="str">
        <f t="shared" si="127"/>
        <v>Running Pass</v>
      </c>
      <c r="CU100" s="67" t="str">
        <f t="shared" si="128"/>
        <v>Running Pass</v>
      </c>
      <c r="CV100" s="67" t="str">
        <f t="shared" si="129"/>
        <v>Running Pass</v>
      </c>
      <c r="CW100" s="67" t="str">
        <f t="shared" si="130"/>
        <v>Running Pass</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Thick Skull</v>
      </c>
      <c r="CI101" s="249" t="str">
        <f t="shared" si="116"/>
        <v>Thick Skull</v>
      </c>
      <c r="CJ101" s="67" t="str">
        <f t="shared" si="117"/>
        <v>Safe Pass</v>
      </c>
      <c r="CK101" s="67" t="str">
        <f t="shared" si="118"/>
        <v>Safe Pass</v>
      </c>
      <c r="CL101" s="67" t="str">
        <f t="shared" si="119"/>
        <v>Safe Pass</v>
      </c>
      <c r="CM101" s="67" t="str">
        <f t="shared" si="120"/>
        <v>Thick Skull</v>
      </c>
      <c r="CN101" s="67" t="str">
        <f t="shared" si="121"/>
        <v>Safe Pass</v>
      </c>
      <c r="CO101" s="67" t="str">
        <f t="shared" si="122"/>
        <v>Safe Pass</v>
      </c>
      <c r="CP101" s="67" t="str">
        <f t="shared" si="123"/>
        <v>Safe Pass</v>
      </c>
      <c r="CQ101" s="67" t="str">
        <f t="shared" si="124"/>
        <v>Safe Pass</v>
      </c>
      <c r="CR101" s="67" t="str">
        <f t="shared" si="125"/>
        <v>Safe Pass</v>
      </c>
      <c r="CS101" s="67" t="str">
        <f t="shared" si="126"/>
        <v>Safe Pass</v>
      </c>
      <c r="CT101" s="67" t="str">
        <f t="shared" si="127"/>
        <v>Safe Pass</v>
      </c>
      <c r="CU101" s="67" t="str">
        <f t="shared" si="128"/>
        <v>Safe Pass</v>
      </c>
      <c r="CV101" s="67" t="str">
        <f t="shared" si="129"/>
        <v>Safe Pass</v>
      </c>
      <c r="CW101" s="67" t="str">
        <f t="shared" si="130"/>
        <v>Safe Pass</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
      </c>
      <c r="CI102" s="249" t="str">
        <f t="shared" si="116"/>
        <v/>
      </c>
      <c r="CJ102" s="67" t="str">
        <f t="shared" si="117"/>
        <v>Arm Bar</v>
      </c>
      <c r="CK102" s="67" t="str">
        <f t="shared" si="118"/>
        <v>Arm Bar</v>
      </c>
      <c r="CL102" s="67" t="str">
        <f t="shared" si="119"/>
        <v>Arm Bar</v>
      </c>
      <c r="CM102" s="67" t="str">
        <f t="shared" si="120"/>
        <v/>
      </c>
      <c r="CN102" s="67" t="str">
        <f t="shared" si="121"/>
        <v>Arm Bar</v>
      </c>
      <c r="CO102" s="67" t="str">
        <f t="shared" si="122"/>
        <v>Arm Bar</v>
      </c>
      <c r="CP102" s="67" t="str">
        <f t="shared" si="123"/>
        <v>Arm Bar</v>
      </c>
      <c r="CQ102" s="67" t="str">
        <f t="shared" si="124"/>
        <v>Arm Bar</v>
      </c>
      <c r="CR102" s="67" t="str">
        <f t="shared" si="125"/>
        <v>Arm Bar</v>
      </c>
      <c r="CS102" s="67" t="str">
        <f t="shared" si="126"/>
        <v>Arm Bar</v>
      </c>
      <c r="CT102" s="67" t="str">
        <f t="shared" si="127"/>
        <v>Arm Bar</v>
      </c>
      <c r="CU102" s="67" t="str">
        <f t="shared" si="128"/>
        <v>Arm Bar</v>
      </c>
      <c r="CV102" s="67" t="str">
        <f t="shared" si="129"/>
        <v>Arm Bar</v>
      </c>
      <c r="CW102" s="67" t="str">
        <f t="shared" si="130"/>
        <v>Arm Bar</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
      </c>
      <c r="CI103" s="249" t="str">
        <f t="shared" si="116"/>
        <v/>
      </c>
      <c r="CJ103" s="67" t="str">
        <f t="shared" si="117"/>
        <v>Brawler</v>
      </c>
      <c r="CK103" s="67" t="str">
        <f t="shared" si="118"/>
        <v>Brawler</v>
      </c>
      <c r="CL103" s="67" t="str">
        <f t="shared" si="119"/>
        <v>Brawler</v>
      </c>
      <c r="CM103" s="67" t="str">
        <f t="shared" si="120"/>
        <v/>
      </c>
      <c r="CN103" s="67" t="str">
        <f t="shared" si="121"/>
        <v>Brawler</v>
      </c>
      <c r="CO103" s="67" t="str">
        <f t="shared" si="122"/>
        <v>Brawler</v>
      </c>
      <c r="CP103" s="67" t="str">
        <f t="shared" si="123"/>
        <v>Brawler</v>
      </c>
      <c r="CQ103" s="67" t="str">
        <f t="shared" si="124"/>
        <v>Brawler</v>
      </c>
      <c r="CR103" s="67" t="str">
        <f t="shared" si="125"/>
        <v>Brawler</v>
      </c>
      <c r="CS103" s="67" t="str">
        <f t="shared" si="126"/>
        <v>Brawler</v>
      </c>
      <c r="CT103" s="67" t="str">
        <f t="shared" si="127"/>
        <v>Brawler</v>
      </c>
      <c r="CU103" s="67" t="str">
        <f t="shared" si="128"/>
        <v>Brawler</v>
      </c>
      <c r="CV103" s="67" t="str">
        <f t="shared" si="129"/>
        <v>Brawler</v>
      </c>
      <c r="CW103" s="67" t="str">
        <f t="shared" si="130"/>
        <v>Brawler</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
      </c>
      <c r="CI104" s="249" t="str">
        <f t="shared" si="116"/>
        <v/>
      </c>
      <c r="CJ104" s="67" t="str">
        <f t="shared" si="117"/>
        <v>Break Tackle</v>
      </c>
      <c r="CK104" s="67" t="str">
        <f t="shared" si="118"/>
        <v>Break Tackle</v>
      </c>
      <c r="CL104" s="67" t="str">
        <f t="shared" si="119"/>
        <v>Break Tackle</v>
      </c>
      <c r="CM104" s="67" t="str">
        <f t="shared" si="120"/>
        <v/>
      </c>
      <c r="CN104" s="67" t="str">
        <f t="shared" si="121"/>
        <v>Break Tackle</v>
      </c>
      <c r="CO104" s="67" t="str">
        <f t="shared" si="122"/>
        <v>Break Tackle</v>
      </c>
      <c r="CP104" s="67" t="str">
        <f t="shared" si="123"/>
        <v>Break Tackle</v>
      </c>
      <c r="CQ104" s="67" t="str">
        <f t="shared" si="124"/>
        <v>Break Tackle</v>
      </c>
      <c r="CR104" s="67" t="str">
        <f t="shared" si="125"/>
        <v>Break Tackle</v>
      </c>
      <c r="CS104" s="67" t="str">
        <f t="shared" si="126"/>
        <v>Break Tackle</v>
      </c>
      <c r="CT104" s="67" t="str">
        <f t="shared" si="127"/>
        <v>Break Tackle</v>
      </c>
      <c r="CU104" s="67" t="str">
        <f t="shared" si="128"/>
        <v>Break Tackle</v>
      </c>
      <c r="CV104" s="67" t="str">
        <f t="shared" si="129"/>
        <v>Break Tackle</v>
      </c>
      <c r="CW104" s="67" t="str">
        <f t="shared" si="130"/>
        <v>Break Tackle</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
      </c>
      <c r="CI105" s="249" t="str">
        <f t="shared" si="116"/>
        <v/>
      </c>
      <c r="CJ105" s="67" t="str">
        <f t="shared" si="117"/>
        <v>Grab</v>
      </c>
      <c r="CK105" s="67" t="str">
        <f t="shared" si="118"/>
        <v>Grab</v>
      </c>
      <c r="CL105" s="67" t="str">
        <f t="shared" si="119"/>
        <v>Grab</v>
      </c>
      <c r="CM105" s="67" t="str">
        <f t="shared" si="120"/>
        <v/>
      </c>
      <c r="CN105" s="67" t="str">
        <f t="shared" si="121"/>
        <v>Grab</v>
      </c>
      <c r="CO105" s="67" t="str">
        <f t="shared" si="122"/>
        <v>Grab</v>
      </c>
      <c r="CP105" s="67" t="str">
        <f t="shared" si="123"/>
        <v>Grab</v>
      </c>
      <c r="CQ105" s="67" t="str">
        <f t="shared" si="124"/>
        <v>Grab</v>
      </c>
      <c r="CR105" s="67" t="str">
        <f t="shared" si="125"/>
        <v>Grab</v>
      </c>
      <c r="CS105" s="67" t="str">
        <f t="shared" si="126"/>
        <v>Grab</v>
      </c>
      <c r="CT105" s="67" t="str">
        <f t="shared" si="127"/>
        <v>Grab</v>
      </c>
      <c r="CU105" s="67" t="str">
        <f t="shared" si="128"/>
        <v>Grab</v>
      </c>
      <c r="CV105" s="67" t="str">
        <f t="shared" si="129"/>
        <v>Grab</v>
      </c>
      <c r="CW105" s="67" t="str">
        <f t="shared" si="130"/>
        <v>Grab</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
      </c>
      <c r="CI106" s="249" t="str">
        <f t="shared" si="116"/>
        <v/>
      </c>
      <c r="CJ106" s="67" t="str">
        <f t="shared" si="117"/>
        <v>Guard</v>
      </c>
      <c r="CK106" s="67" t="str">
        <f t="shared" si="118"/>
        <v>Guard</v>
      </c>
      <c r="CL106" s="67" t="str">
        <f t="shared" si="119"/>
        <v>Guard</v>
      </c>
      <c r="CM106" s="67" t="str">
        <f t="shared" si="120"/>
        <v/>
      </c>
      <c r="CN106" s="67" t="str">
        <f t="shared" si="121"/>
        <v>Guard</v>
      </c>
      <c r="CO106" s="67" t="str">
        <f t="shared" si="122"/>
        <v>Guard</v>
      </c>
      <c r="CP106" s="67" t="str">
        <f t="shared" si="123"/>
        <v>Guard</v>
      </c>
      <c r="CQ106" s="67" t="str">
        <f t="shared" si="124"/>
        <v>Guard</v>
      </c>
      <c r="CR106" s="67" t="str">
        <f t="shared" si="125"/>
        <v>Guard</v>
      </c>
      <c r="CS106" s="67" t="str">
        <f t="shared" si="126"/>
        <v>Guard</v>
      </c>
      <c r="CT106" s="67" t="str">
        <f t="shared" si="127"/>
        <v>Guard</v>
      </c>
      <c r="CU106" s="67" t="str">
        <f t="shared" si="128"/>
        <v>Guard</v>
      </c>
      <c r="CV106" s="67" t="str">
        <f t="shared" si="129"/>
        <v>Guard</v>
      </c>
      <c r="CW106" s="67" t="str">
        <f t="shared" si="130"/>
        <v>Guard</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
      </c>
      <c r="CI107" s="249" t="str">
        <f t="shared" si="116"/>
        <v/>
      </c>
      <c r="CJ107" s="67" t="str">
        <f t="shared" si="117"/>
        <v>Juggernaut</v>
      </c>
      <c r="CK107" s="67" t="str">
        <f t="shared" si="118"/>
        <v>Juggernaut</v>
      </c>
      <c r="CL107" s="67" t="str">
        <f t="shared" si="119"/>
        <v>Juggernaut</v>
      </c>
      <c r="CM107" s="67" t="str">
        <f t="shared" si="120"/>
        <v/>
      </c>
      <c r="CN107" s="67" t="str">
        <f t="shared" si="121"/>
        <v>Juggernaut</v>
      </c>
      <c r="CO107" s="67" t="str">
        <f t="shared" si="122"/>
        <v>Juggernaut</v>
      </c>
      <c r="CP107" s="67" t="str">
        <f t="shared" si="123"/>
        <v>Juggernaut</v>
      </c>
      <c r="CQ107" s="67" t="str">
        <f t="shared" si="124"/>
        <v>Juggernaut</v>
      </c>
      <c r="CR107" s="67" t="str">
        <f t="shared" si="125"/>
        <v>Juggernaut</v>
      </c>
      <c r="CS107" s="67" t="str">
        <f t="shared" si="126"/>
        <v>Juggernaut</v>
      </c>
      <c r="CT107" s="67" t="str">
        <f t="shared" si="127"/>
        <v>Juggernaut</v>
      </c>
      <c r="CU107" s="67" t="str">
        <f t="shared" si="128"/>
        <v>Juggernaut</v>
      </c>
      <c r="CV107" s="67" t="str">
        <f t="shared" si="129"/>
        <v>Juggernaut</v>
      </c>
      <c r="CW107" s="67" t="str">
        <f t="shared" si="130"/>
        <v>Juggernaut</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
      </c>
      <c r="CI108" s="249" t="str">
        <f t="shared" si="116"/>
        <v/>
      </c>
      <c r="CJ108" s="67" t="str">
        <f t="shared" si="117"/>
        <v>Mighty Blow (+1)</v>
      </c>
      <c r="CK108" s="67" t="str">
        <f t="shared" si="118"/>
        <v>Mighty Blow (+1)</v>
      </c>
      <c r="CL108" s="67" t="str">
        <f t="shared" si="119"/>
        <v>Mighty Blow (+1)</v>
      </c>
      <c r="CM108" s="67" t="str">
        <f t="shared" si="120"/>
        <v/>
      </c>
      <c r="CN108" s="67" t="str">
        <f t="shared" si="121"/>
        <v>Mighty Blow (+1)</v>
      </c>
      <c r="CO108" s="67" t="str">
        <f t="shared" si="122"/>
        <v>Mighty Blow (+1)</v>
      </c>
      <c r="CP108" s="67" t="str">
        <f t="shared" si="123"/>
        <v>Mighty Blow (+1)</v>
      </c>
      <c r="CQ108" s="67" t="str">
        <f t="shared" si="124"/>
        <v>Mighty Blow (+1)</v>
      </c>
      <c r="CR108" s="67" t="str">
        <f t="shared" si="125"/>
        <v>Mighty Blow (+1)</v>
      </c>
      <c r="CS108" s="67" t="str">
        <f t="shared" si="126"/>
        <v>Mighty Blow (+1)</v>
      </c>
      <c r="CT108" s="67" t="str">
        <f t="shared" si="127"/>
        <v>Mighty Blow (+1)</v>
      </c>
      <c r="CU108" s="67" t="str">
        <f t="shared" si="128"/>
        <v>Mighty Blow (+1)</v>
      </c>
      <c r="CV108" s="67" t="str">
        <f t="shared" si="129"/>
        <v>Mighty Blow (+1)</v>
      </c>
      <c r="CW108" s="67" t="str">
        <f t="shared" si="130"/>
        <v>Mighty Blow (+1)</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
      </c>
      <c r="CI109" s="249" t="str">
        <f t="shared" si="116"/>
        <v/>
      </c>
      <c r="CJ109" s="67" t="str">
        <f t="shared" si="117"/>
        <v>Multiple Blocks</v>
      </c>
      <c r="CK109" s="67" t="str">
        <f t="shared" si="118"/>
        <v>Multiple Blocks</v>
      </c>
      <c r="CL109" s="67" t="str">
        <f t="shared" si="119"/>
        <v>Multiple Blocks</v>
      </c>
      <c r="CM109" s="67" t="str">
        <f t="shared" si="120"/>
        <v/>
      </c>
      <c r="CN109" s="67" t="str">
        <f t="shared" si="121"/>
        <v>Multiple Blocks</v>
      </c>
      <c r="CO109" s="67" t="str">
        <f t="shared" si="122"/>
        <v>Multiple Blocks</v>
      </c>
      <c r="CP109" s="67" t="str">
        <f t="shared" si="123"/>
        <v>Multiple Blocks</v>
      </c>
      <c r="CQ109" s="67" t="str">
        <f t="shared" si="124"/>
        <v>Multiple Blocks</v>
      </c>
      <c r="CR109" s="67" t="str">
        <f t="shared" si="125"/>
        <v>Multiple Blocks</v>
      </c>
      <c r="CS109" s="67" t="str">
        <f t="shared" si="126"/>
        <v>Multiple Blocks</v>
      </c>
      <c r="CT109" s="67" t="str">
        <f t="shared" si="127"/>
        <v>Multiple Blocks</v>
      </c>
      <c r="CU109" s="67" t="str">
        <f t="shared" si="128"/>
        <v>Multiple Blocks</v>
      </c>
      <c r="CV109" s="67" t="str">
        <f t="shared" si="129"/>
        <v>Multiple Blocks</v>
      </c>
      <c r="CW109" s="67" t="str">
        <f t="shared" si="130"/>
        <v>Multiple Blocks</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
      </c>
      <c r="CI110" s="249" t="str">
        <f t="shared" si="116"/>
        <v/>
      </c>
      <c r="CJ110" s="67" t="str">
        <f t="shared" si="117"/>
        <v>Pile Diver</v>
      </c>
      <c r="CK110" s="67" t="str">
        <f t="shared" si="118"/>
        <v>Pile Diver</v>
      </c>
      <c r="CL110" s="67" t="str">
        <f t="shared" si="119"/>
        <v>Pile Diver</v>
      </c>
      <c r="CM110" s="67" t="str">
        <f t="shared" si="120"/>
        <v/>
      </c>
      <c r="CN110" s="67" t="str">
        <f t="shared" si="121"/>
        <v>Pile Diver</v>
      </c>
      <c r="CO110" s="67" t="str">
        <f t="shared" si="122"/>
        <v>Pile Diver</v>
      </c>
      <c r="CP110" s="67" t="str">
        <f t="shared" si="123"/>
        <v>Pile Diver</v>
      </c>
      <c r="CQ110" s="67" t="str">
        <f t="shared" si="124"/>
        <v>Pile Diver</v>
      </c>
      <c r="CR110" s="67" t="str">
        <f t="shared" si="125"/>
        <v>Pile Diver</v>
      </c>
      <c r="CS110" s="67" t="str">
        <f t="shared" si="126"/>
        <v>Pile Diver</v>
      </c>
      <c r="CT110" s="67" t="str">
        <f t="shared" si="127"/>
        <v>Pile Diver</v>
      </c>
      <c r="CU110" s="67" t="str">
        <f t="shared" si="128"/>
        <v>Pile Diver</v>
      </c>
      <c r="CV110" s="67" t="str">
        <f t="shared" si="129"/>
        <v>Pile Diver</v>
      </c>
      <c r="CW110" s="67" t="str">
        <f t="shared" si="130"/>
        <v>Pile Diver</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
      </c>
      <c r="CI111" s="249" t="str">
        <f t="shared" si="116"/>
        <v/>
      </c>
      <c r="CJ111" s="67" t="str">
        <f t="shared" si="117"/>
        <v>Stand Firm</v>
      </c>
      <c r="CK111" s="67" t="str">
        <f t="shared" si="118"/>
        <v>Stand Firm</v>
      </c>
      <c r="CL111" s="67" t="str">
        <f t="shared" si="119"/>
        <v>Stand Firm</v>
      </c>
      <c r="CM111" s="67" t="str">
        <f t="shared" si="120"/>
        <v/>
      </c>
      <c r="CN111" s="67" t="str">
        <f t="shared" si="121"/>
        <v>Stand Firm</v>
      </c>
      <c r="CO111" s="67" t="str">
        <f t="shared" si="122"/>
        <v>Stand Firm</v>
      </c>
      <c r="CP111" s="67" t="str">
        <f t="shared" si="123"/>
        <v>Stand Firm</v>
      </c>
      <c r="CQ111" s="67" t="str">
        <f t="shared" si="124"/>
        <v>Stand Firm</v>
      </c>
      <c r="CR111" s="67" t="str">
        <f t="shared" si="125"/>
        <v>Stand Firm</v>
      </c>
      <c r="CS111" s="67" t="str">
        <f t="shared" si="126"/>
        <v>Stand Firm</v>
      </c>
      <c r="CT111" s="67" t="str">
        <f t="shared" si="127"/>
        <v>Stand Firm</v>
      </c>
      <c r="CU111" s="67" t="str">
        <f t="shared" si="128"/>
        <v>Stand Firm</v>
      </c>
      <c r="CV111" s="67" t="str">
        <f t="shared" si="129"/>
        <v>Stand Firm</v>
      </c>
      <c r="CW111" s="67" t="str">
        <f t="shared" si="130"/>
        <v>Stand Firm</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
      </c>
      <c r="CI112" s="249" t="str">
        <f t="shared" si="116"/>
        <v/>
      </c>
      <c r="CJ112" s="67" t="str">
        <f t="shared" si="117"/>
        <v>Strong Arm</v>
      </c>
      <c r="CK112" s="67" t="str">
        <f t="shared" si="118"/>
        <v>Strong Arm</v>
      </c>
      <c r="CL112" s="67" t="str">
        <f t="shared" si="119"/>
        <v>Strong Arm</v>
      </c>
      <c r="CM112" s="67" t="str">
        <f t="shared" si="120"/>
        <v/>
      </c>
      <c r="CN112" s="67" t="str">
        <f t="shared" si="121"/>
        <v>Strong Arm</v>
      </c>
      <c r="CO112" s="67" t="str">
        <f t="shared" si="122"/>
        <v>Strong Arm</v>
      </c>
      <c r="CP112" s="67" t="str">
        <f t="shared" si="123"/>
        <v>Strong Arm</v>
      </c>
      <c r="CQ112" s="67" t="str">
        <f t="shared" si="124"/>
        <v>Strong Arm</v>
      </c>
      <c r="CR112" s="67" t="str">
        <f t="shared" si="125"/>
        <v>Strong Arm</v>
      </c>
      <c r="CS112" s="67" t="str">
        <f t="shared" si="126"/>
        <v>Strong Arm</v>
      </c>
      <c r="CT112" s="67" t="str">
        <f t="shared" si="127"/>
        <v>Strong Arm</v>
      </c>
      <c r="CU112" s="67" t="str">
        <f t="shared" si="128"/>
        <v>Strong Arm</v>
      </c>
      <c r="CV112" s="67" t="str">
        <f t="shared" si="129"/>
        <v>Strong Arm</v>
      </c>
      <c r="CW112" s="67" t="str">
        <f t="shared" si="130"/>
        <v>Strong Arm</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
      </c>
      <c r="CI113" s="249" t="str">
        <f t="shared" si="116"/>
        <v/>
      </c>
      <c r="CJ113" s="67" t="str">
        <f t="shared" si="117"/>
        <v>Thick Skull</v>
      </c>
      <c r="CK113" s="67" t="str">
        <f t="shared" si="118"/>
        <v>Thick Skull</v>
      </c>
      <c r="CL113" s="67" t="str">
        <f t="shared" si="119"/>
        <v>Thick Skull</v>
      </c>
      <c r="CM113" s="67" t="str">
        <f t="shared" si="120"/>
        <v/>
      </c>
      <c r="CN113" s="67" t="str">
        <f t="shared" si="121"/>
        <v>Thick Skull</v>
      </c>
      <c r="CO113" s="67" t="str">
        <f t="shared" si="122"/>
        <v>Thick Skull</v>
      </c>
      <c r="CP113" s="67" t="str">
        <f t="shared" si="123"/>
        <v>Thick Skull</v>
      </c>
      <c r="CQ113" s="67" t="str">
        <f t="shared" si="124"/>
        <v>Thick Skull</v>
      </c>
      <c r="CR113" s="67" t="str">
        <f t="shared" si="125"/>
        <v>Thick Skull</v>
      </c>
      <c r="CS113" s="67" t="str">
        <f t="shared" si="126"/>
        <v>Thick Skull</v>
      </c>
      <c r="CT113" s="67" t="str">
        <f t="shared" si="127"/>
        <v>Thick Skull</v>
      </c>
      <c r="CU113" s="67" t="str">
        <f t="shared" si="128"/>
        <v>Thick Skull</v>
      </c>
      <c r="CV113" s="67" t="str">
        <f t="shared" si="129"/>
        <v>Thick Skull</v>
      </c>
      <c r="CW113" s="67" t="str">
        <f t="shared" si="130"/>
        <v>Thick Skull</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str">
        <f t="shared" si="122"/>
        <v/>
      </c>
      <c r="CP114" s="67" t="str">
        <f t="shared" si="123"/>
        <v/>
      </c>
      <c r="CQ114" s="67" t="str">
        <f t="shared" si="124"/>
        <v/>
      </c>
      <c r="CR114" s="67" t="str">
        <f t="shared" si="125"/>
        <v/>
      </c>
      <c r="CS114" s="67" t="str">
        <f t="shared" si="126"/>
        <v/>
      </c>
      <c r="CT114" s="67" t="str">
        <f t="shared" si="127"/>
        <v/>
      </c>
      <c r="CU114" s="67" t="str">
        <f t="shared" si="128"/>
        <v/>
      </c>
      <c r="CV114" s="67" t="str">
        <f t="shared" si="129"/>
        <v/>
      </c>
      <c r="CW114" s="67" t="str">
        <f t="shared" si="130"/>
        <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str">
        <f t="shared" si="122"/>
        <v/>
      </c>
      <c r="CP115" s="67" t="str">
        <f t="shared" si="123"/>
        <v/>
      </c>
      <c r="CQ115" s="67" t="str">
        <f t="shared" si="124"/>
        <v/>
      </c>
      <c r="CR115" s="67" t="str">
        <f t="shared" si="125"/>
        <v/>
      </c>
      <c r="CS115" s="67" t="str">
        <f t="shared" si="126"/>
        <v/>
      </c>
      <c r="CT115" s="67" t="str">
        <f t="shared" si="127"/>
        <v/>
      </c>
      <c r="CU115" s="67" t="str">
        <f t="shared" si="128"/>
        <v/>
      </c>
      <c r="CV115" s="67" t="str">
        <f t="shared" si="129"/>
        <v/>
      </c>
      <c r="CW115" s="67" t="str">
        <f t="shared" si="130"/>
        <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str">
        <f t="shared" si="122"/>
        <v/>
      </c>
      <c r="CP116" s="67" t="str">
        <f t="shared" si="123"/>
        <v/>
      </c>
      <c r="CQ116" s="67" t="str">
        <f t="shared" si="124"/>
        <v/>
      </c>
      <c r="CR116" s="67" t="str">
        <f t="shared" si="125"/>
        <v/>
      </c>
      <c r="CS116" s="67" t="str">
        <f t="shared" si="126"/>
        <v/>
      </c>
      <c r="CT116" s="67" t="str">
        <f t="shared" si="127"/>
        <v/>
      </c>
      <c r="CU116" s="67" t="str">
        <f t="shared" si="128"/>
        <v/>
      </c>
      <c r="CV116" s="67" t="str">
        <f t="shared" si="129"/>
        <v/>
      </c>
      <c r="CW116" s="67" t="str">
        <f t="shared" si="130"/>
        <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str">
        <f t="shared" si="122"/>
        <v/>
      </c>
      <c r="CP117" s="67" t="str">
        <f t="shared" si="123"/>
        <v/>
      </c>
      <c r="CQ117" s="67" t="str">
        <f t="shared" si="124"/>
        <v/>
      </c>
      <c r="CR117" s="67" t="str">
        <f t="shared" si="125"/>
        <v/>
      </c>
      <c r="CS117" s="67" t="str">
        <f t="shared" si="126"/>
        <v/>
      </c>
      <c r="CT117" s="67" t="str">
        <f t="shared" si="127"/>
        <v/>
      </c>
      <c r="CU117" s="67" t="str">
        <f t="shared" si="128"/>
        <v/>
      </c>
      <c r="CV117" s="67" t="str">
        <f t="shared" si="129"/>
        <v/>
      </c>
      <c r="CW117" s="67" t="str">
        <f t="shared" si="130"/>
        <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str">
        <f t="shared" si="122"/>
        <v/>
      </c>
      <c r="CP118" s="67" t="str">
        <f t="shared" si="123"/>
        <v/>
      </c>
      <c r="CQ118" s="67" t="str">
        <f t="shared" si="124"/>
        <v/>
      </c>
      <c r="CR118" s="67" t="str">
        <f t="shared" si="125"/>
        <v/>
      </c>
      <c r="CS118" s="67" t="str">
        <f t="shared" si="126"/>
        <v/>
      </c>
      <c r="CT118" s="67" t="str">
        <f t="shared" si="127"/>
        <v/>
      </c>
      <c r="CU118" s="67" t="str">
        <f t="shared" si="128"/>
        <v/>
      </c>
      <c r="CV118" s="67" t="str">
        <f t="shared" si="129"/>
        <v/>
      </c>
      <c r="CW118" s="67" t="str">
        <f t="shared" si="130"/>
        <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str">
        <f t="shared" si="122"/>
        <v/>
      </c>
      <c r="CP119" s="67" t="str">
        <f t="shared" si="123"/>
        <v/>
      </c>
      <c r="CQ119" s="67" t="str">
        <f t="shared" si="124"/>
        <v/>
      </c>
      <c r="CR119" s="67" t="str">
        <f t="shared" si="125"/>
        <v/>
      </c>
      <c r="CS119" s="67" t="str">
        <f t="shared" si="126"/>
        <v/>
      </c>
      <c r="CT119" s="67" t="str">
        <f t="shared" si="127"/>
        <v/>
      </c>
      <c r="CU119" s="67" t="str">
        <f t="shared" si="128"/>
        <v/>
      </c>
      <c r="CV119" s="67" t="str">
        <f t="shared" si="129"/>
        <v/>
      </c>
      <c r="CW119" s="67" t="str">
        <f t="shared" si="130"/>
        <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str">
        <f t="shared" si="122"/>
        <v/>
      </c>
      <c r="CP120" s="67" t="str">
        <f t="shared" si="123"/>
        <v/>
      </c>
      <c r="CQ120" s="67" t="str">
        <f t="shared" si="124"/>
        <v/>
      </c>
      <c r="CR120" s="67" t="str">
        <f t="shared" si="125"/>
        <v/>
      </c>
      <c r="CS120" s="67" t="str">
        <f t="shared" si="126"/>
        <v/>
      </c>
      <c r="CT120" s="67" t="str">
        <f t="shared" si="127"/>
        <v/>
      </c>
      <c r="CU120" s="67" t="str">
        <f t="shared" si="128"/>
        <v/>
      </c>
      <c r="CV120" s="67" t="str">
        <f t="shared" si="129"/>
        <v/>
      </c>
      <c r="CW120" s="67" t="str">
        <f t="shared" si="130"/>
        <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str">
        <f t="shared" si="122"/>
        <v/>
      </c>
      <c r="CP121" s="67" t="str">
        <f t="shared" si="123"/>
        <v/>
      </c>
      <c r="CQ121" s="67" t="str">
        <f t="shared" si="124"/>
        <v/>
      </c>
      <c r="CR121" s="67" t="str">
        <f t="shared" si="125"/>
        <v/>
      </c>
      <c r="CS121" s="67" t="str">
        <f t="shared" si="126"/>
        <v/>
      </c>
      <c r="CT121" s="67" t="str">
        <f t="shared" si="127"/>
        <v/>
      </c>
      <c r="CU121" s="67" t="str">
        <f t="shared" si="128"/>
        <v/>
      </c>
      <c r="CV121" s="67" t="str">
        <f t="shared" si="129"/>
        <v/>
      </c>
      <c r="CW121" s="67" t="str">
        <f t="shared" si="130"/>
        <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str">
        <f t="shared" si="122"/>
        <v/>
      </c>
      <c r="CP122" s="67" t="str">
        <f t="shared" si="123"/>
        <v/>
      </c>
      <c r="CQ122" s="67" t="str">
        <f t="shared" si="124"/>
        <v/>
      </c>
      <c r="CR122" s="67" t="str">
        <f t="shared" si="125"/>
        <v/>
      </c>
      <c r="CS122" s="67" t="str">
        <f t="shared" si="126"/>
        <v/>
      </c>
      <c r="CT122" s="67" t="str">
        <f t="shared" si="127"/>
        <v/>
      </c>
      <c r="CU122" s="67" t="str">
        <f t="shared" si="128"/>
        <v/>
      </c>
      <c r="CV122" s="67" t="str">
        <f t="shared" si="129"/>
        <v/>
      </c>
      <c r="CW122" s="67" t="str">
        <f t="shared" si="130"/>
        <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str">
        <f t="shared" si="122"/>
        <v/>
      </c>
      <c r="CP123" s="67" t="str">
        <f t="shared" si="123"/>
        <v/>
      </c>
      <c r="CQ123" s="67" t="str">
        <f t="shared" si="124"/>
        <v/>
      </c>
      <c r="CR123" s="67" t="str">
        <f t="shared" si="125"/>
        <v/>
      </c>
      <c r="CS123" s="67" t="str">
        <f t="shared" si="126"/>
        <v/>
      </c>
      <c r="CT123" s="67" t="str">
        <f t="shared" si="127"/>
        <v/>
      </c>
      <c r="CU123" s="67" t="str">
        <f t="shared" si="128"/>
        <v/>
      </c>
      <c r="CV123" s="67" t="str">
        <f t="shared" si="129"/>
        <v/>
      </c>
      <c r="CW123" s="67" t="str">
        <f t="shared" si="130"/>
        <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str">
        <f t="shared" si="122"/>
        <v/>
      </c>
      <c r="CP124" s="67" t="str">
        <f t="shared" si="123"/>
        <v/>
      </c>
      <c r="CQ124" s="67" t="str">
        <f t="shared" si="124"/>
        <v/>
      </c>
      <c r="CR124" s="67" t="str">
        <f t="shared" si="125"/>
        <v/>
      </c>
      <c r="CS124" s="67" t="str">
        <f t="shared" si="126"/>
        <v/>
      </c>
      <c r="CT124" s="67" t="str">
        <f t="shared" si="127"/>
        <v/>
      </c>
      <c r="CU124" s="67" t="str">
        <f t="shared" si="128"/>
        <v/>
      </c>
      <c r="CV124" s="67" t="str">
        <f t="shared" si="129"/>
        <v/>
      </c>
      <c r="CW124" s="67" t="str">
        <f t="shared" si="130"/>
        <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str">
        <f t="shared" si="122"/>
        <v/>
      </c>
      <c r="CP125" s="67" t="str">
        <f t="shared" si="123"/>
        <v/>
      </c>
      <c r="CQ125" s="67" t="str">
        <f t="shared" si="124"/>
        <v/>
      </c>
      <c r="CR125" s="67" t="str">
        <f t="shared" si="125"/>
        <v/>
      </c>
      <c r="CS125" s="67" t="str">
        <f t="shared" si="126"/>
        <v/>
      </c>
      <c r="CT125" s="67" t="str">
        <f t="shared" si="127"/>
        <v/>
      </c>
      <c r="CU125" s="67" t="str">
        <f t="shared" si="128"/>
        <v/>
      </c>
      <c r="CV125" s="67" t="str">
        <f t="shared" si="129"/>
        <v/>
      </c>
      <c r="CW125" s="67" t="str">
        <f t="shared" si="130"/>
        <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str">
        <f t="shared" si="122"/>
        <v/>
      </c>
      <c r="CP126" s="67" t="str">
        <f t="shared" si="123"/>
        <v/>
      </c>
      <c r="CQ126" s="67" t="str">
        <f t="shared" si="124"/>
        <v/>
      </c>
      <c r="CR126" s="67" t="str">
        <f t="shared" si="125"/>
        <v/>
      </c>
      <c r="CS126" s="67" t="str">
        <f t="shared" si="126"/>
        <v/>
      </c>
      <c r="CT126" s="67" t="str">
        <f t="shared" si="127"/>
        <v/>
      </c>
      <c r="CU126" s="67" t="str">
        <f t="shared" si="128"/>
        <v/>
      </c>
      <c r="CV126" s="67" t="str">
        <f t="shared" si="129"/>
        <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str">
        <f t="shared" si="122"/>
        <v/>
      </c>
      <c r="CP127" s="67" t="str">
        <f t="shared" si="123"/>
        <v/>
      </c>
      <c r="CQ127" s="67" t="str">
        <f t="shared" si="124"/>
        <v/>
      </c>
      <c r="CR127" s="67" t="str">
        <f t="shared" si="125"/>
        <v/>
      </c>
      <c r="CS127" s="67" t="str">
        <f t="shared" si="126"/>
        <v/>
      </c>
      <c r="CT127" s="67" t="str">
        <f t="shared" si="127"/>
        <v/>
      </c>
      <c r="CU127" s="67" t="str">
        <f t="shared" si="128"/>
        <v/>
      </c>
      <c r="CV127" s="67" t="str">
        <f t="shared" si="129"/>
        <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str">
        <f t="shared" si="122"/>
        <v/>
      </c>
      <c r="CP128" s="67" t="str">
        <f t="shared" si="123"/>
        <v/>
      </c>
      <c r="CQ128" s="67" t="str">
        <f t="shared" si="124"/>
        <v/>
      </c>
      <c r="CR128" s="67" t="str">
        <f t="shared" si="125"/>
        <v/>
      </c>
      <c r="CS128" s="67" t="str">
        <f t="shared" si="126"/>
        <v/>
      </c>
      <c r="CT128" s="67" t="str">
        <f t="shared" si="127"/>
        <v/>
      </c>
      <c r="CU128" s="67" t="str">
        <f t="shared" si="128"/>
        <v/>
      </c>
      <c r="CV128" s="67" t="str">
        <f t="shared" si="129"/>
        <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str">
        <f t="shared" si="122"/>
        <v/>
      </c>
      <c r="CP129" s="67" t="str">
        <f t="shared" si="123"/>
        <v/>
      </c>
      <c r="CQ129" s="67" t="str">
        <f t="shared" si="124"/>
        <v/>
      </c>
      <c r="CR129" s="67" t="str">
        <f t="shared" si="125"/>
        <v/>
      </c>
      <c r="CS129" s="67" t="str">
        <f t="shared" si="126"/>
        <v/>
      </c>
      <c r="CT129" s="67" t="str">
        <f t="shared" si="127"/>
        <v/>
      </c>
      <c r="CU129" s="67" t="str">
        <f t="shared" si="128"/>
        <v/>
      </c>
      <c r="CV129" s="67" t="str">
        <f t="shared" si="129"/>
        <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str">
        <f t="shared" si="122"/>
        <v/>
      </c>
      <c r="CP130" s="67" t="str">
        <f t="shared" si="123"/>
        <v/>
      </c>
      <c r="CQ130" s="67" t="str">
        <f t="shared" si="124"/>
        <v/>
      </c>
      <c r="CR130" s="67" t="str">
        <f t="shared" si="125"/>
        <v/>
      </c>
      <c r="CS130" s="67" t="str">
        <f t="shared" si="126"/>
        <v/>
      </c>
      <c r="CT130" s="67" t="str">
        <f t="shared" si="127"/>
        <v/>
      </c>
      <c r="CU130" s="67" t="str">
        <f t="shared" si="128"/>
        <v/>
      </c>
      <c r="CV130" s="67" t="str">
        <f t="shared" si="129"/>
        <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str">
        <f t="shared" si="122"/>
        <v/>
      </c>
      <c r="CP131" s="67" t="str">
        <f t="shared" si="123"/>
        <v/>
      </c>
      <c r="CQ131" s="67" t="str">
        <f t="shared" si="124"/>
        <v/>
      </c>
      <c r="CR131" s="67" t="str">
        <f t="shared" si="125"/>
        <v/>
      </c>
      <c r="CS131" s="67" t="str">
        <f t="shared" si="126"/>
        <v/>
      </c>
      <c r="CT131" s="67" t="str">
        <f t="shared" si="127"/>
        <v/>
      </c>
      <c r="CU131" s="67" t="str">
        <f t="shared" si="128"/>
        <v/>
      </c>
      <c r="CV131" s="67" t="str">
        <f t="shared" si="129"/>
        <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str">
        <f t="shared" si="122"/>
        <v/>
      </c>
      <c r="CP132" s="67" t="str">
        <f t="shared" si="123"/>
        <v/>
      </c>
      <c r="CQ132" s="67" t="str">
        <f t="shared" si="124"/>
        <v/>
      </c>
      <c r="CR132" s="67" t="str">
        <f t="shared" si="125"/>
        <v/>
      </c>
      <c r="CS132" s="67" t="str">
        <f t="shared" si="126"/>
        <v/>
      </c>
      <c r="CT132" s="67" t="str">
        <f t="shared" si="127"/>
        <v/>
      </c>
      <c r="CU132" s="67" t="str">
        <f t="shared" si="128"/>
        <v/>
      </c>
      <c r="CV132" s="67" t="str">
        <f t="shared" si="129"/>
        <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str">
        <f t="shared" si="122"/>
        <v/>
      </c>
      <c r="CP133" s="67" t="str">
        <f t="shared" si="123"/>
        <v/>
      </c>
      <c r="CQ133" s="67" t="str">
        <f t="shared" si="124"/>
        <v/>
      </c>
      <c r="CR133" s="67" t="str">
        <f t="shared" si="125"/>
        <v/>
      </c>
      <c r="CS133" s="67" t="str">
        <f t="shared" si="126"/>
        <v/>
      </c>
      <c r="CT133" s="67" t="str">
        <f t="shared" si="127"/>
        <v/>
      </c>
      <c r="CU133" s="67" t="str">
        <f t="shared" si="128"/>
        <v/>
      </c>
      <c r="CV133" s="67" t="str">
        <f t="shared" si="129"/>
        <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str">
        <f t="shared" si="122"/>
        <v/>
      </c>
      <c r="CP134" s="67" t="str">
        <f t="shared" si="123"/>
        <v/>
      </c>
      <c r="CQ134" s="67" t="str">
        <f t="shared" si="124"/>
        <v/>
      </c>
      <c r="CR134" s="67" t="str">
        <f t="shared" si="125"/>
        <v/>
      </c>
      <c r="CS134" s="67" t="str">
        <f t="shared" si="126"/>
        <v/>
      </c>
      <c r="CT134" s="67" t="str">
        <f t="shared" si="127"/>
        <v/>
      </c>
      <c r="CU134" s="67" t="str">
        <f t="shared" si="128"/>
        <v/>
      </c>
      <c r="CV134" s="67" t="str">
        <f t="shared" si="129"/>
        <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str">
        <f t="shared" si="122"/>
        <v/>
      </c>
      <c r="CP135" s="67" t="str">
        <f t="shared" si="123"/>
        <v/>
      </c>
      <c r="CQ135" s="67" t="str">
        <f t="shared" si="124"/>
        <v/>
      </c>
      <c r="CR135" s="67" t="str">
        <f t="shared" si="125"/>
        <v/>
      </c>
      <c r="CS135" s="67" t="str">
        <f t="shared" si="126"/>
        <v/>
      </c>
      <c r="CT135" s="67" t="str">
        <f t="shared" si="127"/>
        <v/>
      </c>
      <c r="CU135" s="67" t="str">
        <f t="shared" si="128"/>
        <v/>
      </c>
      <c r="CV135" s="67" t="str">
        <f t="shared" si="129"/>
        <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str">
        <f t="shared" si="122"/>
        <v/>
      </c>
      <c r="CP136" s="67" t="str">
        <f t="shared" si="123"/>
        <v/>
      </c>
      <c r="CQ136" s="67" t="str">
        <f t="shared" si="124"/>
        <v/>
      </c>
      <c r="CR136" s="67" t="str">
        <f t="shared" si="125"/>
        <v/>
      </c>
      <c r="CS136" s="67" t="str">
        <f t="shared" si="126"/>
        <v/>
      </c>
      <c r="CT136" s="67" t="str">
        <f t="shared" si="127"/>
        <v/>
      </c>
      <c r="CU136" s="67" t="str">
        <f t="shared" si="128"/>
        <v/>
      </c>
      <c r="CV136" s="67" t="str">
        <f t="shared" si="129"/>
        <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str">
        <f t="shared" si="122"/>
        <v/>
      </c>
      <c r="CP137" s="67" t="str">
        <f t="shared" si="123"/>
        <v/>
      </c>
      <c r="CQ137" s="67" t="str">
        <f t="shared" si="124"/>
        <v/>
      </c>
      <c r="CR137" s="67" t="str">
        <f t="shared" si="125"/>
        <v/>
      </c>
      <c r="CS137" s="67" t="str">
        <f t="shared" si="126"/>
        <v/>
      </c>
      <c r="CT137" s="67" t="str">
        <f t="shared" si="127"/>
        <v/>
      </c>
      <c r="CU137" s="67" t="str">
        <f t="shared" si="128"/>
        <v/>
      </c>
      <c r="CV137" s="67" t="str">
        <f t="shared" si="129"/>
        <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f t="shared" si="122"/>
        <v>0</v>
      </c>
      <c r="CP138" s="67">
        <f t="shared" si="123"/>
        <v>0</v>
      </c>
      <c r="CQ138" s="67">
        <f t="shared" si="124"/>
        <v>0</v>
      </c>
      <c r="CR138" s="67">
        <f t="shared" si="125"/>
        <v>0</v>
      </c>
      <c r="CS138" s="67">
        <f t="shared" si="126"/>
        <v>0</v>
      </c>
      <c r="CT138" s="67">
        <f t="shared" si="127"/>
        <v>0</v>
      </c>
      <c r="CU138" s="67">
        <f t="shared" si="128"/>
        <v>0</v>
      </c>
      <c r="CV138" s="67">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f t="shared" si="122"/>
        <v>0</v>
      </c>
      <c r="CP139" s="67">
        <f t="shared" si="123"/>
        <v>0</v>
      </c>
      <c r="CQ139" s="67">
        <f t="shared" si="124"/>
        <v>0</v>
      </c>
      <c r="CR139" s="67">
        <f t="shared" si="125"/>
        <v>0</v>
      </c>
      <c r="CS139" s="67">
        <f t="shared" si="126"/>
        <v>0</v>
      </c>
      <c r="CT139" s="67">
        <f t="shared" si="127"/>
        <v>0</v>
      </c>
      <c r="CU139" s="67">
        <f t="shared" si="128"/>
        <v>0</v>
      </c>
      <c r="CV139" s="67">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K27:R27"/>
    <mergeCell ref="B13:C13"/>
    <mergeCell ref="B14:C14"/>
    <mergeCell ref="B15:C15"/>
    <mergeCell ref="B16:C16"/>
    <mergeCell ref="B17:C17"/>
    <mergeCell ref="B18:C18"/>
    <mergeCell ref="B19:C19"/>
    <mergeCell ref="B20:C20"/>
    <mergeCell ref="D19:G19"/>
    <mergeCell ref="D20:G20"/>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B4:C4"/>
    <mergeCell ref="B5:C5"/>
    <mergeCell ref="B6:C6"/>
    <mergeCell ref="B7:C7"/>
    <mergeCell ref="B8:C8"/>
    <mergeCell ref="B9:C9"/>
    <mergeCell ref="B10:C10"/>
    <mergeCell ref="B11:C11"/>
    <mergeCell ref="B12:C12"/>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AL27:AM27"/>
    <mergeCell ref="AL31:AM31"/>
    <mergeCell ref="AO31:AP31"/>
    <mergeCell ref="AD35:AE36"/>
    <mergeCell ref="AF35:AG36"/>
    <mergeCell ref="AH35:AI36"/>
    <mergeCell ref="X32:AJ32"/>
    <mergeCell ref="AK32:AM32"/>
    <mergeCell ref="AN32:AP32"/>
    <mergeCell ref="AO29:AP29"/>
    <mergeCell ref="BL39:BQ39"/>
    <mergeCell ref="BT39:BY39"/>
    <mergeCell ref="AJ35:AJ36"/>
    <mergeCell ref="AK35:AP35"/>
    <mergeCell ref="X37:Y37"/>
    <mergeCell ref="Z37:AA37"/>
    <mergeCell ref="AB37:AC37"/>
    <mergeCell ref="AD37:AE37"/>
    <mergeCell ref="AF37:AG37"/>
    <mergeCell ref="AH37:AI37"/>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D1:G1"/>
    <mergeCell ref="D2:G2"/>
    <mergeCell ref="D3:G3"/>
    <mergeCell ref="D4:G4"/>
    <mergeCell ref="D5:G5"/>
    <mergeCell ref="D6:G6"/>
    <mergeCell ref="D7:G7"/>
    <mergeCell ref="D11:G11"/>
    <mergeCell ref="D12:G12"/>
    <mergeCell ref="D8:G8"/>
    <mergeCell ref="D9:G9"/>
    <mergeCell ref="D10:G10"/>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T17" sqref="T17"/>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89" t="str">
        <f>IF(Roster!$K$25="Italiano","STATISTICHE",(IF(Roster!$K$25="Español","ESTADÍSTICAS",(IF(Roster!$K$25="Deutsch","STATISTIK",(IF(Roster!$K$25="Français","STATISITQUES","STATISTICS")))))))</f>
        <v>STATISTICS</v>
      </c>
      <c r="E1" s="490"/>
      <c r="F1" s="462" t="s">
        <v>1198</v>
      </c>
      <c r="G1" s="463"/>
      <c r="H1" s="466"/>
      <c r="I1" s="462" t="str">
        <f>IF(Roster!$K$25="Español","HER",(IF(Roster!$K$25="Deutsch","VER",(IF(Roster!$K$25="Français","BLES","CAS")))))</f>
        <v>CAS</v>
      </c>
      <c r="J1" s="463"/>
      <c r="K1" s="466"/>
      <c r="L1" s="462" t="str">
        <f>IF(Roster!$K$25="Español","HL",(IF(Roster!$K$25="Deutsch","SV",(IF(Roster!$K$25="Français","COM","BH")))))</f>
        <v>BH</v>
      </c>
      <c r="M1" s="463"/>
      <c r="N1" s="464"/>
      <c r="O1" s="465" t="str">
        <f>IF(Roster!$K$25="Español","HG",(IF(Roster!$K$25="Deutsch","BV",(IF(Roster!$K$25="Français","BS","SI")))))</f>
        <v>SI</v>
      </c>
      <c r="P1" s="463"/>
      <c r="Q1" s="464"/>
      <c r="R1" s="465" t="str">
        <f>IF(Roster!$K$25="Italiano","UCCISIONI",(IF(Roster!$K$25="Español","MUERTOS",(IF(Roster!$K$25="Deutsch","TOT",(IF(Roster!$K$25="Français","MORT","KILLS")))))))</f>
        <v>KILLS</v>
      </c>
      <c r="S1" s="463"/>
      <c r="T1" s="466"/>
      <c r="U1" s="462" t="str">
        <f>IF(Roster!$K$25="Italiano","ESPULSI",(IF(Roster!$K$25="Español","EXPULSADOS",(IF(Roster!$K$25="Deutsch","VOM PLATZ G.",(IF(Roster!$K$25="Français","EXPULSÉ","SENT OFF")))))))</f>
        <v>SENT OFF</v>
      </c>
      <c r="V1" s="463"/>
      <c r="W1" s="466"/>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8"/>
      <c r="AE1" s="30"/>
      <c r="AF1" s="30"/>
      <c r="AG1" s="30"/>
      <c r="AH1" s="30"/>
      <c r="AI1" s="30"/>
      <c r="AJ1" s="30"/>
    </row>
    <row r="2" spans="1:36" ht="12" customHeight="1" thickBot="1">
      <c r="A2" s="94">
        <f>COUNTIF(AJ6:AJ55,"1")</f>
        <v>1</v>
      </c>
      <c r="B2" s="95">
        <f>COUNTIF(AJ6:AJ55,"2")</f>
        <v>0</v>
      </c>
      <c r="C2" s="96">
        <f>COUNTIF(AJ6:AJ55,"3")</f>
        <v>1</v>
      </c>
      <c r="D2" s="491"/>
      <c r="E2" s="492"/>
      <c r="F2" s="97">
        <f>SUM(F6:F55)</f>
        <v>3</v>
      </c>
      <c r="G2" s="98" t="s">
        <v>253</v>
      </c>
      <c r="H2" s="99">
        <f t="shared" ref="H2:I2" si="0">SUM(H6:H55)</f>
        <v>3</v>
      </c>
      <c r="I2" s="100">
        <f t="shared" si="0"/>
        <v>2</v>
      </c>
      <c r="J2" s="98" t="s">
        <v>253</v>
      </c>
      <c r="K2" s="100">
        <f t="shared" ref="K2:L2" si="1">SUM(K6:K55)</f>
        <v>7</v>
      </c>
      <c r="L2" s="97">
        <f t="shared" si="1"/>
        <v>0</v>
      </c>
      <c r="M2" s="98" t="s">
        <v>253</v>
      </c>
      <c r="N2" s="100">
        <f t="shared" ref="N2:O2" si="2">SUM(N6:N55)</f>
        <v>7</v>
      </c>
      <c r="O2" s="101">
        <f t="shared" si="2"/>
        <v>2</v>
      </c>
      <c r="P2" s="98" t="s">
        <v>253</v>
      </c>
      <c r="Q2" s="100">
        <f t="shared" ref="Q2:R2" si="3">SUM(Q6:Q55)</f>
        <v>0</v>
      </c>
      <c r="R2" s="101">
        <f t="shared" si="3"/>
        <v>0</v>
      </c>
      <c r="S2" s="98" t="s">
        <v>253</v>
      </c>
      <c r="T2" s="99">
        <f t="shared" ref="T2:U2" si="4">SUM(T6:T55)</f>
        <v>0</v>
      </c>
      <c r="U2" s="97">
        <f t="shared" si="4"/>
        <v>0</v>
      </c>
      <c r="V2" s="98" t="s">
        <v>253</v>
      </c>
      <c r="W2" s="99">
        <f t="shared" ref="W2:AA2" si="5">SUM(W6:W55)</f>
        <v>0</v>
      </c>
      <c r="X2" s="102">
        <f t="shared" si="5"/>
        <v>1</v>
      </c>
      <c r="Y2" s="103">
        <f t="shared" ref="Y2" si="6">SUM(Y6:Y55)</f>
        <v>0</v>
      </c>
      <c r="Z2" s="103">
        <f t="shared" si="5"/>
        <v>100000</v>
      </c>
      <c r="AA2" s="102">
        <f t="shared" si="5"/>
        <v>4</v>
      </c>
      <c r="AB2" s="326" t="str">
        <f>IF(Roster!$K$25="Italiano","TIFOSI S. LIBERO",(IF(Roster!$K$25="Español","FANS D. GRATIS",(IF(Roster!$K$25="Deutsch","KOSTENLOS T. FANS",(IF(Roster!$K$25="Français","GRATUIT FANS DÉVOUÉS","FREE D. FANS")))))))</f>
        <v>FREE D. FANS</v>
      </c>
      <c r="AC2" s="324">
        <v>0</v>
      </c>
      <c r="AD2" s="488"/>
      <c r="AE2" s="30"/>
      <c r="AF2" s="72">
        <v>1</v>
      </c>
      <c r="AG2" s="30"/>
      <c r="AH2" s="30"/>
      <c r="AI2" s="72"/>
      <c r="AJ2" s="30"/>
    </row>
    <row r="3" spans="1:36" ht="11.25" customHeight="1" thickBot="1">
      <c r="A3" s="104">
        <f t="shared" ref="A3:C3" si="7">IFERROR((A2/(COUNTA($F$6:$F$55))),0)</f>
        <v>0.5</v>
      </c>
      <c r="B3" s="105">
        <f t="shared" si="7"/>
        <v>0</v>
      </c>
      <c r="C3" s="106">
        <f t="shared" si="7"/>
        <v>0.5</v>
      </c>
      <c r="D3" s="493"/>
      <c r="E3" s="494"/>
      <c r="F3" s="107">
        <f>IFERROR((F2/(COUNTA($F$6:$F$55))),0)</f>
        <v>1.5</v>
      </c>
      <c r="G3" s="108" t="s">
        <v>253</v>
      </c>
      <c r="H3" s="109">
        <f>IFERROR((H2/(COUNTA($H$6:$H$55))),0)</f>
        <v>1.5</v>
      </c>
      <c r="I3" s="110">
        <f>IFERROR((I2/(COUNTA($I$6:$I$55))),0)</f>
        <v>0.04</v>
      </c>
      <c r="J3" s="108" t="s">
        <v>253</v>
      </c>
      <c r="K3" s="109">
        <f>IFERROR((K2/(COUNTA($K$6:$K$55))),0)</f>
        <v>0.14000000000000001</v>
      </c>
      <c r="L3" s="110">
        <f>IFERROR((L2/(COUNTA($L$6:$L$55))),0)</f>
        <v>0</v>
      </c>
      <c r="M3" s="108" t="s">
        <v>253</v>
      </c>
      <c r="N3" s="111">
        <f>IFERROR((N2/(COUNTA($N$6:$N$55))),0)</f>
        <v>3.5</v>
      </c>
      <c r="O3" s="110">
        <f>IFERROR((O2/(COUNTA($O$6:$O$55))),0)</f>
        <v>2</v>
      </c>
      <c r="P3" s="108" t="s">
        <v>253</v>
      </c>
      <c r="Q3" s="111">
        <f>IFERROR((Q2/(COUNTA($Q$6:$Q$55))),0)</f>
        <v>0</v>
      </c>
      <c r="R3" s="110">
        <f>IFERROR((R2/(COUNTA($R$6:$R$55))),0)</f>
        <v>0</v>
      </c>
      <c r="S3" s="108" t="s">
        <v>253</v>
      </c>
      <c r="T3" s="109">
        <f>IFERROR((T2/(COUNTA($T$6:$T$55))),0)</f>
        <v>0</v>
      </c>
      <c r="U3" s="110">
        <f>IFERROR((U2/(COUNTA($U$6:$U$55))),0)</f>
        <v>0</v>
      </c>
      <c r="V3" s="108" t="s">
        <v>253</v>
      </c>
      <c r="W3" s="109">
        <f>IFERROR((W2/(COUNTA($W$6:$W$55))),0)</f>
        <v>0</v>
      </c>
      <c r="X3" s="112">
        <f>IFERROR((X2/(COUNTA($X$6:$X$55))),0)</f>
        <v>1</v>
      </c>
      <c r="Y3" s="113">
        <f>IFERROR((Y2/(COUNTA($Y$6:$Y$55))),0)</f>
        <v>0</v>
      </c>
      <c r="Z3" s="113">
        <f>IFERROR((Z2/(COUNTA($Z$6:$Z$55))),0)</f>
        <v>50000</v>
      </c>
      <c r="AA3" s="114">
        <f>IFERROR((AA2/(COUNTA($AA$6:$AA$55))),0)</f>
        <v>2</v>
      </c>
      <c r="AB3" s="326" t="str">
        <f>IF(Roster!$K$25="Italiano","TESORERIA INIZIALI",(IF(Roster!$K$25="Español","TESORERÍA INICIAL",(IF(Roster!$K$25="Deutsch","ANFÄNGLICHER TEAMKASSE",(IF(Roster!$K$25="Français","INITIAL TRÉSORERIE","STARTINT TREASURY")))))))</f>
        <v>STARTINT TREASURY</v>
      </c>
      <c r="AC3" s="324">
        <v>1000000</v>
      </c>
      <c r="AD3" s="488"/>
      <c r="AE3" s="30"/>
      <c r="AF3" s="30"/>
      <c r="AG3" s="30"/>
      <c r="AH3" s="30"/>
      <c r="AI3" s="30"/>
      <c r="AJ3" s="30"/>
    </row>
    <row r="4" spans="1:36" ht="7.5" customHeight="1" thickBot="1">
      <c r="A4" s="467"/>
      <c r="B4" s="468"/>
      <c r="C4" s="468"/>
      <c r="D4" s="468"/>
      <c r="E4" s="468"/>
      <c r="F4" s="468"/>
      <c r="G4" s="468"/>
      <c r="H4" s="468"/>
      <c r="I4" s="468"/>
      <c r="J4" s="468"/>
      <c r="K4" s="468"/>
      <c r="L4" s="468"/>
      <c r="M4" s="468"/>
      <c r="N4" s="468"/>
      <c r="O4" s="468"/>
      <c r="P4" s="468"/>
      <c r="Q4" s="468"/>
      <c r="R4" s="468"/>
      <c r="S4" s="468"/>
      <c r="T4" s="468"/>
      <c r="U4" s="468"/>
      <c r="V4" s="468"/>
      <c r="W4" s="468"/>
      <c r="X4" s="468"/>
      <c r="Y4" s="469"/>
      <c r="Z4" s="468"/>
      <c r="AA4" s="468"/>
      <c r="AB4" s="468"/>
      <c r="AC4" s="469"/>
      <c r="AD4" s="488"/>
      <c r="AE4" s="30"/>
      <c r="AF4" s="30"/>
      <c r="AG4" s="30"/>
      <c r="AH4" s="30"/>
      <c r="AI4" s="30"/>
      <c r="AJ4" s="30"/>
    </row>
    <row r="5" spans="1:36" ht="21" customHeight="1">
      <c r="A5" s="476">
        <v>0</v>
      </c>
      <c r="B5" s="477"/>
      <c r="C5" s="478"/>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72" t="s">
        <v>1198</v>
      </c>
      <c r="G5" s="473"/>
      <c r="H5" s="471"/>
      <c r="I5" s="472" t="str">
        <f>IF(Roster!$K$25="Español","HER",(IF(Roster!$K$25="Deutsch","VER",(IF(Roster!$K$25="Français","BLES","CAS")))))</f>
        <v>CAS</v>
      </c>
      <c r="J5" s="473"/>
      <c r="K5" s="471"/>
      <c r="L5" s="462" t="str">
        <f>IF(Roster!$K$25="Español","HL",(IF(Roster!$K$25="Deutsch","SV",(IF(Roster!$K$25="Français","COM","BH")))))</f>
        <v>BH</v>
      </c>
      <c r="M5" s="473"/>
      <c r="N5" s="474"/>
      <c r="O5" s="465" t="str">
        <f>IF(Roster!$K$25="Español","HG",(IF(Roster!$K$25="Deutsch","BV",(IF(Roster!$K$25="Français","BS","SI")))))</f>
        <v>SI</v>
      </c>
      <c r="P5" s="473"/>
      <c r="Q5" s="474"/>
      <c r="R5" s="465" t="str">
        <f>IF(Roster!$K$25="Italiano","UCCISIONI",(IF(Roster!$K$25="Español","MUERTOS",(IF(Roster!$K$25="Deutsch","TOT",(IF(Roster!$K$25="Français","MORT","KILLS")))))))</f>
        <v>KILLS</v>
      </c>
      <c r="S5" s="473"/>
      <c r="T5" s="471"/>
      <c r="U5" s="475" t="str">
        <f>IF(Roster!$K$25="Italiano","ESPULSI",(IF(Roster!$K$25="Español","EXPULSADOS",(IF(Roster!$K$25="Deutsch","VOM PLATZ G.",(IF(Roster!$K$25="Français","EXPULSÉ","SENT OFF")))))))</f>
        <v>SENT OFF</v>
      </c>
      <c r="V5" s="473"/>
      <c r="W5" s="471"/>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70" t="str">
        <f>IF(Roster!$K$25="Italiano","NOTE",(IF(Roster!$K$25="Español","NOTAS",(IF(Roster!$K$25="Deutsch","NOTIZEN","NOTES")))))</f>
        <v>NOTES</v>
      </c>
      <c r="AC5" s="471"/>
      <c r="AD5" s="488"/>
      <c r="AE5" s="115"/>
      <c r="AF5" s="116" t="s">
        <v>254</v>
      </c>
      <c r="AG5" s="116" t="s">
        <v>255</v>
      </c>
      <c r="AH5" s="116" t="s">
        <v>256</v>
      </c>
      <c r="AI5" s="115"/>
      <c r="AJ5" s="115"/>
    </row>
    <row r="6" spans="1:36" ht="21" customHeight="1">
      <c r="A6" s="117">
        <v>1</v>
      </c>
      <c r="B6" s="458" t="str">
        <f>IF(F6&lt;&gt;"",(IF(F6&gt;H6,$A$1,(IF(F6=H6,$B$1,(IF(F6&lt;H6,$C$1,"")))))),"")</f>
        <v>lost</v>
      </c>
      <c r="C6" s="459"/>
      <c r="D6" s="264" t="s">
        <v>1454</v>
      </c>
      <c r="E6" s="160" t="s">
        <v>128</v>
      </c>
      <c r="F6" s="151">
        <v>1</v>
      </c>
      <c r="G6" s="118" t="s">
        <v>253</v>
      </c>
      <c r="H6" s="144">
        <v>2</v>
      </c>
      <c r="I6" s="119">
        <f t="shared" ref="I6:I55" si="8">L6+O6+R6</f>
        <v>2</v>
      </c>
      <c r="J6" s="120" t="s">
        <v>253</v>
      </c>
      <c r="K6" s="121">
        <f t="shared" ref="K6:K55" si="9">N6+Q6+T6</f>
        <v>3</v>
      </c>
      <c r="L6" s="151"/>
      <c r="M6" s="118" t="s">
        <v>253</v>
      </c>
      <c r="N6" s="150">
        <v>3</v>
      </c>
      <c r="O6" s="156">
        <v>2</v>
      </c>
      <c r="P6" s="118" t="s">
        <v>253</v>
      </c>
      <c r="Q6" s="150"/>
      <c r="R6" s="156"/>
      <c r="S6" s="118" t="s">
        <v>253</v>
      </c>
      <c r="T6" s="150"/>
      <c r="U6" s="151"/>
      <c r="V6" s="118" t="s">
        <v>253</v>
      </c>
      <c r="W6" s="144"/>
      <c r="X6" s="144"/>
      <c r="Y6" s="145"/>
      <c r="Z6" s="145">
        <v>45000</v>
      </c>
      <c r="AA6" s="144">
        <v>0</v>
      </c>
      <c r="AB6" s="460"/>
      <c r="AC6" s="461"/>
      <c r="AD6" s="488"/>
      <c r="AE6" s="30"/>
      <c r="AF6" s="57" t="b">
        <v>0</v>
      </c>
      <c r="AG6" s="57" t="b">
        <v>0</v>
      </c>
      <c r="AH6" s="57" t="b">
        <v>0</v>
      </c>
      <c r="AI6" s="30"/>
      <c r="AJ6" s="30">
        <f t="shared" ref="AJ6:AJ55" si="10">IF(F6&lt;&gt;"",(IF(F6&gt;H6,1,(IF(F6=H6,2,(IF(F6&lt;H6,3,"")))))),"")</f>
        <v>3</v>
      </c>
    </row>
    <row r="7" spans="1:36" ht="21" customHeight="1">
      <c r="A7" s="122">
        <v>2</v>
      </c>
      <c r="B7" s="458" t="str">
        <f t="shared" ref="B7:B55" si="11">IF(F7&lt;&gt;"",(IF(F7&gt;H7,$A$1,(IF(F7=H7,$B$1,(IF(F7&lt;H7,$C$1,"")))))),"")</f>
        <v>won</v>
      </c>
      <c r="C7" s="459"/>
      <c r="D7" s="161" t="s">
        <v>1456</v>
      </c>
      <c r="E7" s="160" t="s">
        <v>150</v>
      </c>
      <c r="F7" s="153">
        <v>2</v>
      </c>
      <c r="G7" s="123" t="s">
        <v>253</v>
      </c>
      <c r="H7" s="146">
        <v>1</v>
      </c>
      <c r="I7" s="119">
        <f t="shared" si="8"/>
        <v>0</v>
      </c>
      <c r="J7" s="124" t="s">
        <v>253</v>
      </c>
      <c r="K7" s="121">
        <f t="shared" si="9"/>
        <v>4</v>
      </c>
      <c r="L7" s="153"/>
      <c r="M7" s="123" t="s">
        <v>253</v>
      </c>
      <c r="N7" s="152">
        <v>4</v>
      </c>
      <c r="O7" s="157"/>
      <c r="P7" s="123" t="s">
        <v>253</v>
      </c>
      <c r="Q7" s="152"/>
      <c r="R7" s="157"/>
      <c r="S7" s="123" t="s">
        <v>253</v>
      </c>
      <c r="T7" s="152"/>
      <c r="U7" s="153"/>
      <c r="V7" s="123" t="s">
        <v>253</v>
      </c>
      <c r="W7" s="146"/>
      <c r="X7" s="144">
        <v>1</v>
      </c>
      <c r="Y7" s="147"/>
      <c r="Z7" s="147">
        <v>55000</v>
      </c>
      <c r="AA7" s="146">
        <v>4</v>
      </c>
      <c r="AB7" s="460"/>
      <c r="AC7" s="461"/>
      <c r="AD7" s="488"/>
      <c r="AE7" s="30"/>
      <c r="AF7" s="57" t="b">
        <v>0</v>
      </c>
      <c r="AG7" s="57" t="b">
        <v>0</v>
      </c>
      <c r="AH7" s="57" t="b">
        <v>0</v>
      </c>
      <c r="AI7" s="30"/>
      <c r="AJ7" s="30">
        <f t="shared" si="10"/>
        <v>1</v>
      </c>
    </row>
    <row r="8" spans="1:36" ht="21" customHeight="1">
      <c r="A8" s="117">
        <v>3</v>
      </c>
      <c r="B8" s="458" t="str">
        <f t="shared" si="11"/>
        <v/>
      </c>
      <c r="C8" s="459"/>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60"/>
      <c r="AC8" s="461"/>
      <c r="AD8" s="488"/>
      <c r="AE8" s="30"/>
      <c r="AF8" s="57" t="b">
        <v>0</v>
      </c>
      <c r="AG8" s="57" t="b">
        <v>0</v>
      </c>
      <c r="AH8" s="57" t="b">
        <v>0</v>
      </c>
      <c r="AI8" s="30"/>
      <c r="AJ8" s="30" t="str">
        <f t="shared" si="10"/>
        <v/>
      </c>
    </row>
    <row r="9" spans="1:36" ht="21" customHeight="1">
      <c r="A9" s="117">
        <v>4</v>
      </c>
      <c r="B9" s="458" t="str">
        <f t="shared" si="11"/>
        <v/>
      </c>
      <c r="C9" s="45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60"/>
      <c r="AC9" s="461"/>
      <c r="AD9" s="488"/>
      <c r="AE9" s="30"/>
      <c r="AF9" s="57" t="b">
        <v>0</v>
      </c>
      <c r="AG9" s="57" t="b">
        <v>0</v>
      </c>
      <c r="AH9" s="57" t="b">
        <v>0</v>
      </c>
      <c r="AI9" s="30"/>
      <c r="AJ9" s="30" t="str">
        <f t="shared" si="10"/>
        <v/>
      </c>
    </row>
    <row r="10" spans="1:36" ht="21" customHeight="1">
      <c r="A10" s="122">
        <v>5</v>
      </c>
      <c r="B10" s="458" t="str">
        <f t="shared" si="11"/>
        <v/>
      </c>
      <c r="C10" s="45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60"/>
      <c r="AC10" s="461"/>
      <c r="AD10" s="488"/>
      <c r="AE10" s="30"/>
      <c r="AF10" s="57" t="b">
        <v>0</v>
      </c>
      <c r="AG10" s="57" t="b">
        <v>0</v>
      </c>
      <c r="AH10" s="57" t="b">
        <v>0</v>
      </c>
      <c r="AI10" s="30"/>
      <c r="AJ10" s="30" t="str">
        <f t="shared" si="10"/>
        <v/>
      </c>
    </row>
    <row r="11" spans="1:36" ht="21" customHeight="1">
      <c r="A11" s="117">
        <v>6</v>
      </c>
      <c r="B11" s="458" t="str">
        <f t="shared" si="11"/>
        <v/>
      </c>
      <c r="C11" s="45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60"/>
      <c r="AC11" s="461"/>
      <c r="AD11" s="488"/>
      <c r="AE11" s="30"/>
      <c r="AF11" s="57" t="b">
        <v>0</v>
      </c>
      <c r="AG11" s="57" t="b">
        <v>0</v>
      </c>
      <c r="AH11" s="57" t="b">
        <v>0</v>
      </c>
      <c r="AI11" s="30"/>
      <c r="AJ11" s="30" t="str">
        <f t="shared" si="10"/>
        <v/>
      </c>
    </row>
    <row r="12" spans="1:36" ht="21" customHeight="1">
      <c r="A12" s="117">
        <v>7</v>
      </c>
      <c r="B12" s="458" t="str">
        <f t="shared" si="11"/>
        <v/>
      </c>
      <c r="C12" s="45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60"/>
      <c r="AC12" s="461"/>
      <c r="AD12" s="488"/>
      <c r="AE12" s="30"/>
      <c r="AF12" s="57" t="b">
        <v>0</v>
      </c>
      <c r="AG12" s="57" t="b">
        <v>0</v>
      </c>
      <c r="AH12" s="57" t="b">
        <v>0</v>
      </c>
      <c r="AI12" s="30"/>
      <c r="AJ12" s="30" t="str">
        <f t="shared" si="10"/>
        <v/>
      </c>
    </row>
    <row r="13" spans="1:36" ht="21" customHeight="1">
      <c r="A13" s="122">
        <v>8</v>
      </c>
      <c r="B13" s="458" t="str">
        <f t="shared" si="11"/>
        <v/>
      </c>
      <c r="C13" s="45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60"/>
      <c r="AC13" s="461"/>
      <c r="AD13" s="488"/>
      <c r="AE13" s="30"/>
      <c r="AF13" s="57" t="b">
        <v>0</v>
      </c>
      <c r="AG13" s="57" t="b">
        <v>0</v>
      </c>
      <c r="AH13" s="57" t="b">
        <v>0</v>
      </c>
      <c r="AI13" s="30"/>
      <c r="AJ13" s="30" t="str">
        <f t="shared" si="10"/>
        <v/>
      </c>
    </row>
    <row r="14" spans="1:36" ht="21" customHeight="1">
      <c r="A14" s="117">
        <v>9</v>
      </c>
      <c r="B14" s="458" t="str">
        <f t="shared" si="11"/>
        <v/>
      </c>
      <c r="C14" s="45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60"/>
      <c r="AC14" s="461"/>
      <c r="AD14" s="488"/>
      <c r="AE14" s="30"/>
      <c r="AF14" s="57" t="b">
        <v>0</v>
      </c>
      <c r="AG14" s="57" t="b">
        <v>0</v>
      </c>
      <c r="AH14" s="57" t="b">
        <v>0</v>
      </c>
      <c r="AI14" s="30"/>
      <c r="AJ14" s="30" t="str">
        <f t="shared" si="10"/>
        <v/>
      </c>
    </row>
    <row r="15" spans="1:36" ht="21" customHeight="1">
      <c r="A15" s="117">
        <v>10</v>
      </c>
      <c r="B15" s="458" t="str">
        <f t="shared" si="11"/>
        <v/>
      </c>
      <c r="C15" s="45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60"/>
      <c r="AC15" s="461"/>
      <c r="AD15" s="488"/>
      <c r="AE15" s="30"/>
      <c r="AF15" s="57" t="b">
        <v>0</v>
      </c>
      <c r="AG15" s="57" t="b">
        <v>0</v>
      </c>
      <c r="AH15" s="57" t="b">
        <v>0</v>
      </c>
      <c r="AI15" s="30"/>
      <c r="AJ15" s="30" t="str">
        <f t="shared" si="10"/>
        <v/>
      </c>
    </row>
    <row r="16" spans="1:36" ht="21" customHeight="1">
      <c r="A16" s="122">
        <v>11</v>
      </c>
      <c r="B16" s="458" t="str">
        <f t="shared" si="11"/>
        <v/>
      </c>
      <c r="C16" s="45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60"/>
      <c r="AC16" s="461"/>
      <c r="AD16" s="488"/>
      <c r="AE16" s="30"/>
      <c r="AF16" s="57" t="b">
        <v>0</v>
      </c>
      <c r="AG16" s="57" t="b">
        <v>0</v>
      </c>
      <c r="AH16" s="57" t="b">
        <v>0</v>
      </c>
      <c r="AI16" s="30"/>
      <c r="AJ16" s="30" t="str">
        <f t="shared" si="10"/>
        <v/>
      </c>
    </row>
    <row r="17" spans="1:36" ht="21" customHeight="1">
      <c r="A17" s="117">
        <v>12</v>
      </c>
      <c r="B17" s="458" t="str">
        <f t="shared" si="11"/>
        <v/>
      </c>
      <c r="C17" s="45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60"/>
      <c r="AC17" s="461"/>
      <c r="AD17" s="488"/>
      <c r="AE17" s="30"/>
      <c r="AF17" s="57" t="b">
        <v>0</v>
      </c>
      <c r="AG17" s="57" t="b">
        <v>0</v>
      </c>
      <c r="AH17" s="57" t="b">
        <v>0</v>
      </c>
      <c r="AI17" s="30"/>
      <c r="AJ17" s="30" t="str">
        <f t="shared" si="10"/>
        <v/>
      </c>
    </row>
    <row r="18" spans="1:36" ht="21" customHeight="1">
      <c r="A18" s="117">
        <v>13</v>
      </c>
      <c r="B18" s="458" t="str">
        <f t="shared" si="11"/>
        <v/>
      </c>
      <c r="C18" s="45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60"/>
      <c r="AC18" s="461"/>
      <c r="AD18" s="488"/>
      <c r="AE18" s="30"/>
      <c r="AF18" s="57" t="b">
        <v>0</v>
      </c>
      <c r="AG18" s="57" t="b">
        <v>0</v>
      </c>
      <c r="AH18" s="57" t="b">
        <v>0</v>
      </c>
      <c r="AI18" s="30"/>
      <c r="AJ18" s="30" t="str">
        <f t="shared" si="10"/>
        <v/>
      </c>
    </row>
    <row r="19" spans="1:36" ht="21" customHeight="1">
      <c r="A19" s="122">
        <v>14</v>
      </c>
      <c r="B19" s="458" t="str">
        <f t="shared" si="11"/>
        <v/>
      </c>
      <c r="C19" s="45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60"/>
      <c r="AC19" s="461"/>
      <c r="AD19" s="488"/>
      <c r="AE19" s="30"/>
      <c r="AF19" s="57" t="b">
        <v>0</v>
      </c>
      <c r="AG19" s="57" t="b">
        <v>0</v>
      </c>
      <c r="AH19" s="57" t="b">
        <v>0</v>
      </c>
      <c r="AI19" s="30"/>
      <c r="AJ19" s="30" t="str">
        <f t="shared" si="10"/>
        <v/>
      </c>
    </row>
    <row r="20" spans="1:36" ht="21" customHeight="1">
      <c r="A20" s="117">
        <v>15</v>
      </c>
      <c r="B20" s="458" t="str">
        <f t="shared" si="11"/>
        <v/>
      </c>
      <c r="C20" s="45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60"/>
      <c r="AC20" s="461"/>
      <c r="AD20" s="488"/>
      <c r="AE20" s="30"/>
      <c r="AF20" s="57" t="b">
        <v>0</v>
      </c>
      <c r="AG20" s="57" t="b">
        <v>0</v>
      </c>
      <c r="AH20" s="57" t="b">
        <v>0</v>
      </c>
      <c r="AI20" s="30"/>
      <c r="AJ20" s="30" t="str">
        <f t="shared" si="10"/>
        <v/>
      </c>
    </row>
    <row r="21" spans="1:36" ht="21" customHeight="1">
      <c r="A21" s="117">
        <v>16</v>
      </c>
      <c r="B21" s="458" t="str">
        <f t="shared" si="11"/>
        <v/>
      </c>
      <c r="C21" s="45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60"/>
      <c r="AC21" s="461"/>
      <c r="AD21" s="488"/>
      <c r="AE21" s="30"/>
      <c r="AF21" s="57" t="b">
        <v>0</v>
      </c>
      <c r="AG21" s="57" t="b">
        <v>0</v>
      </c>
      <c r="AH21" s="57" t="b">
        <v>0</v>
      </c>
      <c r="AI21" s="30"/>
      <c r="AJ21" s="30" t="str">
        <f t="shared" si="10"/>
        <v/>
      </c>
    </row>
    <row r="22" spans="1:36" ht="21" customHeight="1">
      <c r="A22" s="122">
        <v>17</v>
      </c>
      <c r="B22" s="458" t="str">
        <f t="shared" si="11"/>
        <v/>
      </c>
      <c r="C22" s="45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60"/>
      <c r="AC22" s="461"/>
      <c r="AD22" s="488"/>
      <c r="AE22" s="30"/>
      <c r="AF22" s="57" t="b">
        <v>0</v>
      </c>
      <c r="AG22" s="57" t="b">
        <v>0</v>
      </c>
      <c r="AH22" s="57" t="b">
        <v>0</v>
      </c>
      <c r="AI22" s="30"/>
      <c r="AJ22" s="30" t="str">
        <f t="shared" si="10"/>
        <v/>
      </c>
    </row>
    <row r="23" spans="1:36" ht="21" customHeight="1">
      <c r="A23" s="117">
        <v>18</v>
      </c>
      <c r="B23" s="458" t="str">
        <f t="shared" si="11"/>
        <v/>
      </c>
      <c r="C23" s="45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60"/>
      <c r="AC23" s="461"/>
      <c r="AD23" s="488"/>
      <c r="AE23" s="30"/>
      <c r="AF23" s="57" t="b">
        <v>0</v>
      </c>
      <c r="AG23" s="57" t="b">
        <v>0</v>
      </c>
      <c r="AH23" s="57" t="b">
        <v>0</v>
      </c>
      <c r="AI23" s="30"/>
      <c r="AJ23" s="30" t="str">
        <f t="shared" si="10"/>
        <v/>
      </c>
    </row>
    <row r="24" spans="1:36" ht="21" customHeight="1">
      <c r="A24" s="117">
        <v>19</v>
      </c>
      <c r="B24" s="458" t="str">
        <f t="shared" si="11"/>
        <v/>
      </c>
      <c r="C24" s="45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60"/>
      <c r="AC24" s="461"/>
      <c r="AD24" s="488"/>
      <c r="AE24" s="30"/>
      <c r="AF24" s="57" t="b">
        <v>0</v>
      </c>
      <c r="AG24" s="57" t="b">
        <v>0</v>
      </c>
      <c r="AH24" s="57" t="b">
        <v>0</v>
      </c>
      <c r="AI24" s="30"/>
      <c r="AJ24" s="30" t="str">
        <f t="shared" si="10"/>
        <v/>
      </c>
    </row>
    <row r="25" spans="1:36" ht="21" customHeight="1">
      <c r="A25" s="122">
        <v>20</v>
      </c>
      <c r="B25" s="458" t="str">
        <f t="shared" si="11"/>
        <v/>
      </c>
      <c r="C25" s="45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60"/>
      <c r="AC25" s="461"/>
      <c r="AD25" s="488"/>
      <c r="AE25" s="30"/>
      <c r="AF25" s="57" t="b">
        <v>0</v>
      </c>
      <c r="AG25" s="57" t="b">
        <v>0</v>
      </c>
      <c r="AH25" s="57" t="b">
        <v>0</v>
      </c>
      <c r="AI25" s="30"/>
      <c r="AJ25" s="30" t="str">
        <f t="shared" si="10"/>
        <v/>
      </c>
    </row>
    <row r="26" spans="1:36" ht="21" customHeight="1">
      <c r="A26" s="117">
        <v>21</v>
      </c>
      <c r="B26" s="458" t="str">
        <f t="shared" si="11"/>
        <v/>
      </c>
      <c r="C26" s="45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60"/>
      <c r="AC26" s="461"/>
      <c r="AD26" s="488"/>
      <c r="AE26" s="30"/>
      <c r="AF26" s="57" t="b">
        <v>0</v>
      </c>
      <c r="AG26" s="57" t="b">
        <v>0</v>
      </c>
      <c r="AH26" s="57" t="b">
        <v>0</v>
      </c>
      <c r="AI26" s="30"/>
      <c r="AJ26" s="30" t="str">
        <f t="shared" si="10"/>
        <v/>
      </c>
    </row>
    <row r="27" spans="1:36" ht="21" customHeight="1">
      <c r="A27" s="117">
        <v>22</v>
      </c>
      <c r="B27" s="458" t="str">
        <f t="shared" si="11"/>
        <v/>
      </c>
      <c r="C27" s="45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60"/>
      <c r="AC27" s="461"/>
      <c r="AD27" s="488"/>
      <c r="AE27" s="30"/>
      <c r="AF27" s="57" t="b">
        <v>0</v>
      </c>
      <c r="AG27" s="57" t="b">
        <v>0</v>
      </c>
      <c r="AH27" s="57" t="b">
        <v>0</v>
      </c>
      <c r="AI27" s="30"/>
      <c r="AJ27" s="30" t="str">
        <f t="shared" si="10"/>
        <v/>
      </c>
    </row>
    <row r="28" spans="1:36" ht="21" customHeight="1">
      <c r="A28" s="122">
        <v>23</v>
      </c>
      <c r="B28" s="458" t="str">
        <f t="shared" si="11"/>
        <v/>
      </c>
      <c r="C28" s="45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60"/>
      <c r="AC28" s="461"/>
      <c r="AD28" s="488"/>
      <c r="AE28" s="30"/>
      <c r="AF28" s="57" t="b">
        <v>0</v>
      </c>
      <c r="AG28" s="57" t="b">
        <v>0</v>
      </c>
      <c r="AH28" s="57" t="b">
        <v>0</v>
      </c>
      <c r="AI28" s="30"/>
      <c r="AJ28" s="30" t="str">
        <f t="shared" si="10"/>
        <v/>
      </c>
    </row>
    <row r="29" spans="1:36" ht="21" customHeight="1">
      <c r="A29" s="117">
        <v>24</v>
      </c>
      <c r="B29" s="458" t="str">
        <f t="shared" si="11"/>
        <v/>
      </c>
      <c r="C29" s="45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60"/>
      <c r="AC29" s="461"/>
      <c r="AD29" s="488"/>
      <c r="AE29" s="30"/>
      <c r="AF29" s="57" t="b">
        <v>0</v>
      </c>
      <c r="AG29" s="57" t="b">
        <v>0</v>
      </c>
      <c r="AH29" s="57" t="b">
        <v>0</v>
      </c>
      <c r="AI29" s="30"/>
      <c r="AJ29" s="30" t="str">
        <f t="shared" si="10"/>
        <v/>
      </c>
    </row>
    <row r="30" spans="1:36" ht="21" customHeight="1">
      <c r="A30" s="117">
        <v>25</v>
      </c>
      <c r="B30" s="458" t="str">
        <f t="shared" si="11"/>
        <v/>
      </c>
      <c r="C30" s="45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60"/>
      <c r="AC30" s="461"/>
      <c r="AD30" s="488"/>
      <c r="AE30" s="30"/>
      <c r="AF30" s="57" t="b">
        <v>0</v>
      </c>
      <c r="AG30" s="57" t="b">
        <v>0</v>
      </c>
      <c r="AH30" s="57" t="b">
        <v>0</v>
      </c>
      <c r="AI30" s="30"/>
      <c r="AJ30" s="30" t="str">
        <f t="shared" si="10"/>
        <v/>
      </c>
    </row>
    <row r="31" spans="1:36" ht="21" customHeight="1">
      <c r="A31" s="122">
        <v>26</v>
      </c>
      <c r="B31" s="458" t="str">
        <f t="shared" si="11"/>
        <v/>
      </c>
      <c r="C31" s="45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60"/>
      <c r="AC31" s="461"/>
      <c r="AD31" s="488"/>
      <c r="AE31" s="30"/>
      <c r="AF31" s="57" t="b">
        <v>0</v>
      </c>
      <c r="AG31" s="57" t="b">
        <v>0</v>
      </c>
      <c r="AH31" s="57" t="b">
        <v>0</v>
      </c>
      <c r="AI31" s="30"/>
      <c r="AJ31" s="30" t="str">
        <f t="shared" si="10"/>
        <v/>
      </c>
    </row>
    <row r="32" spans="1:36" ht="21" customHeight="1">
      <c r="A32" s="117">
        <v>27</v>
      </c>
      <c r="B32" s="458" t="str">
        <f t="shared" si="11"/>
        <v/>
      </c>
      <c r="C32" s="45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60"/>
      <c r="AC32" s="461"/>
      <c r="AD32" s="488"/>
      <c r="AE32" s="30"/>
      <c r="AF32" s="57" t="b">
        <v>0</v>
      </c>
      <c r="AG32" s="57" t="b">
        <v>0</v>
      </c>
      <c r="AH32" s="57" t="b">
        <v>0</v>
      </c>
      <c r="AI32" s="30"/>
      <c r="AJ32" s="30" t="str">
        <f t="shared" si="10"/>
        <v/>
      </c>
    </row>
    <row r="33" spans="1:36" ht="21" customHeight="1">
      <c r="A33" s="117">
        <v>28</v>
      </c>
      <c r="B33" s="458" t="str">
        <f t="shared" si="11"/>
        <v/>
      </c>
      <c r="C33" s="45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60"/>
      <c r="AC33" s="461"/>
      <c r="AD33" s="488"/>
      <c r="AE33" s="30"/>
      <c r="AF33" s="57" t="b">
        <v>0</v>
      </c>
      <c r="AG33" s="57" t="b">
        <v>0</v>
      </c>
      <c r="AH33" s="57" t="b">
        <v>0</v>
      </c>
      <c r="AI33" s="30"/>
      <c r="AJ33" s="30" t="str">
        <f t="shared" si="10"/>
        <v/>
      </c>
    </row>
    <row r="34" spans="1:36" ht="21" customHeight="1">
      <c r="A34" s="122">
        <v>29</v>
      </c>
      <c r="B34" s="458" t="str">
        <f t="shared" si="11"/>
        <v/>
      </c>
      <c r="C34" s="45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60"/>
      <c r="AC34" s="461"/>
      <c r="AD34" s="488"/>
      <c r="AE34" s="30"/>
      <c r="AF34" s="57" t="b">
        <v>0</v>
      </c>
      <c r="AG34" s="57" t="b">
        <v>0</v>
      </c>
      <c r="AH34" s="57" t="b">
        <v>0</v>
      </c>
      <c r="AI34" s="30"/>
      <c r="AJ34" s="30" t="str">
        <f t="shared" si="10"/>
        <v/>
      </c>
    </row>
    <row r="35" spans="1:36" ht="21" customHeight="1">
      <c r="A35" s="117">
        <v>30</v>
      </c>
      <c r="B35" s="458" t="str">
        <f t="shared" si="11"/>
        <v/>
      </c>
      <c r="C35" s="45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60"/>
      <c r="AC35" s="461"/>
      <c r="AD35" s="488"/>
      <c r="AE35" s="30"/>
      <c r="AF35" s="57" t="b">
        <v>0</v>
      </c>
      <c r="AG35" s="57" t="b">
        <v>0</v>
      </c>
      <c r="AH35" s="57" t="b">
        <v>0</v>
      </c>
      <c r="AI35" s="30"/>
      <c r="AJ35" s="30" t="str">
        <f t="shared" si="10"/>
        <v/>
      </c>
    </row>
    <row r="36" spans="1:36" ht="21" customHeight="1">
      <c r="A36" s="117">
        <v>31</v>
      </c>
      <c r="B36" s="458" t="str">
        <f t="shared" si="11"/>
        <v/>
      </c>
      <c r="C36" s="45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60"/>
      <c r="AC36" s="461"/>
      <c r="AD36" s="488"/>
      <c r="AE36" s="30"/>
      <c r="AF36" s="57" t="b">
        <v>0</v>
      </c>
      <c r="AG36" s="57" t="b">
        <v>0</v>
      </c>
      <c r="AH36" s="57" t="b">
        <v>0</v>
      </c>
      <c r="AI36" s="30"/>
      <c r="AJ36" s="30" t="str">
        <f t="shared" si="10"/>
        <v/>
      </c>
    </row>
    <row r="37" spans="1:36" ht="21" customHeight="1">
      <c r="A37" s="122">
        <v>32</v>
      </c>
      <c r="B37" s="458" t="str">
        <f t="shared" si="11"/>
        <v/>
      </c>
      <c r="C37" s="45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60"/>
      <c r="AC37" s="461"/>
      <c r="AD37" s="488"/>
      <c r="AE37" s="30"/>
      <c r="AF37" s="57" t="b">
        <v>0</v>
      </c>
      <c r="AG37" s="57" t="b">
        <v>0</v>
      </c>
      <c r="AH37" s="57" t="b">
        <v>0</v>
      </c>
      <c r="AI37" s="30"/>
      <c r="AJ37" s="30" t="str">
        <f t="shared" si="10"/>
        <v/>
      </c>
    </row>
    <row r="38" spans="1:36" ht="21" customHeight="1">
      <c r="A38" s="117">
        <v>33</v>
      </c>
      <c r="B38" s="458" t="str">
        <f t="shared" si="11"/>
        <v/>
      </c>
      <c r="C38" s="45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60"/>
      <c r="AC38" s="461"/>
      <c r="AD38" s="488"/>
      <c r="AE38" s="30"/>
      <c r="AF38" s="57" t="b">
        <v>0</v>
      </c>
      <c r="AG38" s="57" t="b">
        <v>0</v>
      </c>
      <c r="AH38" s="57" t="b">
        <v>0</v>
      </c>
      <c r="AI38" s="30"/>
      <c r="AJ38" s="30" t="str">
        <f t="shared" si="10"/>
        <v/>
      </c>
    </row>
    <row r="39" spans="1:36" ht="21" customHeight="1">
      <c r="A39" s="117">
        <v>34</v>
      </c>
      <c r="B39" s="458" t="str">
        <f t="shared" si="11"/>
        <v/>
      </c>
      <c r="C39" s="45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60"/>
      <c r="AC39" s="461"/>
      <c r="AD39" s="488"/>
      <c r="AE39" s="30"/>
      <c r="AF39" s="57" t="b">
        <v>0</v>
      </c>
      <c r="AG39" s="57" t="b">
        <v>0</v>
      </c>
      <c r="AH39" s="57" t="b">
        <v>0</v>
      </c>
      <c r="AI39" s="30"/>
      <c r="AJ39" s="30" t="str">
        <f t="shared" si="10"/>
        <v/>
      </c>
    </row>
    <row r="40" spans="1:36" ht="21" customHeight="1">
      <c r="A40" s="122">
        <v>35</v>
      </c>
      <c r="B40" s="458" t="str">
        <f t="shared" si="11"/>
        <v/>
      </c>
      <c r="C40" s="45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60"/>
      <c r="AC40" s="461"/>
      <c r="AD40" s="488"/>
      <c r="AE40" s="30"/>
      <c r="AF40" s="57" t="b">
        <v>0</v>
      </c>
      <c r="AG40" s="57" t="b">
        <v>0</v>
      </c>
      <c r="AH40" s="57" t="b">
        <v>0</v>
      </c>
      <c r="AI40" s="30"/>
      <c r="AJ40" s="30" t="str">
        <f t="shared" si="10"/>
        <v/>
      </c>
    </row>
    <row r="41" spans="1:36" ht="21" customHeight="1">
      <c r="A41" s="117">
        <v>36</v>
      </c>
      <c r="B41" s="458" t="str">
        <f t="shared" si="11"/>
        <v/>
      </c>
      <c r="C41" s="45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60"/>
      <c r="AC41" s="461"/>
      <c r="AD41" s="488"/>
      <c r="AE41" s="30"/>
      <c r="AF41" s="57" t="b">
        <v>0</v>
      </c>
      <c r="AG41" s="57" t="b">
        <v>0</v>
      </c>
      <c r="AH41" s="57" t="b">
        <v>0</v>
      </c>
      <c r="AI41" s="30"/>
      <c r="AJ41" s="30" t="str">
        <f t="shared" si="10"/>
        <v/>
      </c>
    </row>
    <row r="42" spans="1:36" ht="21" customHeight="1">
      <c r="A42" s="117">
        <v>37</v>
      </c>
      <c r="B42" s="458" t="str">
        <f t="shared" si="11"/>
        <v/>
      </c>
      <c r="C42" s="45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60"/>
      <c r="AC42" s="461"/>
      <c r="AD42" s="488"/>
      <c r="AE42" s="30"/>
      <c r="AF42" s="57" t="b">
        <v>0</v>
      </c>
      <c r="AG42" s="57" t="b">
        <v>0</v>
      </c>
      <c r="AH42" s="57" t="b">
        <v>0</v>
      </c>
      <c r="AI42" s="30"/>
      <c r="AJ42" s="30" t="str">
        <f t="shared" si="10"/>
        <v/>
      </c>
    </row>
    <row r="43" spans="1:36" ht="21" customHeight="1">
      <c r="A43" s="122">
        <v>38</v>
      </c>
      <c r="B43" s="458" t="str">
        <f t="shared" si="11"/>
        <v/>
      </c>
      <c r="C43" s="45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60"/>
      <c r="AC43" s="461"/>
      <c r="AD43" s="488"/>
      <c r="AE43" s="30"/>
      <c r="AF43" s="57" t="b">
        <v>0</v>
      </c>
      <c r="AG43" s="57" t="b">
        <v>0</v>
      </c>
      <c r="AH43" s="57" t="b">
        <v>0</v>
      </c>
      <c r="AI43" s="30"/>
      <c r="AJ43" s="30" t="str">
        <f t="shared" si="10"/>
        <v/>
      </c>
    </row>
    <row r="44" spans="1:36" ht="21" customHeight="1">
      <c r="A44" s="117">
        <v>39</v>
      </c>
      <c r="B44" s="458" t="str">
        <f t="shared" si="11"/>
        <v/>
      </c>
      <c r="C44" s="45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60"/>
      <c r="AC44" s="461"/>
      <c r="AD44" s="488"/>
      <c r="AE44" s="30"/>
      <c r="AF44" s="57" t="b">
        <v>0</v>
      </c>
      <c r="AG44" s="57" t="b">
        <v>0</v>
      </c>
      <c r="AH44" s="57" t="b">
        <v>0</v>
      </c>
      <c r="AI44" s="30"/>
      <c r="AJ44" s="30" t="str">
        <f t="shared" si="10"/>
        <v/>
      </c>
    </row>
    <row r="45" spans="1:36" ht="21" customHeight="1">
      <c r="A45" s="117">
        <v>40</v>
      </c>
      <c r="B45" s="458" t="str">
        <f t="shared" si="11"/>
        <v/>
      </c>
      <c r="C45" s="45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60"/>
      <c r="AC45" s="461"/>
      <c r="AD45" s="488"/>
      <c r="AE45" s="30"/>
      <c r="AF45" s="57" t="b">
        <v>0</v>
      </c>
      <c r="AG45" s="57" t="b">
        <v>0</v>
      </c>
      <c r="AH45" s="57" t="b">
        <v>0</v>
      </c>
      <c r="AI45" s="30"/>
      <c r="AJ45" s="30" t="str">
        <f t="shared" si="10"/>
        <v/>
      </c>
    </row>
    <row r="46" spans="1:36" ht="21" customHeight="1">
      <c r="A46" s="122">
        <v>41</v>
      </c>
      <c r="B46" s="458" t="str">
        <f t="shared" si="11"/>
        <v/>
      </c>
      <c r="C46" s="45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60"/>
      <c r="AC46" s="461"/>
      <c r="AD46" s="488"/>
      <c r="AE46" s="30"/>
      <c r="AF46" s="57" t="b">
        <v>0</v>
      </c>
      <c r="AG46" s="57" t="b">
        <v>0</v>
      </c>
      <c r="AH46" s="57" t="b">
        <v>0</v>
      </c>
      <c r="AI46" s="30"/>
      <c r="AJ46" s="30" t="str">
        <f t="shared" si="10"/>
        <v/>
      </c>
    </row>
    <row r="47" spans="1:36" ht="21" customHeight="1">
      <c r="A47" s="117">
        <v>42</v>
      </c>
      <c r="B47" s="458" t="str">
        <f t="shared" si="11"/>
        <v/>
      </c>
      <c r="C47" s="45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60"/>
      <c r="AC47" s="461"/>
      <c r="AD47" s="488"/>
      <c r="AE47" s="30"/>
      <c r="AF47" s="57" t="b">
        <v>0</v>
      </c>
      <c r="AG47" s="57" t="b">
        <v>0</v>
      </c>
      <c r="AH47" s="57" t="b">
        <v>0</v>
      </c>
      <c r="AI47" s="30"/>
      <c r="AJ47" s="30" t="str">
        <f t="shared" si="10"/>
        <v/>
      </c>
    </row>
    <row r="48" spans="1:36" ht="21" customHeight="1">
      <c r="A48" s="117">
        <v>43</v>
      </c>
      <c r="B48" s="458" t="str">
        <f t="shared" si="11"/>
        <v/>
      </c>
      <c r="C48" s="45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60"/>
      <c r="AC48" s="461"/>
      <c r="AD48" s="488"/>
      <c r="AE48" s="30"/>
      <c r="AF48" s="57" t="b">
        <v>0</v>
      </c>
      <c r="AG48" s="57" t="b">
        <v>0</v>
      </c>
      <c r="AH48" s="57" t="b">
        <v>0</v>
      </c>
      <c r="AI48" s="30"/>
      <c r="AJ48" s="30" t="str">
        <f t="shared" si="10"/>
        <v/>
      </c>
    </row>
    <row r="49" spans="1:36" ht="21" customHeight="1">
      <c r="A49" s="122">
        <v>44</v>
      </c>
      <c r="B49" s="458" t="str">
        <f t="shared" si="11"/>
        <v/>
      </c>
      <c r="C49" s="45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60"/>
      <c r="AC49" s="461"/>
      <c r="AD49" s="488"/>
      <c r="AE49" s="30"/>
      <c r="AF49" s="57" t="b">
        <v>0</v>
      </c>
      <c r="AG49" s="57" t="b">
        <v>0</v>
      </c>
      <c r="AH49" s="57" t="b">
        <v>0</v>
      </c>
      <c r="AI49" s="30"/>
      <c r="AJ49" s="30" t="str">
        <f t="shared" si="10"/>
        <v/>
      </c>
    </row>
    <row r="50" spans="1:36" ht="21" customHeight="1">
      <c r="A50" s="117">
        <v>45</v>
      </c>
      <c r="B50" s="458" t="str">
        <f t="shared" si="11"/>
        <v/>
      </c>
      <c r="C50" s="45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60"/>
      <c r="AC50" s="461"/>
      <c r="AD50" s="488"/>
      <c r="AE50" s="30"/>
      <c r="AF50" s="57" t="b">
        <v>0</v>
      </c>
      <c r="AG50" s="57" t="b">
        <v>0</v>
      </c>
      <c r="AH50" s="57" t="b">
        <v>0</v>
      </c>
      <c r="AI50" s="30"/>
      <c r="AJ50" s="30" t="str">
        <f t="shared" si="10"/>
        <v/>
      </c>
    </row>
    <row r="51" spans="1:36" ht="21" customHeight="1">
      <c r="A51" s="117">
        <v>46</v>
      </c>
      <c r="B51" s="458" t="str">
        <f t="shared" si="11"/>
        <v/>
      </c>
      <c r="C51" s="45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60"/>
      <c r="AC51" s="461"/>
      <c r="AD51" s="488"/>
      <c r="AE51" s="30"/>
      <c r="AF51" s="57" t="b">
        <v>0</v>
      </c>
      <c r="AG51" s="57" t="b">
        <v>0</v>
      </c>
      <c r="AH51" s="57" t="b">
        <v>0</v>
      </c>
      <c r="AI51" s="30"/>
      <c r="AJ51" s="30" t="str">
        <f t="shared" si="10"/>
        <v/>
      </c>
    </row>
    <row r="52" spans="1:36" ht="21" customHeight="1">
      <c r="A52" s="122">
        <v>47</v>
      </c>
      <c r="B52" s="458" t="str">
        <f t="shared" si="11"/>
        <v/>
      </c>
      <c r="C52" s="45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60"/>
      <c r="AC52" s="461"/>
      <c r="AD52" s="488"/>
      <c r="AE52" s="30"/>
      <c r="AF52" s="57" t="b">
        <v>0</v>
      </c>
      <c r="AG52" s="57" t="b">
        <v>0</v>
      </c>
      <c r="AH52" s="57" t="b">
        <v>0</v>
      </c>
      <c r="AI52" s="30"/>
      <c r="AJ52" s="30" t="str">
        <f t="shared" si="10"/>
        <v/>
      </c>
    </row>
    <row r="53" spans="1:36" ht="21" customHeight="1">
      <c r="A53" s="117">
        <v>48</v>
      </c>
      <c r="B53" s="458" t="str">
        <f t="shared" si="11"/>
        <v/>
      </c>
      <c r="C53" s="45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60"/>
      <c r="AC53" s="461"/>
      <c r="AD53" s="488"/>
      <c r="AE53" s="30"/>
      <c r="AF53" s="57" t="b">
        <v>0</v>
      </c>
      <c r="AG53" s="57" t="b">
        <v>0</v>
      </c>
      <c r="AH53" s="57" t="b">
        <v>0</v>
      </c>
      <c r="AI53" s="30"/>
      <c r="AJ53" s="30" t="str">
        <f t="shared" si="10"/>
        <v/>
      </c>
    </row>
    <row r="54" spans="1:36" ht="21" customHeight="1">
      <c r="A54" s="117">
        <v>49</v>
      </c>
      <c r="B54" s="458" t="str">
        <f t="shared" si="11"/>
        <v/>
      </c>
      <c r="C54" s="45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60"/>
      <c r="AC54" s="461"/>
      <c r="AD54" s="488"/>
      <c r="AE54" s="30"/>
      <c r="AF54" s="57" t="b">
        <v>0</v>
      </c>
      <c r="AG54" s="57" t="b">
        <v>0</v>
      </c>
      <c r="AH54" s="57" t="b">
        <v>0</v>
      </c>
      <c r="AI54" s="30"/>
      <c r="AJ54" s="30" t="str">
        <f t="shared" si="10"/>
        <v/>
      </c>
    </row>
    <row r="55" spans="1:36" ht="21" customHeight="1" thickBot="1">
      <c r="A55" s="122">
        <v>50</v>
      </c>
      <c r="B55" s="458" t="str">
        <f t="shared" si="11"/>
        <v/>
      </c>
      <c r="C55" s="45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60"/>
      <c r="AC55" s="461"/>
      <c r="AD55" s="488"/>
      <c r="AE55" s="30"/>
      <c r="AF55" s="57" t="b">
        <v>0</v>
      </c>
      <c r="AG55" s="57" t="b">
        <v>0</v>
      </c>
      <c r="AH55" s="57" t="b">
        <v>0</v>
      </c>
      <c r="AI55" s="30"/>
      <c r="AJ55" s="30" t="str">
        <f t="shared" si="10"/>
        <v/>
      </c>
    </row>
    <row r="56" spans="1:36" ht="21" customHeight="1" thickBot="1">
      <c r="A56" s="486" t="str">
        <f>IF(Roster!K25="Italiano","  Note",(IF(Roster!K25="Español","  Notas",(IF(Roster!K25="Deutsch","  Notizen","  Notes")))))</f>
        <v xml:space="preserve">  Notes</v>
      </c>
      <c r="B56" s="468"/>
      <c r="C56" s="487"/>
      <c r="D56" s="479"/>
      <c r="E56" s="480"/>
      <c r="F56" s="480"/>
      <c r="G56" s="480"/>
      <c r="H56" s="480"/>
      <c r="I56" s="480"/>
      <c r="J56" s="480"/>
      <c r="K56" s="480"/>
      <c r="L56" s="480"/>
      <c r="M56" s="480"/>
      <c r="N56" s="480"/>
      <c r="O56" s="480"/>
      <c r="P56" s="480"/>
      <c r="Q56" s="480"/>
      <c r="R56" s="480"/>
      <c r="S56" s="480"/>
      <c r="T56" s="480"/>
      <c r="U56" s="480"/>
      <c r="V56" s="480"/>
      <c r="W56" s="480"/>
      <c r="X56" s="480"/>
      <c r="Y56" s="481"/>
      <c r="Z56" s="480"/>
      <c r="AA56" s="480"/>
      <c r="AB56" s="480"/>
      <c r="AC56" s="482"/>
      <c r="AD56" s="488"/>
      <c r="AE56" s="30"/>
      <c r="AF56" s="72"/>
      <c r="AG56" s="72"/>
      <c r="AH56" s="72"/>
      <c r="AI56" s="30"/>
      <c r="AJ56" s="30"/>
    </row>
    <row r="57" spans="1:36" ht="8.25" customHeight="1">
      <c r="A57" s="483"/>
      <c r="B57" s="484"/>
      <c r="C57" s="484"/>
      <c r="D57" s="484"/>
      <c r="E57" s="484"/>
      <c r="F57" s="484"/>
      <c r="G57" s="484"/>
      <c r="H57" s="484"/>
      <c r="I57" s="484"/>
      <c r="J57" s="484"/>
      <c r="K57" s="484"/>
      <c r="L57" s="484"/>
      <c r="M57" s="484"/>
      <c r="N57" s="484"/>
      <c r="O57" s="484"/>
      <c r="P57" s="484"/>
      <c r="Q57" s="484"/>
      <c r="R57" s="484"/>
      <c r="S57" s="484"/>
      <c r="T57" s="484"/>
      <c r="U57" s="484"/>
      <c r="V57" s="484"/>
      <c r="W57" s="484"/>
      <c r="X57" s="484"/>
      <c r="Y57" s="371"/>
      <c r="Z57" s="484"/>
      <c r="AA57" s="484"/>
      <c r="AB57" s="484"/>
      <c r="AC57" s="484"/>
      <c r="AD57" s="485"/>
      <c r="AE57" s="30"/>
      <c r="AF57" s="30"/>
      <c r="AG57" s="30"/>
      <c r="AH57" s="30"/>
      <c r="AI57" s="30"/>
      <c r="AJ57" s="30"/>
    </row>
    <row r="58" spans="1:36" ht="30" hidden="1" customHeight="1">
      <c r="A58" s="129"/>
      <c r="B58" s="457"/>
      <c r="C58" s="396"/>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57"/>
      <c r="C59" s="396"/>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57"/>
      <c r="C60" s="396"/>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57"/>
      <c r="C61" s="396"/>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57"/>
      <c r="C62" s="396"/>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57"/>
      <c r="C63" s="396"/>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57"/>
      <c r="C64" s="396"/>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57"/>
      <c r="C65" s="396"/>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57"/>
      <c r="C66" s="396"/>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57"/>
      <c r="C67" s="396"/>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57"/>
      <c r="C68" s="396"/>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57"/>
      <c r="C69" s="396"/>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57"/>
      <c r="C70" s="396"/>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57"/>
      <c r="C71" s="396"/>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57"/>
      <c r="C72" s="396"/>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57"/>
      <c r="C73" s="396"/>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57"/>
      <c r="C74" s="396"/>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57"/>
      <c r="C75" s="396"/>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57"/>
      <c r="C76" s="396"/>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57"/>
      <c r="C77" s="396"/>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57"/>
      <c r="C78" s="396"/>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57"/>
      <c r="C79" s="396"/>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57"/>
      <c r="C80" s="396"/>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57"/>
      <c r="C81" s="396"/>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57"/>
      <c r="C82" s="396"/>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57"/>
      <c r="C83" s="396"/>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57"/>
      <c r="C84" s="396"/>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57"/>
      <c r="C85" s="396"/>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57"/>
      <c r="C86" s="396"/>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57"/>
      <c r="C87" s="396"/>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57"/>
      <c r="C88" s="396"/>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57"/>
      <c r="C89" s="396"/>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57"/>
      <c r="C90" s="396"/>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57"/>
      <c r="C91" s="396"/>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57"/>
      <c r="C92" s="396"/>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57"/>
      <c r="C93" s="396"/>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57"/>
      <c r="C94" s="396"/>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57"/>
      <c r="C95" s="396"/>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57"/>
      <c r="C96" s="396"/>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57"/>
      <c r="C97" s="396"/>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57"/>
      <c r="C98" s="396"/>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57"/>
      <c r="C99" s="396"/>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57"/>
      <c r="C100" s="396"/>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57"/>
      <c r="C101" s="396"/>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57"/>
      <c r="C102" s="396"/>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57"/>
      <c r="C103" s="396"/>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57"/>
      <c r="C104" s="396"/>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57"/>
      <c r="C105" s="396"/>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57"/>
      <c r="C106" s="396"/>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57"/>
      <c r="C107" s="396"/>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57"/>
      <c r="C108" s="396"/>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57"/>
      <c r="C109" s="396"/>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57"/>
      <c r="C110" s="396"/>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57"/>
      <c r="C111" s="396"/>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57"/>
      <c r="C112" s="396"/>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57"/>
      <c r="C113" s="396"/>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57"/>
      <c r="C114" s="396"/>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57"/>
      <c r="C115" s="396"/>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57"/>
      <c r="C116" s="396"/>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57"/>
      <c r="C117" s="396"/>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57"/>
      <c r="C118" s="396"/>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57"/>
      <c r="C119" s="396"/>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57"/>
      <c r="C120" s="396"/>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57"/>
      <c r="C121" s="396"/>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57"/>
      <c r="C122" s="396"/>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57"/>
      <c r="C123" s="396"/>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57"/>
      <c r="C124" s="396"/>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57"/>
      <c r="C125" s="396"/>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57"/>
      <c r="C126" s="396"/>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57"/>
      <c r="C127" s="396"/>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57"/>
      <c r="C128" s="396"/>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57"/>
      <c r="C129" s="396"/>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57"/>
      <c r="C130" s="396"/>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57"/>
      <c r="C131" s="396"/>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57"/>
      <c r="C132" s="396"/>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57"/>
      <c r="C133" s="396"/>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57"/>
      <c r="C134" s="396"/>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57"/>
      <c r="C135" s="396"/>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57"/>
      <c r="C136" s="396"/>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57"/>
      <c r="C137" s="396"/>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57"/>
      <c r="C138" s="396"/>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57"/>
      <c r="C139" s="396"/>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57"/>
      <c r="C140" s="396"/>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57"/>
      <c r="C141" s="396"/>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57"/>
      <c r="C142" s="396"/>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57"/>
      <c r="C143" s="396"/>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57"/>
      <c r="C144" s="396"/>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57"/>
      <c r="C145" s="396"/>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57"/>
      <c r="C146" s="396"/>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57"/>
      <c r="C147" s="396"/>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57"/>
      <c r="C148" s="396"/>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57"/>
      <c r="C149" s="396"/>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57"/>
      <c r="C150" s="396"/>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57"/>
      <c r="C151" s="396"/>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57"/>
      <c r="C152" s="396"/>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57"/>
      <c r="C153" s="396"/>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57"/>
      <c r="C154" s="396"/>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57"/>
      <c r="C155" s="396"/>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57"/>
      <c r="C156" s="396"/>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57"/>
      <c r="C157" s="396"/>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57"/>
      <c r="C158" s="396"/>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57"/>
      <c r="C159" s="396"/>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57"/>
      <c r="C160" s="396"/>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57"/>
      <c r="C161" s="396"/>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57"/>
      <c r="C162" s="396"/>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57"/>
      <c r="C163" s="396"/>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57"/>
      <c r="C164" s="396"/>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57"/>
      <c r="C165" s="396"/>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57"/>
      <c r="C166" s="396"/>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57"/>
      <c r="C167" s="396"/>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57"/>
      <c r="C168" s="396"/>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57"/>
      <c r="C169" s="396"/>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57"/>
      <c r="C170" s="396"/>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57"/>
      <c r="C171" s="396"/>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57"/>
      <c r="C172" s="396"/>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57"/>
      <c r="C173" s="396"/>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57"/>
      <c r="C174" s="396"/>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57"/>
      <c r="C175" s="396"/>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57"/>
      <c r="C176" s="396"/>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57"/>
      <c r="C177" s="396"/>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57"/>
      <c r="C178" s="396"/>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57"/>
      <c r="C179" s="396"/>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57"/>
      <c r="C180" s="396"/>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57"/>
      <c r="C181" s="396"/>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57"/>
      <c r="C182" s="396"/>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57"/>
      <c r="C183" s="396"/>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57"/>
      <c r="C184" s="396"/>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57"/>
      <c r="C185" s="396"/>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57"/>
      <c r="C186" s="396"/>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57"/>
      <c r="C187" s="396"/>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57"/>
      <c r="C188" s="396"/>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57"/>
      <c r="C189" s="396"/>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57"/>
      <c r="C190" s="396"/>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57"/>
      <c r="C191" s="396"/>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57"/>
      <c r="C192" s="396"/>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57"/>
      <c r="C193" s="396"/>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57"/>
      <c r="C194" s="396"/>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57"/>
      <c r="C195" s="396"/>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57"/>
      <c r="C196" s="396"/>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57"/>
      <c r="C197" s="396"/>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57"/>
      <c r="C198" s="396"/>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57"/>
      <c r="C199" s="396"/>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57"/>
      <c r="C200" s="396"/>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57"/>
      <c r="C201" s="396"/>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57"/>
      <c r="C202" s="396"/>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57"/>
      <c r="C203" s="396"/>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57"/>
      <c r="C204" s="396"/>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57"/>
      <c r="C205" s="396"/>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57"/>
      <c r="C206" s="396"/>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57"/>
      <c r="C207" s="396"/>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57"/>
      <c r="C208" s="396"/>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57"/>
      <c r="C209" s="396"/>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57"/>
      <c r="C210" s="396"/>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57"/>
      <c r="C211" s="396"/>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57"/>
      <c r="C212" s="396"/>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57"/>
      <c r="C213" s="396"/>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57"/>
      <c r="C214" s="396"/>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57"/>
      <c r="C215" s="396"/>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57"/>
      <c r="C216" s="396"/>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57"/>
      <c r="C217" s="396"/>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57"/>
      <c r="C218" s="396"/>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57"/>
      <c r="C219" s="396"/>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57"/>
      <c r="C220" s="396"/>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57"/>
      <c r="C221" s="396"/>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57"/>
      <c r="C222" s="396"/>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57"/>
      <c r="C223" s="396"/>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57"/>
      <c r="C224" s="396"/>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57"/>
      <c r="C225" s="396"/>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57"/>
      <c r="C226" s="396"/>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57"/>
      <c r="C227" s="396"/>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57"/>
      <c r="C228" s="396"/>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57"/>
      <c r="C229" s="396"/>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57"/>
      <c r="C230" s="396"/>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57"/>
      <c r="C231" s="396"/>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57"/>
      <c r="C232" s="396"/>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57"/>
      <c r="C233" s="396"/>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57"/>
      <c r="C234" s="396"/>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57"/>
      <c r="C235" s="396"/>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57"/>
      <c r="C236" s="396"/>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57"/>
      <c r="C237" s="396"/>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57"/>
      <c r="C238" s="396"/>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57"/>
      <c r="C239" s="396"/>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57"/>
      <c r="C240" s="396"/>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57"/>
      <c r="C241" s="396"/>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57"/>
      <c r="C242" s="396"/>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57"/>
      <c r="C243" s="396"/>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57"/>
      <c r="C244" s="396"/>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57"/>
      <c r="C245" s="396"/>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57"/>
      <c r="C246" s="396"/>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57"/>
      <c r="C247" s="396"/>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AB45:AC45"/>
    <mergeCell ref="AB46:AC46"/>
    <mergeCell ref="AB29:AC29"/>
    <mergeCell ref="AB30:AC30"/>
    <mergeCell ref="AB31:AC31"/>
    <mergeCell ref="AB32:AC32"/>
    <mergeCell ref="AB33:AC33"/>
    <mergeCell ref="AB34:AC34"/>
    <mergeCell ref="AB35:AC35"/>
    <mergeCell ref="AB36:AC36"/>
    <mergeCell ref="AB37:AC37"/>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AB17:AC17"/>
    <mergeCell ref="AB18:AC18"/>
    <mergeCell ref="AB19:AC19"/>
    <mergeCell ref="AB13:AC13"/>
    <mergeCell ref="AB14:A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06" t="str">
        <f>IF(Roster!$K$25="Italiano","GIOCATORI MORTI &amp; TEMPORANEAMENTE RITIRATI",(IF(Roster!$K$25="Español","MUERTOS Y JUGADORES RETIRADOS",(IF(Roster!$K$25="Deutsch","TOTE &amp; PENSIONIERTE SPIELER",(IF(Roster!$K$25="Français","JOUEURS MORTS ET RETRAITÉS","DEAD &amp; RETIRED PLAYERS")))))))</f>
        <v>DEAD &amp; RETIRED PLAYERS</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2"/>
      <c r="AL1" s="73"/>
    </row>
    <row r="2" spans="1:38" ht="22.5" customHeight="1">
      <c r="A2" s="24" t="s">
        <v>29</v>
      </c>
      <c r="B2" s="24" t="str">
        <f>IF(Roster!$K$25="Italiano","NOME GIOCATORE",(IF(Roster!$K$25="Español","NOMBRE JUGADOR",(IF(Roster!$K$25="Deutsch","NAME",(IF(Roster!$K$25="Français","NOM DU JOUEUR","PLAYER NAME")))))))</f>
        <v>PLAYER NAME</v>
      </c>
      <c r="C2" s="406" t="str">
        <f>IF(Roster!$K$25="Italiano","TIPO",(IF(Roster!$K$25="Español","TIPO",(IF(Roster!$K$25="Deutsch","POSITION",(IF(Roster!$K$25="Français","POSTE","TYPE")))))))</f>
        <v>TYPE</v>
      </c>
      <c r="D2" s="361"/>
      <c r="E2" s="361"/>
      <c r="F2" s="36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06" t="str">
        <f>IF(Roster!$K$25="Italiano","ABILITÀ",(IF(Roster!$K$25="Español","HABILIDADES",(IF(Roster!$K$25="Deutsch","FERTIGKEITEN",(IF(Roster!$K$25="Français","COMPÉTENCES","SKILLS")))))))</f>
        <v>SKILLS</v>
      </c>
      <c r="M2" s="361"/>
      <c r="N2" s="361"/>
      <c r="O2" s="361"/>
      <c r="P2" s="361"/>
      <c r="Q2" s="361"/>
      <c r="R2" s="361"/>
      <c r="S2" s="361"/>
      <c r="T2" s="361"/>
      <c r="U2" s="361"/>
      <c r="V2" s="36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392" t="str">
        <f>IF(Roster!$K$25="Italiano","SPP Totali",(IF(Roster!$K$25="Español","SPP Totales",(IF(Roster!$K$25="Deutsch","Gesamte SPP",(IF(Roster!$K$25="Français","Total PSP","Total SPP")))))))</f>
        <v>Total SPP</v>
      </c>
      <c r="AG2" s="362"/>
      <c r="AH2" s="392" t="str">
        <f>IF(Roster!$K$25="Italiano","SPP Non Spesi",(IF(Roster!$K$25="Español","SPP Sin gastar",(IF(Roster!$K$25="Deutsch","Verfügb. SPP",(IF(Roster!$K$25="Français","PSP restant","Unspent SPP")))))))</f>
        <v>Unspent SPP</v>
      </c>
      <c r="AI2" s="362"/>
      <c r="AJ2" s="406" t="str">
        <f>IF(Roster!$K$25="Italiano","COSTO",(IF(Roster!$K$25="Español","PRECIO",(IF(Roster!$K$25="Deutsch","WERT",(IF(Roster!$K$25="Français","VALEUR","COST")))))))</f>
        <v>COST</v>
      </c>
      <c r="AK2" s="362"/>
      <c r="AL2" s="498"/>
    </row>
    <row r="3" spans="1:38" ht="22.5" customHeight="1">
      <c r="A3" s="24">
        <v>1</v>
      </c>
      <c r="B3" s="238"/>
      <c r="C3" s="497"/>
      <c r="D3" s="358"/>
      <c r="E3" s="358"/>
      <c r="F3" s="359"/>
      <c r="G3" s="163"/>
      <c r="H3" s="163"/>
      <c r="I3" s="163"/>
      <c r="J3" s="163"/>
      <c r="K3" s="163"/>
      <c r="L3" s="496"/>
      <c r="M3" s="358"/>
      <c r="N3" s="358"/>
      <c r="O3" s="358"/>
      <c r="P3" s="358"/>
      <c r="Q3" s="358"/>
      <c r="R3" s="358"/>
      <c r="S3" s="358"/>
      <c r="T3" s="358"/>
      <c r="U3" s="358"/>
      <c r="V3" s="359"/>
      <c r="W3" s="164"/>
      <c r="X3" s="165"/>
      <c r="Y3" s="165"/>
      <c r="Z3" s="165"/>
      <c r="AA3" s="166"/>
      <c r="AB3" s="166"/>
      <c r="AC3" s="166"/>
      <c r="AD3" s="166"/>
      <c r="AE3" s="166"/>
      <c r="AF3" s="495"/>
      <c r="AG3" s="359"/>
      <c r="AH3" s="495"/>
      <c r="AI3" s="359"/>
      <c r="AJ3" s="501"/>
      <c r="AK3" s="359"/>
      <c r="AL3" s="499"/>
    </row>
    <row r="4" spans="1:38" ht="22.5" customHeight="1">
      <c r="A4" s="24">
        <v>2</v>
      </c>
      <c r="B4" s="81"/>
      <c r="C4" s="386"/>
      <c r="D4" s="358"/>
      <c r="E4" s="358"/>
      <c r="F4" s="359"/>
      <c r="G4" s="163"/>
      <c r="H4" s="163"/>
      <c r="I4" s="163"/>
      <c r="J4" s="163"/>
      <c r="K4" s="163"/>
      <c r="L4" s="496"/>
      <c r="M4" s="358"/>
      <c r="N4" s="358"/>
      <c r="O4" s="358"/>
      <c r="P4" s="358"/>
      <c r="Q4" s="358"/>
      <c r="R4" s="358"/>
      <c r="S4" s="358"/>
      <c r="T4" s="358"/>
      <c r="U4" s="358"/>
      <c r="V4" s="359"/>
      <c r="W4" s="164"/>
      <c r="X4" s="165"/>
      <c r="Y4" s="165"/>
      <c r="Z4" s="165"/>
      <c r="AA4" s="166"/>
      <c r="AB4" s="166"/>
      <c r="AC4" s="166"/>
      <c r="AD4" s="166"/>
      <c r="AE4" s="166"/>
      <c r="AF4" s="495"/>
      <c r="AG4" s="359"/>
      <c r="AH4" s="495"/>
      <c r="AI4" s="359"/>
      <c r="AJ4" s="495"/>
      <c r="AK4" s="359"/>
      <c r="AL4" s="499"/>
    </row>
    <row r="5" spans="1:38" ht="22.5" customHeight="1">
      <c r="A5" s="24">
        <v>3</v>
      </c>
      <c r="B5" s="81"/>
      <c r="C5" s="386"/>
      <c r="D5" s="358"/>
      <c r="E5" s="358"/>
      <c r="F5" s="359"/>
      <c r="G5" s="163"/>
      <c r="H5" s="163"/>
      <c r="I5" s="163"/>
      <c r="J5" s="163"/>
      <c r="K5" s="163"/>
      <c r="L5" s="496"/>
      <c r="M5" s="358"/>
      <c r="N5" s="358"/>
      <c r="O5" s="358"/>
      <c r="P5" s="358"/>
      <c r="Q5" s="358"/>
      <c r="R5" s="358"/>
      <c r="S5" s="358"/>
      <c r="T5" s="358"/>
      <c r="U5" s="358"/>
      <c r="V5" s="359"/>
      <c r="W5" s="164"/>
      <c r="X5" s="165"/>
      <c r="Y5" s="165"/>
      <c r="Z5" s="165"/>
      <c r="AA5" s="166"/>
      <c r="AB5" s="166"/>
      <c r="AC5" s="166"/>
      <c r="AD5" s="166"/>
      <c r="AE5" s="166"/>
      <c r="AF5" s="495"/>
      <c r="AG5" s="359"/>
      <c r="AH5" s="495"/>
      <c r="AI5" s="359"/>
      <c r="AJ5" s="495"/>
      <c r="AK5" s="359"/>
      <c r="AL5" s="499"/>
    </row>
    <row r="6" spans="1:38" ht="22.5" customHeight="1">
      <c r="A6" s="24">
        <v>4</v>
      </c>
      <c r="B6" s="81"/>
      <c r="C6" s="386"/>
      <c r="D6" s="358"/>
      <c r="E6" s="358"/>
      <c r="F6" s="359"/>
      <c r="G6" s="163"/>
      <c r="H6" s="163"/>
      <c r="I6" s="163"/>
      <c r="J6" s="163"/>
      <c r="K6" s="163"/>
      <c r="L6" s="496"/>
      <c r="M6" s="358"/>
      <c r="N6" s="358"/>
      <c r="O6" s="358"/>
      <c r="P6" s="358"/>
      <c r="Q6" s="358"/>
      <c r="R6" s="358"/>
      <c r="S6" s="358"/>
      <c r="T6" s="358"/>
      <c r="U6" s="358"/>
      <c r="V6" s="359"/>
      <c r="W6" s="164"/>
      <c r="X6" s="165"/>
      <c r="Y6" s="165"/>
      <c r="Z6" s="165"/>
      <c r="AA6" s="166"/>
      <c r="AB6" s="166"/>
      <c r="AC6" s="166"/>
      <c r="AD6" s="166"/>
      <c r="AE6" s="166"/>
      <c r="AF6" s="495"/>
      <c r="AG6" s="359"/>
      <c r="AH6" s="495"/>
      <c r="AI6" s="359"/>
      <c r="AJ6" s="495"/>
      <c r="AK6" s="359"/>
      <c r="AL6" s="499"/>
    </row>
    <row r="7" spans="1:38" ht="22.5" customHeight="1">
      <c r="A7" s="24">
        <v>5</v>
      </c>
      <c r="B7" s="81"/>
      <c r="C7" s="386"/>
      <c r="D7" s="358"/>
      <c r="E7" s="358"/>
      <c r="F7" s="359"/>
      <c r="G7" s="163"/>
      <c r="H7" s="163"/>
      <c r="I7" s="163"/>
      <c r="J7" s="163"/>
      <c r="K7" s="163"/>
      <c r="L7" s="496"/>
      <c r="M7" s="358"/>
      <c r="N7" s="358"/>
      <c r="O7" s="358"/>
      <c r="P7" s="358"/>
      <c r="Q7" s="358"/>
      <c r="R7" s="358"/>
      <c r="S7" s="358"/>
      <c r="T7" s="358"/>
      <c r="U7" s="358"/>
      <c r="V7" s="359"/>
      <c r="W7" s="164"/>
      <c r="X7" s="165"/>
      <c r="Y7" s="165"/>
      <c r="Z7" s="165"/>
      <c r="AA7" s="166"/>
      <c r="AB7" s="166"/>
      <c r="AC7" s="166"/>
      <c r="AD7" s="166"/>
      <c r="AE7" s="166"/>
      <c r="AF7" s="495"/>
      <c r="AG7" s="359"/>
      <c r="AH7" s="495"/>
      <c r="AI7" s="359"/>
      <c r="AJ7" s="495"/>
      <c r="AK7" s="359"/>
      <c r="AL7" s="499"/>
    </row>
    <row r="8" spans="1:38" ht="22.5" customHeight="1">
      <c r="A8" s="24">
        <v>6</v>
      </c>
      <c r="B8" s="81"/>
      <c r="C8" s="386"/>
      <c r="D8" s="358"/>
      <c r="E8" s="358"/>
      <c r="F8" s="359"/>
      <c r="G8" s="163"/>
      <c r="H8" s="163"/>
      <c r="I8" s="163"/>
      <c r="J8" s="163"/>
      <c r="K8" s="163"/>
      <c r="L8" s="496"/>
      <c r="M8" s="358"/>
      <c r="N8" s="358"/>
      <c r="O8" s="358"/>
      <c r="P8" s="358"/>
      <c r="Q8" s="358"/>
      <c r="R8" s="358"/>
      <c r="S8" s="358"/>
      <c r="T8" s="358"/>
      <c r="U8" s="358"/>
      <c r="V8" s="359"/>
      <c r="W8" s="164"/>
      <c r="X8" s="165"/>
      <c r="Y8" s="165"/>
      <c r="Z8" s="165"/>
      <c r="AA8" s="166"/>
      <c r="AB8" s="166"/>
      <c r="AC8" s="166"/>
      <c r="AD8" s="166"/>
      <c r="AE8" s="166"/>
      <c r="AF8" s="495"/>
      <c r="AG8" s="359"/>
      <c r="AH8" s="495"/>
      <c r="AI8" s="359"/>
      <c r="AJ8" s="495"/>
      <c r="AK8" s="359"/>
      <c r="AL8" s="499"/>
    </row>
    <row r="9" spans="1:38" ht="22.5" customHeight="1">
      <c r="A9" s="24">
        <v>7</v>
      </c>
      <c r="B9" s="81"/>
      <c r="C9" s="386"/>
      <c r="D9" s="358"/>
      <c r="E9" s="358"/>
      <c r="F9" s="359"/>
      <c r="G9" s="163"/>
      <c r="H9" s="163"/>
      <c r="I9" s="163"/>
      <c r="J9" s="163"/>
      <c r="K9" s="163"/>
      <c r="L9" s="496"/>
      <c r="M9" s="358"/>
      <c r="N9" s="358"/>
      <c r="O9" s="358"/>
      <c r="P9" s="358"/>
      <c r="Q9" s="358"/>
      <c r="R9" s="358"/>
      <c r="S9" s="358"/>
      <c r="T9" s="358"/>
      <c r="U9" s="358"/>
      <c r="V9" s="359"/>
      <c r="W9" s="164"/>
      <c r="X9" s="165"/>
      <c r="Y9" s="165"/>
      <c r="Z9" s="165"/>
      <c r="AA9" s="166"/>
      <c r="AB9" s="166"/>
      <c r="AC9" s="166"/>
      <c r="AD9" s="166"/>
      <c r="AE9" s="166"/>
      <c r="AF9" s="495"/>
      <c r="AG9" s="359"/>
      <c r="AH9" s="495"/>
      <c r="AI9" s="359"/>
      <c r="AJ9" s="495"/>
      <c r="AK9" s="359"/>
      <c r="AL9" s="499"/>
    </row>
    <row r="10" spans="1:38" ht="22.5" customHeight="1">
      <c r="A10" s="24">
        <v>8</v>
      </c>
      <c r="B10" s="81"/>
      <c r="C10" s="386"/>
      <c r="D10" s="358"/>
      <c r="E10" s="358"/>
      <c r="F10" s="359"/>
      <c r="G10" s="163"/>
      <c r="H10" s="163"/>
      <c r="I10" s="163"/>
      <c r="J10" s="163"/>
      <c r="K10" s="163"/>
      <c r="L10" s="496"/>
      <c r="M10" s="358"/>
      <c r="N10" s="358"/>
      <c r="O10" s="358"/>
      <c r="P10" s="358"/>
      <c r="Q10" s="358"/>
      <c r="R10" s="358"/>
      <c r="S10" s="358"/>
      <c r="T10" s="358"/>
      <c r="U10" s="358"/>
      <c r="V10" s="359"/>
      <c r="W10" s="164"/>
      <c r="X10" s="165"/>
      <c r="Y10" s="165"/>
      <c r="Z10" s="165"/>
      <c r="AA10" s="166"/>
      <c r="AB10" s="166"/>
      <c r="AC10" s="166"/>
      <c r="AD10" s="166"/>
      <c r="AE10" s="166"/>
      <c r="AF10" s="495"/>
      <c r="AG10" s="359"/>
      <c r="AH10" s="495"/>
      <c r="AI10" s="359"/>
      <c r="AJ10" s="495"/>
      <c r="AK10" s="359"/>
      <c r="AL10" s="499"/>
    </row>
    <row r="11" spans="1:38" ht="22.5" customHeight="1">
      <c r="A11" s="24">
        <v>9</v>
      </c>
      <c r="B11" s="81"/>
      <c r="C11" s="386"/>
      <c r="D11" s="358"/>
      <c r="E11" s="358"/>
      <c r="F11" s="359"/>
      <c r="G11" s="163"/>
      <c r="H11" s="163"/>
      <c r="I11" s="163"/>
      <c r="J11" s="163"/>
      <c r="K11" s="163"/>
      <c r="L11" s="496"/>
      <c r="M11" s="358"/>
      <c r="N11" s="358"/>
      <c r="O11" s="358"/>
      <c r="P11" s="358"/>
      <c r="Q11" s="358"/>
      <c r="R11" s="358"/>
      <c r="S11" s="358"/>
      <c r="T11" s="358"/>
      <c r="U11" s="358"/>
      <c r="V11" s="359"/>
      <c r="W11" s="164"/>
      <c r="X11" s="165"/>
      <c r="Y11" s="165"/>
      <c r="Z11" s="165"/>
      <c r="AA11" s="166"/>
      <c r="AB11" s="166"/>
      <c r="AC11" s="166"/>
      <c r="AD11" s="166"/>
      <c r="AE11" s="166"/>
      <c r="AF11" s="495"/>
      <c r="AG11" s="359"/>
      <c r="AH11" s="495"/>
      <c r="AI11" s="359"/>
      <c r="AJ11" s="495"/>
      <c r="AK11" s="359"/>
      <c r="AL11" s="499"/>
    </row>
    <row r="12" spans="1:38" ht="22.5" customHeight="1">
      <c r="A12" s="24">
        <v>10</v>
      </c>
      <c r="B12" s="81"/>
      <c r="C12" s="386"/>
      <c r="D12" s="358"/>
      <c r="E12" s="358"/>
      <c r="F12" s="359"/>
      <c r="G12" s="163"/>
      <c r="H12" s="163"/>
      <c r="I12" s="163"/>
      <c r="J12" s="163"/>
      <c r="K12" s="163"/>
      <c r="L12" s="496"/>
      <c r="M12" s="358"/>
      <c r="N12" s="358"/>
      <c r="O12" s="358"/>
      <c r="P12" s="358"/>
      <c r="Q12" s="358"/>
      <c r="R12" s="358"/>
      <c r="S12" s="358"/>
      <c r="T12" s="358"/>
      <c r="U12" s="358"/>
      <c r="V12" s="359"/>
      <c r="W12" s="164"/>
      <c r="X12" s="165"/>
      <c r="Y12" s="165"/>
      <c r="Z12" s="165"/>
      <c r="AA12" s="166"/>
      <c r="AB12" s="166"/>
      <c r="AC12" s="166"/>
      <c r="AD12" s="166"/>
      <c r="AE12" s="166"/>
      <c r="AF12" s="495"/>
      <c r="AG12" s="359"/>
      <c r="AH12" s="495"/>
      <c r="AI12" s="359"/>
      <c r="AJ12" s="495"/>
      <c r="AK12" s="359"/>
      <c r="AL12" s="499"/>
    </row>
    <row r="13" spans="1:38" ht="22.5" customHeight="1">
      <c r="A13" s="24">
        <v>11</v>
      </c>
      <c r="B13" s="81"/>
      <c r="C13" s="386"/>
      <c r="D13" s="358"/>
      <c r="E13" s="358"/>
      <c r="F13" s="359"/>
      <c r="G13" s="163"/>
      <c r="H13" s="163"/>
      <c r="I13" s="163"/>
      <c r="J13" s="163"/>
      <c r="K13" s="163"/>
      <c r="L13" s="496"/>
      <c r="M13" s="358"/>
      <c r="N13" s="358"/>
      <c r="O13" s="358"/>
      <c r="P13" s="358"/>
      <c r="Q13" s="358"/>
      <c r="R13" s="358"/>
      <c r="S13" s="358"/>
      <c r="T13" s="358"/>
      <c r="U13" s="358"/>
      <c r="V13" s="359"/>
      <c r="W13" s="164"/>
      <c r="X13" s="165"/>
      <c r="Y13" s="165"/>
      <c r="Z13" s="165"/>
      <c r="AA13" s="166"/>
      <c r="AB13" s="166"/>
      <c r="AC13" s="166"/>
      <c r="AD13" s="166"/>
      <c r="AE13" s="166"/>
      <c r="AF13" s="495"/>
      <c r="AG13" s="359"/>
      <c r="AH13" s="495"/>
      <c r="AI13" s="359"/>
      <c r="AJ13" s="495"/>
      <c r="AK13" s="359"/>
      <c r="AL13" s="499"/>
    </row>
    <row r="14" spans="1:38" ht="22.5" customHeight="1">
      <c r="A14" s="24">
        <v>12</v>
      </c>
      <c r="B14" s="81"/>
      <c r="C14" s="386"/>
      <c r="D14" s="358"/>
      <c r="E14" s="358"/>
      <c r="F14" s="359"/>
      <c r="G14" s="163"/>
      <c r="H14" s="163"/>
      <c r="I14" s="163"/>
      <c r="J14" s="163"/>
      <c r="K14" s="163"/>
      <c r="L14" s="496"/>
      <c r="M14" s="358"/>
      <c r="N14" s="358"/>
      <c r="O14" s="358"/>
      <c r="P14" s="358"/>
      <c r="Q14" s="358"/>
      <c r="R14" s="358"/>
      <c r="S14" s="358"/>
      <c r="T14" s="358"/>
      <c r="U14" s="358"/>
      <c r="V14" s="359"/>
      <c r="W14" s="164"/>
      <c r="X14" s="165"/>
      <c r="Y14" s="165"/>
      <c r="Z14" s="165"/>
      <c r="AA14" s="166"/>
      <c r="AB14" s="166"/>
      <c r="AC14" s="166"/>
      <c r="AD14" s="166"/>
      <c r="AE14" s="166"/>
      <c r="AF14" s="495"/>
      <c r="AG14" s="359"/>
      <c r="AH14" s="495"/>
      <c r="AI14" s="359"/>
      <c r="AJ14" s="495"/>
      <c r="AK14" s="359"/>
      <c r="AL14" s="499"/>
    </row>
    <row r="15" spans="1:38" ht="22.5" customHeight="1">
      <c r="A15" s="24">
        <v>13</v>
      </c>
      <c r="B15" s="81"/>
      <c r="C15" s="386"/>
      <c r="D15" s="358"/>
      <c r="E15" s="358"/>
      <c r="F15" s="359"/>
      <c r="G15" s="163"/>
      <c r="H15" s="163"/>
      <c r="I15" s="163"/>
      <c r="J15" s="163"/>
      <c r="K15" s="163"/>
      <c r="L15" s="496"/>
      <c r="M15" s="358"/>
      <c r="N15" s="358"/>
      <c r="O15" s="358"/>
      <c r="P15" s="358"/>
      <c r="Q15" s="358"/>
      <c r="R15" s="358"/>
      <c r="S15" s="358"/>
      <c r="T15" s="358"/>
      <c r="U15" s="358"/>
      <c r="V15" s="359"/>
      <c r="W15" s="164"/>
      <c r="X15" s="165"/>
      <c r="Y15" s="165"/>
      <c r="Z15" s="165"/>
      <c r="AA15" s="166"/>
      <c r="AB15" s="166"/>
      <c r="AC15" s="166"/>
      <c r="AD15" s="166"/>
      <c r="AE15" s="166"/>
      <c r="AF15" s="495"/>
      <c r="AG15" s="359"/>
      <c r="AH15" s="495"/>
      <c r="AI15" s="359"/>
      <c r="AJ15" s="495"/>
      <c r="AK15" s="359"/>
      <c r="AL15" s="499"/>
    </row>
    <row r="16" spans="1:38" ht="22.5" customHeight="1">
      <c r="A16" s="24">
        <v>14</v>
      </c>
      <c r="B16" s="81"/>
      <c r="C16" s="386"/>
      <c r="D16" s="358"/>
      <c r="E16" s="358"/>
      <c r="F16" s="359"/>
      <c r="G16" s="163"/>
      <c r="H16" s="163"/>
      <c r="I16" s="163"/>
      <c r="J16" s="163"/>
      <c r="K16" s="163"/>
      <c r="L16" s="496"/>
      <c r="M16" s="358"/>
      <c r="N16" s="358"/>
      <c r="O16" s="358"/>
      <c r="P16" s="358"/>
      <c r="Q16" s="358"/>
      <c r="R16" s="358"/>
      <c r="S16" s="358"/>
      <c r="T16" s="358"/>
      <c r="U16" s="358"/>
      <c r="V16" s="359"/>
      <c r="W16" s="164"/>
      <c r="X16" s="165"/>
      <c r="Y16" s="165"/>
      <c r="Z16" s="165"/>
      <c r="AA16" s="166"/>
      <c r="AB16" s="166"/>
      <c r="AC16" s="166"/>
      <c r="AD16" s="166"/>
      <c r="AE16" s="166"/>
      <c r="AF16" s="495"/>
      <c r="AG16" s="359"/>
      <c r="AH16" s="495"/>
      <c r="AI16" s="359"/>
      <c r="AJ16" s="495"/>
      <c r="AK16" s="359"/>
      <c r="AL16" s="499"/>
    </row>
    <row r="17" spans="1:38" ht="22.5" customHeight="1">
      <c r="A17" s="24">
        <v>15</v>
      </c>
      <c r="B17" s="81"/>
      <c r="C17" s="386"/>
      <c r="D17" s="358"/>
      <c r="E17" s="358"/>
      <c r="F17" s="359"/>
      <c r="G17" s="163"/>
      <c r="H17" s="163"/>
      <c r="I17" s="163"/>
      <c r="J17" s="163"/>
      <c r="K17" s="163"/>
      <c r="L17" s="496"/>
      <c r="M17" s="358"/>
      <c r="N17" s="358"/>
      <c r="O17" s="358"/>
      <c r="P17" s="358"/>
      <c r="Q17" s="358"/>
      <c r="R17" s="358"/>
      <c r="S17" s="358"/>
      <c r="T17" s="358"/>
      <c r="U17" s="358"/>
      <c r="V17" s="359"/>
      <c r="W17" s="164"/>
      <c r="X17" s="165"/>
      <c r="Y17" s="165"/>
      <c r="Z17" s="165"/>
      <c r="AA17" s="166"/>
      <c r="AB17" s="166"/>
      <c r="AC17" s="166"/>
      <c r="AD17" s="166"/>
      <c r="AE17" s="166"/>
      <c r="AF17" s="495"/>
      <c r="AG17" s="359"/>
      <c r="AH17" s="495"/>
      <c r="AI17" s="359"/>
      <c r="AJ17" s="495"/>
      <c r="AK17" s="359"/>
      <c r="AL17" s="499"/>
    </row>
    <row r="18" spans="1:38" ht="22.5" customHeight="1">
      <c r="A18" s="24">
        <v>16</v>
      </c>
      <c r="B18" s="81"/>
      <c r="C18" s="386"/>
      <c r="D18" s="358"/>
      <c r="E18" s="358"/>
      <c r="F18" s="359"/>
      <c r="G18" s="163">
        <f t="shared" ref="G18:H18" si="0">IFERROR(#REF!,0)</f>
        <v>0</v>
      </c>
      <c r="H18" s="163">
        <f t="shared" si="0"/>
        <v>0</v>
      </c>
      <c r="I18" s="163">
        <f t="shared" ref="I18:K18" si="1">IFERROR(#REF!&amp;"+",0)</f>
        <v>0</v>
      </c>
      <c r="J18" s="163">
        <f t="shared" si="1"/>
        <v>0</v>
      </c>
      <c r="K18" s="163">
        <f t="shared" si="1"/>
        <v>0</v>
      </c>
      <c r="L18" s="496" t="str">
        <f>IFERROR((IF(#REF!="YES",(VLOOKUP(#REF!&amp;C18,Teams!D:M,7,0)&amp;#REF!),#REF!)),"")</f>
        <v/>
      </c>
      <c r="M18" s="358"/>
      <c r="N18" s="358"/>
      <c r="O18" s="358"/>
      <c r="P18" s="358"/>
      <c r="Q18" s="358"/>
      <c r="R18" s="358"/>
      <c r="S18" s="358"/>
      <c r="T18" s="358"/>
      <c r="U18" s="358"/>
      <c r="V18" s="359"/>
      <c r="W18" s="164"/>
      <c r="X18" s="165"/>
      <c r="Y18" s="165"/>
      <c r="Z18" s="165"/>
      <c r="AA18" s="166"/>
      <c r="AB18" s="166"/>
      <c r="AC18" s="166"/>
      <c r="AD18" s="166"/>
      <c r="AE18" s="166"/>
      <c r="AF18" s="495"/>
      <c r="AG18" s="359"/>
      <c r="AH18" s="495"/>
      <c r="AI18" s="359"/>
      <c r="AJ18" s="495"/>
      <c r="AK18" s="359"/>
      <c r="AL18" s="499"/>
    </row>
    <row r="19" spans="1:38" ht="22.5" customHeight="1">
      <c r="A19" s="24">
        <v>17</v>
      </c>
      <c r="B19" s="81"/>
      <c r="C19" s="386"/>
      <c r="D19" s="358"/>
      <c r="E19" s="358"/>
      <c r="F19" s="359"/>
      <c r="G19" s="163">
        <f t="shared" ref="G19:H19" si="2">IFERROR(#REF!,0)</f>
        <v>0</v>
      </c>
      <c r="H19" s="163">
        <f t="shared" si="2"/>
        <v>0</v>
      </c>
      <c r="I19" s="163">
        <f t="shared" ref="I19:K19" si="3">IFERROR(#REF!&amp;"+",0)</f>
        <v>0</v>
      </c>
      <c r="J19" s="163">
        <f t="shared" si="3"/>
        <v>0</v>
      </c>
      <c r="K19" s="163">
        <f t="shared" si="3"/>
        <v>0</v>
      </c>
      <c r="L19" s="496" t="str">
        <f>IFERROR((IF(#REF!="YES",(VLOOKUP(#REF!&amp;C19,Teams!D:M,7,0)&amp;#REF!),#REF!)),"")</f>
        <v/>
      </c>
      <c r="M19" s="358"/>
      <c r="N19" s="358"/>
      <c r="O19" s="358"/>
      <c r="P19" s="358"/>
      <c r="Q19" s="358"/>
      <c r="R19" s="358"/>
      <c r="S19" s="358"/>
      <c r="T19" s="358"/>
      <c r="U19" s="358"/>
      <c r="V19" s="359"/>
      <c r="W19" s="164"/>
      <c r="X19" s="165"/>
      <c r="Y19" s="165"/>
      <c r="Z19" s="165"/>
      <c r="AA19" s="166"/>
      <c r="AB19" s="166"/>
      <c r="AC19" s="166"/>
      <c r="AD19" s="166"/>
      <c r="AE19" s="166"/>
      <c r="AF19" s="495"/>
      <c r="AG19" s="359"/>
      <c r="AH19" s="495"/>
      <c r="AI19" s="359"/>
      <c r="AJ19" s="495"/>
      <c r="AK19" s="359"/>
      <c r="AL19" s="499"/>
    </row>
    <row r="20" spans="1:38" ht="22.5" customHeight="1">
      <c r="A20" s="24">
        <v>18</v>
      </c>
      <c r="B20" s="81"/>
      <c r="C20" s="386"/>
      <c r="D20" s="358"/>
      <c r="E20" s="358"/>
      <c r="F20" s="359"/>
      <c r="G20" s="163">
        <f t="shared" ref="G20:H20" si="4">IFERROR(#REF!,0)</f>
        <v>0</v>
      </c>
      <c r="H20" s="163">
        <f t="shared" si="4"/>
        <v>0</v>
      </c>
      <c r="I20" s="163">
        <f t="shared" ref="I20:K20" si="5">IFERROR(#REF!&amp;"+",0)</f>
        <v>0</v>
      </c>
      <c r="J20" s="163">
        <f t="shared" si="5"/>
        <v>0</v>
      </c>
      <c r="K20" s="163">
        <f t="shared" si="5"/>
        <v>0</v>
      </c>
      <c r="L20" s="496" t="str">
        <f>IFERROR((IF(#REF!="YES",(VLOOKUP(#REF!&amp;C20,Teams!D:M,7,0)&amp;#REF!),#REF!)),"")</f>
        <v/>
      </c>
      <c r="M20" s="358"/>
      <c r="N20" s="358"/>
      <c r="O20" s="358"/>
      <c r="P20" s="358"/>
      <c r="Q20" s="358"/>
      <c r="R20" s="358"/>
      <c r="S20" s="358"/>
      <c r="T20" s="358"/>
      <c r="U20" s="358"/>
      <c r="V20" s="359"/>
      <c r="W20" s="164"/>
      <c r="X20" s="165"/>
      <c r="Y20" s="165"/>
      <c r="Z20" s="165"/>
      <c r="AA20" s="166"/>
      <c r="AB20" s="166"/>
      <c r="AC20" s="166"/>
      <c r="AD20" s="166"/>
      <c r="AE20" s="166"/>
      <c r="AF20" s="495"/>
      <c r="AG20" s="359"/>
      <c r="AH20" s="495"/>
      <c r="AI20" s="359"/>
      <c r="AJ20" s="495"/>
      <c r="AK20" s="359"/>
      <c r="AL20" s="499"/>
    </row>
    <row r="21" spans="1:38" ht="22.5" customHeight="1">
      <c r="A21" s="24">
        <v>19</v>
      </c>
      <c r="B21" s="81"/>
      <c r="C21" s="386"/>
      <c r="D21" s="358"/>
      <c r="E21" s="358"/>
      <c r="F21" s="359"/>
      <c r="G21" s="163">
        <f t="shared" ref="G21:H21" si="6">IFERROR(#REF!,0)</f>
        <v>0</v>
      </c>
      <c r="H21" s="163">
        <f t="shared" si="6"/>
        <v>0</v>
      </c>
      <c r="I21" s="163">
        <f t="shared" ref="I21:K21" si="7">IFERROR(#REF!&amp;"+",0)</f>
        <v>0</v>
      </c>
      <c r="J21" s="163">
        <f t="shared" si="7"/>
        <v>0</v>
      </c>
      <c r="K21" s="163">
        <f t="shared" si="7"/>
        <v>0</v>
      </c>
      <c r="L21" s="496" t="str">
        <f>IFERROR((IF(#REF!="YES",(VLOOKUP(#REF!&amp;C21,Teams!D:M,7,0)&amp;#REF!),#REF!)),"")</f>
        <v/>
      </c>
      <c r="M21" s="358"/>
      <c r="N21" s="358"/>
      <c r="O21" s="358"/>
      <c r="P21" s="358"/>
      <c r="Q21" s="358"/>
      <c r="R21" s="358"/>
      <c r="S21" s="358"/>
      <c r="T21" s="358"/>
      <c r="U21" s="358"/>
      <c r="V21" s="359"/>
      <c r="W21" s="164"/>
      <c r="X21" s="165"/>
      <c r="Y21" s="165"/>
      <c r="Z21" s="165"/>
      <c r="AA21" s="166"/>
      <c r="AB21" s="166"/>
      <c r="AC21" s="166"/>
      <c r="AD21" s="166"/>
      <c r="AE21" s="166"/>
      <c r="AF21" s="495"/>
      <c r="AG21" s="359"/>
      <c r="AH21" s="495"/>
      <c r="AI21" s="359"/>
      <c r="AJ21" s="495"/>
      <c r="AK21" s="359"/>
      <c r="AL21" s="499"/>
    </row>
    <row r="22" spans="1:38" ht="22.5" customHeight="1">
      <c r="A22" s="24">
        <v>20</v>
      </c>
      <c r="B22" s="81"/>
      <c r="C22" s="386"/>
      <c r="D22" s="358"/>
      <c r="E22" s="358"/>
      <c r="F22" s="359"/>
      <c r="G22" s="163">
        <f t="shared" ref="G22:H22" si="8">IFERROR(#REF!,0)</f>
        <v>0</v>
      </c>
      <c r="H22" s="163">
        <f t="shared" si="8"/>
        <v>0</v>
      </c>
      <c r="I22" s="163">
        <f t="shared" ref="I22:K22" si="9">IFERROR(#REF!&amp;"+",0)</f>
        <v>0</v>
      </c>
      <c r="J22" s="163">
        <f t="shared" si="9"/>
        <v>0</v>
      </c>
      <c r="K22" s="163">
        <f t="shared" si="9"/>
        <v>0</v>
      </c>
      <c r="L22" s="496" t="str">
        <f>IFERROR((IF(#REF!="YES",(VLOOKUP(#REF!&amp;C22,Teams!D:M,7,0)&amp;#REF!),#REF!)),"")</f>
        <v/>
      </c>
      <c r="M22" s="358"/>
      <c r="N22" s="358"/>
      <c r="O22" s="358"/>
      <c r="P22" s="358"/>
      <c r="Q22" s="358"/>
      <c r="R22" s="358"/>
      <c r="S22" s="358"/>
      <c r="T22" s="358"/>
      <c r="U22" s="358"/>
      <c r="V22" s="359"/>
      <c r="W22" s="164"/>
      <c r="X22" s="165"/>
      <c r="Y22" s="165"/>
      <c r="Z22" s="165"/>
      <c r="AA22" s="166"/>
      <c r="AB22" s="166"/>
      <c r="AC22" s="166"/>
      <c r="AD22" s="166"/>
      <c r="AE22" s="166"/>
      <c r="AF22" s="495"/>
      <c r="AG22" s="359"/>
      <c r="AH22" s="495"/>
      <c r="AI22" s="359"/>
      <c r="AJ22" s="495"/>
      <c r="AK22" s="359"/>
      <c r="AL22" s="499"/>
    </row>
    <row r="23" spans="1:38" ht="22.5" customHeight="1">
      <c r="A23" s="24">
        <v>21</v>
      </c>
      <c r="B23" s="81"/>
      <c r="C23" s="386"/>
      <c r="D23" s="358"/>
      <c r="E23" s="358"/>
      <c r="F23" s="359"/>
      <c r="G23" s="163">
        <f t="shared" ref="G23:H23" si="10">IFERROR(#REF!,0)</f>
        <v>0</v>
      </c>
      <c r="H23" s="163">
        <f t="shared" si="10"/>
        <v>0</v>
      </c>
      <c r="I23" s="163">
        <f t="shared" ref="I23:K23" si="11">IFERROR(#REF!&amp;"+",0)</f>
        <v>0</v>
      </c>
      <c r="J23" s="163">
        <f t="shared" si="11"/>
        <v>0</v>
      </c>
      <c r="K23" s="163">
        <f t="shared" si="11"/>
        <v>0</v>
      </c>
      <c r="L23" s="496" t="str">
        <f>IFERROR((IF(#REF!="YES",(VLOOKUP(#REF!&amp;C23,Teams!D:M,7,0)&amp;#REF!),#REF!)),"")</f>
        <v/>
      </c>
      <c r="M23" s="358"/>
      <c r="N23" s="358"/>
      <c r="O23" s="358"/>
      <c r="P23" s="358"/>
      <c r="Q23" s="358"/>
      <c r="R23" s="358"/>
      <c r="S23" s="358"/>
      <c r="T23" s="358"/>
      <c r="U23" s="358"/>
      <c r="V23" s="359"/>
      <c r="W23" s="164"/>
      <c r="X23" s="165"/>
      <c r="Y23" s="165"/>
      <c r="Z23" s="165"/>
      <c r="AA23" s="166"/>
      <c r="AB23" s="166"/>
      <c r="AC23" s="166"/>
      <c r="AD23" s="166"/>
      <c r="AE23" s="166"/>
      <c r="AF23" s="495"/>
      <c r="AG23" s="359"/>
      <c r="AH23" s="495"/>
      <c r="AI23" s="359"/>
      <c r="AJ23" s="495"/>
      <c r="AK23" s="359"/>
      <c r="AL23" s="499"/>
    </row>
    <row r="24" spans="1:38" ht="22.5" customHeight="1">
      <c r="A24" s="24">
        <v>22</v>
      </c>
      <c r="B24" s="81"/>
      <c r="C24" s="386"/>
      <c r="D24" s="358"/>
      <c r="E24" s="358"/>
      <c r="F24" s="359"/>
      <c r="G24" s="163">
        <f t="shared" ref="G24:H24" si="12">IFERROR(#REF!,0)</f>
        <v>0</v>
      </c>
      <c r="H24" s="163">
        <f t="shared" si="12"/>
        <v>0</v>
      </c>
      <c r="I24" s="163">
        <f t="shared" ref="I24:K24" si="13">IFERROR(#REF!&amp;"+",0)</f>
        <v>0</v>
      </c>
      <c r="J24" s="163">
        <f t="shared" si="13"/>
        <v>0</v>
      </c>
      <c r="K24" s="163">
        <f t="shared" si="13"/>
        <v>0</v>
      </c>
      <c r="L24" s="496" t="str">
        <f>IFERROR((IF(#REF!="YES",(VLOOKUP(#REF!&amp;C24,Teams!D:M,7,0)&amp;#REF!),#REF!)),"")</f>
        <v/>
      </c>
      <c r="M24" s="358"/>
      <c r="N24" s="358"/>
      <c r="O24" s="358"/>
      <c r="P24" s="358"/>
      <c r="Q24" s="358"/>
      <c r="R24" s="358"/>
      <c r="S24" s="358"/>
      <c r="T24" s="358"/>
      <c r="U24" s="358"/>
      <c r="V24" s="359"/>
      <c r="W24" s="164"/>
      <c r="X24" s="165"/>
      <c r="Y24" s="165"/>
      <c r="Z24" s="165"/>
      <c r="AA24" s="166"/>
      <c r="AB24" s="166"/>
      <c r="AC24" s="166"/>
      <c r="AD24" s="166"/>
      <c r="AE24" s="166"/>
      <c r="AF24" s="495"/>
      <c r="AG24" s="359"/>
      <c r="AH24" s="495"/>
      <c r="AI24" s="359"/>
      <c r="AJ24" s="495"/>
      <c r="AK24" s="359"/>
      <c r="AL24" s="499"/>
    </row>
    <row r="25" spans="1:38" ht="22.5" customHeight="1">
      <c r="A25" s="24">
        <v>23</v>
      </c>
      <c r="B25" s="81"/>
      <c r="C25" s="386"/>
      <c r="D25" s="358"/>
      <c r="E25" s="358"/>
      <c r="F25" s="359"/>
      <c r="G25" s="163">
        <f t="shared" ref="G25:H25" si="14">IFERROR(#REF!,0)</f>
        <v>0</v>
      </c>
      <c r="H25" s="163">
        <f t="shared" si="14"/>
        <v>0</v>
      </c>
      <c r="I25" s="163">
        <f t="shared" ref="I25:K25" si="15">IFERROR(#REF!&amp;"+",0)</f>
        <v>0</v>
      </c>
      <c r="J25" s="163">
        <f t="shared" si="15"/>
        <v>0</v>
      </c>
      <c r="K25" s="163">
        <f t="shared" si="15"/>
        <v>0</v>
      </c>
      <c r="L25" s="496" t="str">
        <f>IFERROR((IF(#REF!="YES",(VLOOKUP(#REF!&amp;C25,Teams!D:M,7,0)&amp;#REF!),#REF!)),"")</f>
        <v/>
      </c>
      <c r="M25" s="358"/>
      <c r="N25" s="358"/>
      <c r="O25" s="358"/>
      <c r="P25" s="358"/>
      <c r="Q25" s="358"/>
      <c r="R25" s="358"/>
      <c r="S25" s="358"/>
      <c r="T25" s="358"/>
      <c r="U25" s="358"/>
      <c r="V25" s="359"/>
      <c r="W25" s="164"/>
      <c r="X25" s="165"/>
      <c r="Y25" s="165"/>
      <c r="Z25" s="165"/>
      <c r="AA25" s="166"/>
      <c r="AB25" s="166"/>
      <c r="AC25" s="166"/>
      <c r="AD25" s="166"/>
      <c r="AE25" s="166"/>
      <c r="AF25" s="495"/>
      <c r="AG25" s="359"/>
      <c r="AH25" s="495"/>
      <c r="AI25" s="359"/>
      <c r="AJ25" s="495"/>
      <c r="AK25" s="359"/>
      <c r="AL25" s="499"/>
    </row>
    <row r="26" spans="1:38" ht="22.5" customHeight="1">
      <c r="A26" s="24">
        <v>24</v>
      </c>
      <c r="B26" s="81"/>
      <c r="C26" s="386"/>
      <c r="D26" s="358"/>
      <c r="E26" s="358"/>
      <c r="F26" s="359"/>
      <c r="G26" s="163">
        <f t="shared" ref="G26:H26" si="16">IFERROR(#REF!,0)</f>
        <v>0</v>
      </c>
      <c r="H26" s="163">
        <f t="shared" si="16"/>
        <v>0</v>
      </c>
      <c r="I26" s="163">
        <f t="shared" ref="I26:K26" si="17">IFERROR(#REF!&amp;"+",0)</f>
        <v>0</v>
      </c>
      <c r="J26" s="163">
        <f t="shared" si="17"/>
        <v>0</v>
      </c>
      <c r="K26" s="163">
        <f t="shared" si="17"/>
        <v>0</v>
      </c>
      <c r="L26" s="496" t="str">
        <f>IFERROR((IF(#REF!="YES",(VLOOKUP(#REF!&amp;C26,Teams!D:M,7,0)&amp;#REF!),#REF!)),"")</f>
        <v/>
      </c>
      <c r="M26" s="358"/>
      <c r="N26" s="358"/>
      <c r="O26" s="358"/>
      <c r="P26" s="358"/>
      <c r="Q26" s="358"/>
      <c r="R26" s="358"/>
      <c r="S26" s="358"/>
      <c r="T26" s="358"/>
      <c r="U26" s="358"/>
      <c r="V26" s="359"/>
      <c r="W26" s="164"/>
      <c r="X26" s="165"/>
      <c r="Y26" s="165"/>
      <c r="Z26" s="165"/>
      <c r="AA26" s="166"/>
      <c r="AB26" s="166"/>
      <c r="AC26" s="166"/>
      <c r="AD26" s="166"/>
      <c r="AE26" s="166"/>
      <c r="AF26" s="495"/>
      <c r="AG26" s="359"/>
      <c r="AH26" s="495"/>
      <c r="AI26" s="359"/>
      <c r="AJ26" s="495"/>
      <c r="AK26" s="359"/>
      <c r="AL26" s="499"/>
    </row>
    <row r="27" spans="1:38" ht="22.5" customHeight="1">
      <c r="A27" s="24">
        <v>25</v>
      </c>
      <c r="B27" s="81"/>
      <c r="C27" s="386"/>
      <c r="D27" s="358"/>
      <c r="E27" s="358"/>
      <c r="F27" s="359"/>
      <c r="G27" s="163">
        <f t="shared" ref="G27:H27" si="18">IFERROR(#REF!,0)</f>
        <v>0</v>
      </c>
      <c r="H27" s="163">
        <f t="shared" si="18"/>
        <v>0</v>
      </c>
      <c r="I27" s="163">
        <f t="shared" ref="I27:K27" si="19">IFERROR(#REF!&amp;"+",0)</f>
        <v>0</v>
      </c>
      <c r="J27" s="163">
        <f t="shared" si="19"/>
        <v>0</v>
      </c>
      <c r="K27" s="163">
        <f t="shared" si="19"/>
        <v>0</v>
      </c>
      <c r="L27" s="496" t="str">
        <f>IFERROR((IF(#REF!="YES",(VLOOKUP(#REF!&amp;C27,Teams!D:M,7,0)&amp;#REF!),#REF!)),"")</f>
        <v/>
      </c>
      <c r="M27" s="358"/>
      <c r="N27" s="358"/>
      <c r="O27" s="358"/>
      <c r="P27" s="358"/>
      <c r="Q27" s="358"/>
      <c r="R27" s="358"/>
      <c r="S27" s="358"/>
      <c r="T27" s="358"/>
      <c r="U27" s="358"/>
      <c r="V27" s="359"/>
      <c r="W27" s="164"/>
      <c r="X27" s="165"/>
      <c r="Y27" s="165"/>
      <c r="Z27" s="165"/>
      <c r="AA27" s="166"/>
      <c r="AB27" s="166"/>
      <c r="AC27" s="166"/>
      <c r="AD27" s="166"/>
      <c r="AE27" s="166"/>
      <c r="AF27" s="495"/>
      <c r="AG27" s="359"/>
      <c r="AH27" s="495"/>
      <c r="AI27" s="359"/>
      <c r="AJ27" s="495"/>
      <c r="AK27" s="359"/>
      <c r="AL27" s="499"/>
    </row>
    <row r="28" spans="1:38" ht="22.5" customHeight="1">
      <c r="A28" s="24">
        <v>26</v>
      </c>
      <c r="B28" s="81"/>
      <c r="C28" s="386"/>
      <c r="D28" s="358"/>
      <c r="E28" s="358"/>
      <c r="F28" s="359"/>
      <c r="G28" s="163">
        <f t="shared" ref="G28:H28" si="20">IFERROR(#REF!,0)</f>
        <v>0</v>
      </c>
      <c r="H28" s="163">
        <f t="shared" si="20"/>
        <v>0</v>
      </c>
      <c r="I28" s="163">
        <f t="shared" ref="I28:K28" si="21">IFERROR(#REF!&amp;"+",0)</f>
        <v>0</v>
      </c>
      <c r="J28" s="163">
        <f t="shared" si="21"/>
        <v>0</v>
      </c>
      <c r="K28" s="163">
        <f t="shared" si="21"/>
        <v>0</v>
      </c>
      <c r="L28" s="496" t="str">
        <f>IFERROR((IF(#REF!="YES",(VLOOKUP(#REF!&amp;C28,Teams!D:M,7,0)&amp;#REF!),#REF!)),"")</f>
        <v/>
      </c>
      <c r="M28" s="358"/>
      <c r="N28" s="358"/>
      <c r="O28" s="358"/>
      <c r="P28" s="358"/>
      <c r="Q28" s="358"/>
      <c r="R28" s="358"/>
      <c r="S28" s="358"/>
      <c r="T28" s="358"/>
      <c r="U28" s="358"/>
      <c r="V28" s="359"/>
      <c r="W28" s="164"/>
      <c r="X28" s="165"/>
      <c r="Y28" s="165"/>
      <c r="Z28" s="165"/>
      <c r="AA28" s="166"/>
      <c r="AB28" s="166"/>
      <c r="AC28" s="166"/>
      <c r="AD28" s="166"/>
      <c r="AE28" s="166"/>
      <c r="AF28" s="495"/>
      <c r="AG28" s="359"/>
      <c r="AH28" s="495"/>
      <c r="AI28" s="359"/>
      <c r="AJ28" s="495"/>
      <c r="AK28" s="359"/>
      <c r="AL28" s="499"/>
    </row>
    <row r="29" spans="1:38" ht="22.5" customHeight="1">
      <c r="A29" s="24">
        <v>27</v>
      </c>
      <c r="B29" s="81"/>
      <c r="C29" s="386"/>
      <c r="D29" s="358"/>
      <c r="E29" s="358"/>
      <c r="F29" s="359"/>
      <c r="G29" s="163">
        <f t="shared" ref="G29:H29" si="22">IFERROR(#REF!,0)</f>
        <v>0</v>
      </c>
      <c r="H29" s="163">
        <f t="shared" si="22"/>
        <v>0</v>
      </c>
      <c r="I29" s="163">
        <f t="shared" ref="I29:K29" si="23">IFERROR(#REF!&amp;"+",0)</f>
        <v>0</v>
      </c>
      <c r="J29" s="163">
        <f t="shared" si="23"/>
        <v>0</v>
      </c>
      <c r="K29" s="163">
        <f t="shared" si="23"/>
        <v>0</v>
      </c>
      <c r="L29" s="496" t="str">
        <f>IFERROR((IF(#REF!="YES",(VLOOKUP(#REF!&amp;C29,Teams!D:M,7,0)&amp;#REF!),#REF!)),"")</f>
        <v/>
      </c>
      <c r="M29" s="358"/>
      <c r="N29" s="358"/>
      <c r="O29" s="358"/>
      <c r="P29" s="358"/>
      <c r="Q29" s="358"/>
      <c r="R29" s="358"/>
      <c r="S29" s="358"/>
      <c r="T29" s="358"/>
      <c r="U29" s="358"/>
      <c r="V29" s="359"/>
      <c r="W29" s="164"/>
      <c r="X29" s="165"/>
      <c r="Y29" s="165"/>
      <c r="Z29" s="165"/>
      <c r="AA29" s="166"/>
      <c r="AB29" s="166"/>
      <c r="AC29" s="166"/>
      <c r="AD29" s="166"/>
      <c r="AE29" s="166"/>
      <c r="AF29" s="495"/>
      <c r="AG29" s="359"/>
      <c r="AH29" s="495"/>
      <c r="AI29" s="359"/>
      <c r="AJ29" s="495"/>
      <c r="AK29" s="359"/>
      <c r="AL29" s="499"/>
    </row>
    <row r="30" spans="1:38" ht="22.5" customHeight="1">
      <c r="A30" s="24">
        <v>28</v>
      </c>
      <c r="B30" s="81"/>
      <c r="C30" s="386"/>
      <c r="D30" s="358"/>
      <c r="E30" s="358"/>
      <c r="F30" s="359"/>
      <c r="G30" s="163">
        <f t="shared" ref="G30:H30" si="24">IFERROR(#REF!,0)</f>
        <v>0</v>
      </c>
      <c r="H30" s="163">
        <f t="shared" si="24"/>
        <v>0</v>
      </c>
      <c r="I30" s="163">
        <f t="shared" ref="I30:K30" si="25">IFERROR(#REF!&amp;"+",0)</f>
        <v>0</v>
      </c>
      <c r="J30" s="163">
        <f t="shared" si="25"/>
        <v>0</v>
      </c>
      <c r="K30" s="163">
        <f t="shared" si="25"/>
        <v>0</v>
      </c>
      <c r="L30" s="496" t="str">
        <f>IFERROR((IF(#REF!="YES",(VLOOKUP(#REF!&amp;C30,Teams!D:M,7,0)&amp;#REF!),#REF!)),"")</f>
        <v/>
      </c>
      <c r="M30" s="358"/>
      <c r="N30" s="358"/>
      <c r="O30" s="358"/>
      <c r="P30" s="358"/>
      <c r="Q30" s="358"/>
      <c r="R30" s="358"/>
      <c r="S30" s="358"/>
      <c r="T30" s="358"/>
      <c r="U30" s="358"/>
      <c r="V30" s="359"/>
      <c r="W30" s="164"/>
      <c r="X30" s="165"/>
      <c r="Y30" s="165"/>
      <c r="Z30" s="165"/>
      <c r="AA30" s="166"/>
      <c r="AB30" s="166"/>
      <c r="AC30" s="166"/>
      <c r="AD30" s="166"/>
      <c r="AE30" s="166"/>
      <c r="AF30" s="495"/>
      <c r="AG30" s="359"/>
      <c r="AH30" s="495"/>
      <c r="AI30" s="359"/>
      <c r="AJ30" s="495"/>
      <c r="AK30" s="359"/>
      <c r="AL30" s="499"/>
    </row>
    <row r="31" spans="1:38" ht="22.5" customHeight="1">
      <c r="A31" s="24">
        <v>29</v>
      </c>
      <c r="B31" s="81"/>
      <c r="C31" s="386"/>
      <c r="D31" s="358"/>
      <c r="E31" s="358"/>
      <c r="F31" s="359"/>
      <c r="G31" s="163">
        <f t="shared" ref="G31:H31" si="26">IFERROR(#REF!,0)</f>
        <v>0</v>
      </c>
      <c r="H31" s="163">
        <f t="shared" si="26"/>
        <v>0</v>
      </c>
      <c r="I31" s="163">
        <f t="shared" ref="I31:K31" si="27">IFERROR(#REF!&amp;"+",0)</f>
        <v>0</v>
      </c>
      <c r="J31" s="163">
        <f t="shared" si="27"/>
        <v>0</v>
      </c>
      <c r="K31" s="163">
        <f t="shared" si="27"/>
        <v>0</v>
      </c>
      <c r="L31" s="496" t="str">
        <f>IFERROR((IF(#REF!="YES",(VLOOKUP(#REF!&amp;C31,Teams!D:M,7,0)&amp;#REF!),#REF!)),"")</f>
        <v/>
      </c>
      <c r="M31" s="358"/>
      <c r="N31" s="358"/>
      <c r="O31" s="358"/>
      <c r="P31" s="358"/>
      <c r="Q31" s="358"/>
      <c r="R31" s="358"/>
      <c r="S31" s="358"/>
      <c r="T31" s="358"/>
      <c r="U31" s="358"/>
      <c r="V31" s="359"/>
      <c r="W31" s="164"/>
      <c r="X31" s="165"/>
      <c r="Y31" s="165"/>
      <c r="Z31" s="165"/>
      <c r="AA31" s="166"/>
      <c r="AB31" s="166"/>
      <c r="AC31" s="166"/>
      <c r="AD31" s="166"/>
      <c r="AE31" s="166"/>
      <c r="AF31" s="495"/>
      <c r="AG31" s="359"/>
      <c r="AH31" s="495"/>
      <c r="AI31" s="359"/>
      <c r="AJ31" s="495"/>
      <c r="AK31" s="359"/>
      <c r="AL31" s="499"/>
    </row>
    <row r="32" spans="1:38" ht="22.5" customHeight="1">
      <c r="A32" s="24">
        <v>30</v>
      </c>
      <c r="B32" s="81"/>
      <c r="C32" s="386"/>
      <c r="D32" s="358"/>
      <c r="E32" s="358"/>
      <c r="F32" s="359"/>
      <c r="G32" s="163">
        <f t="shared" ref="G32:H32" si="28">IFERROR(#REF!,0)</f>
        <v>0</v>
      </c>
      <c r="H32" s="163">
        <f t="shared" si="28"/>
        <v>0</v>
      </c>
      <c r="I32" s="163">
        <f t="shared" ref="I32:K32" si="29">IFERROR(#REF!&amp;"+",0)</f>
        <v>0</v>
      </c>
      <c r="J32" s="163">
        <f t="shared" si="29"/>
        <v>0</v>
      </c>
      <c r="K32" s="163">
        <f t="shared" si="29"/>
        <v>0</v>
      </c>
      <c r="L32" s="496" t="str">
        <f>IFERROR((IF(#REF!="YES",(VLOOKUP(#REF!&amp;C32,Teams!D:M,7,0)&amp;#REF!),#REF!)),"")</f>
        <v/>
      </c>
      <c r="M32" s="358"/>
      <c r="N32" s="358"/>
      <c r="O32" s="358"/>
      <c r="P32" s="358"/>
      <c r="Q32" s="358"/>
      <c r="R32" s="358"/>
      <c r="S32" s="358"/>
      <c r="T32" s="358"/>
      <c r="U32" s="358"/>
      <c r="V32" s="359"/>
      <c r="W32" s="164"/>
      <c r="X32" s="165"/>
      <c r="Y32" s="165"/>
      <c r="Z32" s="165"/>
      <c r="AA32" s="166"/>
      <c r="AB32" s="166"/>
      <c r="AC32" s="166"/>
      <c r="AD32" s="166"/>
      <c r="AE32" s="166"/>
      <c r="AF32" s="495"/>
      <c r="AG32" s="359"/>
      <c r="AH32" s="495"/>
      <c r="AI32" s="359"/>
      <c r="AJ32" s="495"/>
      <c r="AK32" s="359"/>
      <c r="AL32" s="500"/>
    </row>
    <row r="33" spans="1:38" ht="15" customHeight="1">
      <c r="A33" s="502"/>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5"/>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23" t="str">
        <f>IF(Roster!$K$25="Italiano","MERCENARIO 1",(IF(Roster!$K$25="Español","MERCENARIO 1",(IF(Roster!$K$25="Français","MERCENAIRE 1","MERCENARY 1")))))</f>
        <v>MERCENARY 1</v>
      </c>
      <c r="B1" s="523"/>
      <c r="C1" s="523"/>
      <c r="D1" s="523"/>
      <c r="E1" s="523"/>
      <c r="F1" s="523"/>
      <c r="G1" s="523"/>
      <c r="H1" s="523"/>
      <c r="I1" s="523"/>
      <c r="J1" s="523"/>
      <c r="K1" s="523"/>
      <c r="L1" s="523"/>
      <c r="M1" s="523"/>
      <c r="N1" s="523"/>
      <c r="O1" s="523"/>
      <c r="P1" s="523"/>
      <c r="Q1" s="523"/>
      <c r="R1" s="523"/>
      <c r="S1" s="523"/>
      <c r="T1" s="521"/>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2" t="str">
        <f>IF(Roster!$K$25="Italiano","ABILITÀ",(IF(Roster!$K$25="Español","HABILIDADES",(IF(Roster!$K$25="Deutsch","FERTIGKEITEN",(IF(Roster!$K$25="Français","COMPÉTENCES","SKILLS")))))))</f>
        <v>SKILLS</v>
      </c>
      <c r="I2" s="513"/>
      <c r="J2" s="513"/>
      <c r="K2" s="513"/>
      <c r="L2" s="513"/>
      <c r="M2" s="513"/>
      <c r="N2" s="513"/>
      <c r="O2" s="513"/>
      <c r="P2" s="513"/>
      <c r="Q2" s="513"/>
      <c r="R2" s="514"/>
      <c r="S2" s="254" t="str">
        <f>IF(Roster!$K$25="Italiano","COSTO",(IF(Roster!$K$25="Español","PRECIO",(IF(Roster!$K$25="Deutsch","WERT",(IF(Roster!$K$25="Français","VALEUR","COST")))))))</f>
        <v>COST</v>
      </c>
      <c r="T2" s="521"/>
      <c r="V2" s="268" t="s">
        <v>261</v>
      </c>
      <c r="W2" s="269" t="s">
        <v>206</v>
      </c>
      <c r="X2" s="270"/>
      <c r="Y2" s="268" t="s">
        <v>1268</v>
      </c>
      <c r="Z2" s="271"/>
      <c r="AA2" s="271"/>
      <c r="AB2" s="269"/>
      <c r="AC2" s="270"/>
      <c r="AD2" s="270"/>
      <c r="AE2" s="270"/>
      <c r="AF2" s="268" t="s">
        <v>1273</v>
      </c>
      <c r="AG2" s="271"/>
      <c r="AH2" s="271"/>
      <c r="AI2" s="269"/>
      <c r="AK2" s="509" t="s">
        <v>1313</v>
      </c>
      <c r="AL2" s="510"/>
      <c r="AM2" s="510"/>
      <c r="AN2" s="510"/>
      <c r="AO2" s="511"/>
      <c r="AP2" s="509" t="s">
        <v>1314</v>
      </c>
      <c r="AQ2" s="510"/>
      <c r="AR2" s="510"/>
      <c r="AS2" s="510"/>
      <c r="AT2" s="511"/>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5" t="str">
        <f>Y3&amp;(IF(Z3&lt;&gt;"",", ",""))&amp;Z3&amp;(IF(AA3&lt;&gt;"",", ",""))&amp;AA3&amp;(IF(AB3&lt;&gt;"",", ",""))&amp;AB3&amp;(IF(AF3&lt;&gt;"",", ",""))&amp;AF3&amp;(IF(AG3&lt;&gt;"",", ",""))&amp;AG3&amp;(IF(AH3&lt;&gt;"",", ",""))&amp;AH3&amp;(IF(AI3&lt;&gt;"",", ",""))&amp;AI3&amp;AK8</f>
        <v/>
      </c>
      <c r="I3" s="516"/>
      <c r="J3" s="516"/>
      <c r="K3" s="516"/>
      <c r="L3" s="516"/>
      <c r="M3" s="516"/>
      <c r="N3" s="516"/>
      <c r="O3" s="516"/>
      <c r="P3" s="516"/>
      <c r="Q3" s="516"/>
      <c r="R3" s="517"/>
      <c r="S3" s="272">
        <f>(VLOOKUP(B3,Y5:AI10,11,FALSE))+W12</f>
        <v>0</v>
      </c>
      <c r="T3" s="521"/>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22" t="str">
        <f>IF(J40="Italiano","AVANZAMIENTO GIOCATORI",(IF(J40="Español","MEJORAS DEL JUGADORE",(IF(J40="Deutsch","SPIELERVERBESSERUNGEN",(IF(J40="Français","AMÉLIORATIONS DE JOUEUR","PLAYER UPGRADES")))))))</f>
        <v>PLAYER UPGRADES</v>
      </c>
      <c r="B4" s="522"/>
      <c r="C4" s="522"/>
      <c r="D4" s="522"/>
      <c r="E4" s="522"/>
      <c r="F4" s="522"/>
      <c r="G4" s="522"/>
      <c r="H4" s="522"/>
      <c r="I4" s="522"/>
      <c r="J4" s="522"/>
      <c r="K4" s="522"/>
      <c r="L4" s="522"/>
      <c r="M4" s="522"/>
      <c r="N4" s="522"/>
      <c r="O4" s="522"/>
      <c r="P4" s="522"/>
      <c r="Q4" s="522"/>
      <c r="R4" s="522"/>
      <c r="S4" s="522"/>
      <c r="T4" s="521"/>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2" t="s">
        <v>1265</v>
      </c>
      <c r="B5" s="513"/>
      <c r="C5" s="513"/>
      <c r="D5" s="513"/>
      <c r="E5" s="513"/>
      <c r="F5" s="513"/>
      <c r="G5" s="513"/>
      <c r="H5" s="514"/>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21"/>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18"/>
      <c r="B6" s="519"/>
      <c r="C6" s="519"/>
      <c r="D6" s="519"/>
      <c r="E6" s="519"/>
      <c r="F6" s="519"/>
      <c r="G6" s="519"/>
      <c r="H6" s="520"/>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21"/>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05" t="str">
        <f>IF($J$40="Italiano","AVANZAMENTO 2",(IF($J$40="Español","MEJORA 2",(IF($J$40="Deutsch","VERBES-SERUNG 2",(IF($J$40="Français","AMÉLIORATION 2","UPGRADE 2")))))))</f>
        <v>UPGRADE 2</v>
      </c>
      <c r="E7" s="506"/>
      <c r="F7" s="255" t="str">
        <f>IF(Roster!$K$25="Italiano","COSTO",(IF(Roster!$K$25="Español","PRECIO",(IF(Roster!$K$25="Deutsch","WERT",(IF(Roster!$K$25="Français","VALEUR","COST")))))))</f>
        <v>COST</v>
      </c>
      <c r="G7" s="505" t="str">
        <f>IF($J$40="Italiano","AVANZAMENTO 3",(IF($J$40="Español","MEJORA 3",(IF($J$40="Deutsch","VERBES-SERUNG 3",(IF($J$40="Français","AMÉLIORATION 3","UPGRADE 3")))))))</f>
        <v>UPGRADE 3</v>
      </c>
      <c r="H7" s="506"/>
      <c r="I7" s="254" t="str">
        <f>IF(Roster!$K$25="Italiano","COSTO",(IF(Roster!$K$25="Español","PRECIO",(IF(Roster!$K$25="Deutsch","WERT",(IF(Roster!$K$25="Français","VALEUR","COST")))))))</f>
        <v>COST</v>
      </c>
      <c r="J7" s="505" t="str">
        <f>IF($J$40="Italiano","AVANZAMENTO 4",(IF($J$40="Español","MEJORA 4",(IF($J$40="Deutsch","VERBES-SERUNG 4",(IF($J$40="Français","AMÉLIORATION 4","UPGRADE 4")))))))</f>
        <v>UPGRADE 4</v>
      </c>
      <c r="K7" s="506"/>
      <c r="L7" s="254" t="str">
        <f>IF(Roster!$K$25="Italiano","COSTO",(IF(Roster!$K$25="Español","PRECIO",(IF(Roster!$K$25="Deutsch","WERT",(IF(Roster!$K$25="Français","VALEUR","COST")))))))</f>
        <v>COST</v>
      </c>
      <c r="M7" s="505" t="str">
        <f>IF($J$40="Italiano","AVANZAMENTO 5",(IF($J$40="Español","MEJORA 5",(IF($J$40="Deutsch","VERBES-SERUNG 5",(IF($J$40="Français","AMÉLIORATION 5","UPGRADE 5")))))))</f>
        <v>UPGRADE 5</v>
      </c>
      <c r="N7" s="506"/>
      <c r="O7" s="254" t="str">
        <f>IF(Roster!$K$25="Italiano","COSTO",(IF(Roster!$K$25="Español","PRECIO",(IF(Roster!$K$25="Deutsch","WERT",(IF(Roster!$K$25="Français","VALEUR","COST")))))))</f>
        <v>COST</v>
      </c>
      <c r="P7" s="505" t="str">
        <f>IF($J$40="Italiano","AVANZAMENTO 6",(IF($J$40="Español","MEJORA 6",(IF($J$40="Deutsch","VERBES-SERUNG 6",(IF($J$40="Français","AMÉLIORATION 6","UPGRADE 6")))))))</f>
        <v>UPGRADE 6</v>
      </c>
      <c r="Q7" s="506"/>
      <c r="R7" s="254" t="str">
        <f>IF(Roster!$K$25="Italiano","COSTO",(IF(Roster!$K$25="Español","PRECIO",(IF(Roster!$K$25="Deutsch","WERT",(IF(Roster!$K$25="Français","VALEUR","COST")))))))</f>
        <v>COST</v>
      </c>
      <c r="S7" s="254" t="s">
        <v>1266</v>
      </c>
      <c r="T7" s="521"/>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3"/>
      <c r="E8" s="504"/>
      <c r="F8" s="281" t="str">
        <f>IF(B3&lt;&gt;"Legendary Linemen","ILEGAL",(IF(D8&lt;&gt;"",50000,0)))</f>
        <v>ILEGAL</v>
      </c>
      <c r="G8" s="503"/>
      <c r="H8" s="504"/>
      <c r="I8" s="281" t="str">
        <f>IF(B3&lt;&gt;"Legendary Linemen","ILEGAL",(IF(G8&lt;&gt;"",80000,0)))</f>
        <v>ILEGAL</v>
      </c>
      <c r="J8" s="503"/>
      <c r="K8" s="504"/>
      <c r="L8" s="281" t="str">
        <f>IF(B3&lt;&gt;"Legendary Linemen","ILEGAL",(IF(J8&lt;&gt;"",110000,0)))</f>
        <v>ILEGAL</v>
      </c>
      <c r="M8" s="503"/>
      <c r="N8" s="504"/>
      <c r="O8" s="281" t="str">
        <f>IF(B3&lt;&gt;"Legendary Linemen","ILEGAL",(IF(M8&lt;&gt;"",140000,0)))</f>
        <v>ILEGAL</v>
      </c>
      <c r="P8" s="503"/>
      <c r="Q8" s="504"/>
      <c r="R8" s="281" t="str">
        <f>IF(B3&lt;&gt;"Legendary Linemen","ILEGAL",(IF(P8&lt;&gt;"",170000,0)))</f>
        <v>ILEGAL</v>
      </c>
      <c r="S8" s="281">
        <f>SUM(C8,F8,I8,L8,O8,R8)</f>
        <v>0</v>
      </c>
      <c r="T8" s="521"/>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3"/>
      <c r="E9" s="504"/>
      <c r="F9" s="281" t="str">
        <f>IF($B$3&lt;&gt;"Brutal Blockers",(IF($B$3&lt;&gt;"Bona Fide Big Guy","ILEGAL",(IF(D9&lt;&gt;"",70000,0)))),(IF(D9&lt;&gt;"",70000,0)))</f>
        <v>ILEGAL</v>
      </c>
      <c r="G9" s="503"/>
      <c r="H9" s="504"/>
      <c r="I9" s="281" t="str">
        <f>IF($B$3&lt;&gt;"Brutal Blockers",(IF($B$3&lt;&gt;"Bona Fide Big Guy","ILEGAL",(IF(G9&lt;&gt;"",110000,0)))),(IF(G9&lt;&gt;"",110000,0)))</f>
        <v>ILEGAL</v>
      </c>
      <c r="J9" s="503"/>
      <c r="K9" s="504"/>
      <c r="L9" s="281" t="str">
        <f>IF($B$3&lt;&gt;"Brutal Blockers",(IF($B$3&lt;&gt;"Bona Fide Big Guy","ILEGAL",(IF(J9&lt;&gt;"",150000,0)))),(IF(J9&lt;&gt;"",150000,0)))</f>
        <v>ILEGAL</v>
      </c>
      <c r="M9" s="503"/>
      <c r="N9" s="504"/>
      <c r="O9" s="281" t="str">
        <f>IF($B$3&lt;&gt;"Brutal Blockers",(IF($B$3&lt;&gt;"Bona Fide Big Guy","ILEGAL",(IF(M9&lt;&gt;"",190000,0)))),(IF(M9&lt;&gt;"",190000,0)))</f>
        <v>ILEGAL</v>
      </c>
      <c r="P9" s="503"/>
      <c r="Q9" s="504"/>
      <c r="R9" s="281" t="str">
        <f>IF($B$3&lt;&gt;"Brutal Blockers",(IF($B$3&lt;&gt;"Bona Fide Big Guy","ILEGAL",(IF(P9&lt;&gt;"",230000,0)))),(IF(P9&lt;&gt;"",230000,0)))</f>
        <v>ILEGAL</v>
      </c>
      <c r="S9" s="281">
        <f t="shared" ref="S9:S12" si="1">SUM(C9,F9,I9,L9,O9,R9)</f>
        <v>0</v>
      </c>
      <c r="T9" s="521"/>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3"/>
      <c r="E10" s="504"/>
      <c r="F10" s="281" t="str">
        <f>IF($B$3&lt;&gt;"Stunty Superstar",(IF($B$3&lt;&gt;"Reliable Ringers","ILEGAL",(IF(D10&lt;&gt;"",70000,0)))),(IF(D10&lt;&gt;"",30000,0)))</f>
        <v>ILEGAL</v>
      </c>
      <c r="G10" s="503"/>
      <c r="H10" s="504"/>
      <c r="I10" s="281" t="str">
        <f>IF($B$3&lt;&gt;"Stunty Superstar",(IF($B$3&lt;&gt;"Reliable Ringers","ILEGAL",(IF(G10&lt;&gt;"",110000,0)))),(IF(G10&lt;&gt;"",50000,0)))</f>
        <v>ILEGAL</v>
      </c>
      <c r="J10" s="503"/>
      <c r="K10" s="504"/>
      <c r="L10" s="281" t="str">
        <f>IF($B$3&lt;&gt;"Stunty Superstar",(IF($B$3&lt;&gt;"Reliable Ringers","ILEGAL",(IF(J10&lt;&gt;"",150000,0)))),(IF(J10&lt;&gt;"",70000,0)))</f>
        <v>ILEGAL</v>
      </c>
      <c r="M10" s="503"/>
      <c r="N10" s="504"/>
      <c r="O10" s="281" t="str">
        <f>IF($B$3&lt;&gt;"Stunty Superstar",(IF($B$3&lt;&gt;"Reliable Ringers","ILEGAL",(IF(M10&lt;&gt;"",190000,0)))),(IF(M10&lt;&gt;"",90000,0)))</f>
        <v>ILEGAL</v>
      </c>
      <c r="P10" s="503"/>
      <c r="Q10" s="504"/>
      <c r="R10" s="281" t="str">
        <f>IF($B$3&lt;&gt;"Stunty Superstar",(IF($B$3&lt;&gt;"Reliable Ringers","ILEGAL",(IF(P10&lt;&gt;"",230000,0)))),(IF(P10&lt;&gt;"",110000,0)))</f>
        <v>ILEGAL</v>
      </c>
      <c r="S10" s="281">
        <f t="shared" si="1"/>
        <v>0</v>
      </c>
      <c r="T10" s="521"/>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3"/>
      <c r="E11" s="504"/>
      <c r="F11" s="281" t="s">
        <v>1264</v>
      </c>
      <c r="G11" s="503"/>
      <c r="H11" s="504"/>
      <c r="I11" s="281" t="s">
        <v>1264</v>
      </c>
      <c r="J11" s="503"/>
      <c r="K11" s="504"/>
      <c r="L11" s="281" t="s">
        <v>1264</v>
      </c>
      <c r="M11" s="503"/>
      <c r="N11" s="504"/>
      <c r="O11" s="281" t="s">
        <v>1264</v>
      </c>
      <c r="P11" s="503"/>
      <c r="Q11" s="504"/>
      <c r="R11" s="281" t="s">
        <v>1264</v>
      </c>
      <c r="S11" s="281">
        <f t="shared" si="1"/>
        <v>0</v>
      </c>
      <c r="T11" s="521"/>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3"/>
      <c r="E12" s="504"/>
      <c r="F12" s="281" t="str">
        <f>IF(OR($B$3="Stunty Superstar",$B$3="Brutal Blockers",$B$3="Bona Fide Big Guy",$B$3="Mercenaries"),"ILEGAL",(IF(D12&lt;&gt;"",(IF($B$3="Legendary Linemen",70000,(IF(D12="Big Hand",30000,(IF(D12="Extra Arms",20000,(IF(D12="Two Heads",30000,(IF(D12="Very Long Legs",30000,"ILEGAL")))))))))),0)))</f>
        <v>ILEGAL</v>
      </c>
      <c r="G12" s="503"/>
      <c r="H12" s="504"/>
      <c r="I12" s="281" t="str">
        <f>IF(OR($B$3="Stunty Superstar",$B$3="Brutal Blockers",$B$3="Bona Fide Big Guy",$B$3="Mercenaries"),"ILEGAL",(IF(G12&lt;&gt;"",(IF($B$3="Legendary Linemen",110000,(IF(G12="Big Hand",30000,(IF(G12="Extra Arms",20000,(IF(G12="Two Heads",30000,(IF(G12="Very Long Legs",30000,0)))))))))),0)))</f>
        <v>ILEGAL</v>
      </c>
      <c r="J12" s="503"/>
      <c r="K12" s="504"/>
      <c r="L12" s="281" t="str">
        <f>IF(OR($B$3="Stunty Superstar",$B$3="Brutal Blockers",$B$3="Bona Fide Big Guy",$B$3="Mercenaries"),"ILEGAL",(IF(J12&lt;&gt;"",(IF($B$3="Legendary Linemen",150000,(IF(J12="Big Hand",30000,(IF(J12="Extra Arms",20000,(IF(J12="Two Heads",30000,(IF(J12="Very Long Legs",30000,0)))))))))),0)))</f>
        <v>ILEGAL</v>
      </c>
      <c r="M12" s="503"/>
      <c r="N12" s="504"/>
      <c r="O12" s="281" t="str">
        <f>IF(B3&lt;&gt;"Legendary Linemen","ILEGAL",(IF(M12&lt;&gt;"",190000,0)))</f>
        <v>ILEGAL</v>
      </c>
      <c r="P12" s="503"/>
      <c r="Q12" s="504"/>
      <c r="R12" s="281" t="str">
        <f>IF(B3&lt;&gt;"Legendary Linemen","ILEGAL",(IF(P12&lt;&gt;"",230000,0)))</f>
        <v>ILEGAL</v>
      </c>
      <c r="S12" s="281">
        <f t="shared" si="1"/>
        <v>0</v>
      </c>
      <c r="T12" s="521"/>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21"/>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23" t="str">
        <f>IF(Roster!$K$25="Italiano","MERCENARIO 2",(IF(Roster!$K$25="Español","MERCENARIO 2",(IF(Roster!$K$25="Français","MERCENAIRE 2","MERCENARY 2")))))</f>
        <v>MERCENARY 2</v>
      </c>
      <c r="B14" s="523"/>
      <c r="C14" s="523"/>
      <c r="D14" s="523"/>
      <c r="E14" s="523"/>
      <c r="F14" s="523"/>
      <c r="G14" s="523"/>
      <c r="H14" s="523"/>
      <c r="I14" s="523"/>
      <c r="J14" s="523"/>
      <c r="K14" s="523"/>
      <c r="L14" s="523"/>
      <c r="M14" s="523"/>
      <c r="N14" s="523"/>
      <c r="O14" s="523"/>
      <c r="P14" s="523"/>
      <c r="Q14" s="523"/>
      <c r="R14" s="523"/>
      <c r="S14" s="523"/>
      <c r="T14" s="521"/>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2" t="str">
        <f>IF(Roster!$K$25="Italiano","ABILITÀ",(IF(Roster!$K$25="Español","HABILIDADES",(IF(Roster!$K$25="Deutsch","FERTIGKEITEN",(IF(Roster!$K$25="Français","COMPÉTENCES","SKILLS")))))))</f>
        <v>SKILLS</v>
      </c>
      <c r="I15" s="513"/>
      <c r="J15" s="513"/>
      <c r="K15" s="513"/>
      <c r="L15" s="513"/>
      <c r="M15" s="513"/>
      <c r="N15" s="513"/>
      <c r="O15" s="513"/>
      <c r="P15" s="513"/>
      <c r="Q15" s="513"/>
      <c r="R15" s="514"/>
      <c r="S15" s="254" t="str">
        <f>IF(Roster!$K$25="Italiano","COSTO",(IF(Roster!$K$25="Español","PRECIO",(IF(Roster!$K$25="Deutsch","WERT",(IF(Roster!$K$25="Français","VALEUR","COST")))))))</f>
        <v>COST</v>
      </c>
      <c r="T15" s="521"/>
      <c r="V15" s="268" t="s">
        <v>261</v>
      </c>
      <c r="W15" s="269" t="s">
        <v>206</v>
      </c>
      <c r="X15" s="270"/>
      <c r="Y15" s="268" t="s">
        <v>1268</v>
      </c>
      <c r="Z15" s="271"/>
      <c r="AA15" s="271"/>
      <c r="AB15" s="269"/>
      <c r="AC15" s="270"/>
      <c r="AD15" s="270"/>
      <c r="AE15" s="270"/>
      <c r="AF15" s="268" t="s">
        <v>1273</v>
      </c>
      <c r="AG15" s="271"/>
      <c r="AH15" s="271"/>
      <c r="AI15" s="269"/>
      <c r="AK15" s="509" t="s">
        <v>1313</v>
      </c>
      <c r="AL15" s="510"/>
      <c r="AM15" s="510"/>
      <c r="AN15" s="510"/>
      <c r="AO15" s="511"/>
      <c r="AP15" s="509" t="s">
        <v>1314</v>
      </c>
      <c r="AQ15" s="510"/>
      <c r="AR15" s="510"/>
      <c r="AS15" s="510"/>
      <c r="AT15" s="511"/>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5" t="str">
        <f>Y16&amp;(IF(Z16&lt;&gt;"",", ",""))&amp;Z16&amp;(IF(AA16&lt;&gt;"",", ",""))&amp;AA16&amp;(IF(AB16&lt;&gt;"",", ",""))&amp;AB16&amp;(IF(AF16&lt;&gt;"",", ",""))&amp;AF16&amp;(IF(AG16&lt;&gt;"",", ",""))&amp;AG16&amp;(IF(AH16&lt;&gt;"",", ",""))&amp;AH16&amp;(IF(AI16&lt;&gt;"",", ",""))&amp;AI16&amp;AK21</f>
        <v/>
      </c>
      <c r="I16" s="516"/>
      <c r="J16" s="516"/>
      <c r="K16" s="516"/>
      <c r="L16" s="516"/>
      <c r="M16" s="516"/>
      <c r="N16" s="516"/>
      <c r="O16" s="516"/>
      <c r="P16" s="516"/>
      <c r="Q16" s="516"/>
      <c r="R16" s="517"/>
      <c r="S16" s="272">
        <f>(VLOOKUP(B16,Y18:AI23,11,FALSE))+W25</f>
        <v>0</v>
      </c>
      <c r="T16" s="521"/>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22" t="str">
        <f>IF(AR3="Italiano","AVANZAMIENTO GIOCATORI",(IF(AR3="Español","MEJORAS DEL JUGADORE",(IF(AR3="Deutsch","SPIELERVERBESSERUNGEN",(IF(AR3="Français","AMÉLIORATIONS DE JOUEUR","PLAYER UPGRADES")))))))</f>
        <v>PLAYER UPGRADES</v>
      </c>
      <c r="B17" s="522"/>
      <c r="C17" s="522"/>
      <c r="D17" s="522"/>
      <c r="E17" s="522"/>
      <c r="F17" s="522"/>
      <c r="G17" s="522"/>
      <c r="H17" s="522"/>
      <c r="I17" s="522"/>
      <c r="J17" s="522"/>
      <c r="K17" s="522"/>
      <c r="L17" s="522"/>
      <c r="M17" s="522"/>
      <c r="N17" s="522"/>
      <c r="O17" s="522"/>
      <c r="P17" s="522"/>
      <c r="Q17" s="522"/>
      <c r="R17" s="522"/>
      <c r="S17" s="522"/>
      <c r="T17" s="521"/>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2" t="s">
        <v>1265</v>
      </c>
      <c r="B18" s="513"/>
      <c r="C18" s="513"/>
      <c r="D18" s="513"/>
      <c r="E18" s="513"/>
      <c r="F18" s="513"/>
      <c r="G18" s="513"/>
      <c r="H18" s="514"/>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21"/>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18"/>
      <c r="B19" s="519"/>
      <c r="C19" s="519"/>
      <c r="D19" s="519"/>
      <c r="E19" s="519"/>
      <c r="F19" s="519"/>
      <c r="G19" s="519"/>
      <c r="H19" s="520"/>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21"/>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05" t="str">
        <f>IF($J$40="Italiano","AVANZAMENTO 2",(IF($J$40="Español","MEJORA 2",(IF($J$40="Deutsch","VERBES-SERUNG 2",(IF($J$40="Français","AMÉLIORATION 2","UPGRADE 2")))))))</f>
        <v>UPGRADE 2</v>
      </c>
      <c r="E20" s="506"/>
      <c r="F20" s="255" t="str">
        <f>IF(Roster!$K$25="Italiano","COSTO",(IF(Roster!$K$25="Español","PRECIO",(IF(Roster!$K$25="Deutsch","WERT",(IF(Roster!$K$25="Français","VALEUR","COST")))))))</f>
        <v>COST</v>
      </c>
      <c r="G20" s="505" t="str">
        <f>IF($J$40="Italiano","AVANZAMENTO 3",(IF($J$40="Español","MEJORA 3",(IF($J$40="Deutsch","VERBES-SERUNG 3",(IF($J$40="Français","AMÉLIORATION 3","UPGRADE 3")))))))</f>
        <v>UPGRADE 3</v>
      </c>
      <c r="H20" s="506"/>
      <c r="I20" s="254" t="str">
        <f>IF(Roster!$K$25="Italiano","COSTO",(IF(Roster!$K$25="Español","PRECIO",(IF(Roster!$K$25="Deutsch","WERT",(IF(Roster!$K$25="Français","VALEUR","COST")))))))</f>
        <v>COST</v>
      </c>
      <c r="J20" s="505" t="str">
        <f>IF($J$40="Italiano","AVANZAMENTO 4",(IF($J$40="Español","MEJORA 4",(IF($J$40="Deutsch","VERBES-SERUNG 4",(IF($J$40="Français","AMÉLIORATION 4","UPGRADE 4")))))))</f>
        <v>UPGRADE 4</v>
      </c>
      <c r="K20" s="506"/>
      <c r="L20" s="254" t="str">
        <f>IF(Roster!$K$25="Italiano","COSTO",(IF(Roster!$K$25="Español","PRECIO",(IF(Roster!$K$25="Deutsch","WERT",(IF(Roster!$K$25="Français","VALEUR","COST")))))))</f>
        <v>COST</v>
      </c>
      <c r="M20" s="505" t="str">
        <f>IF($J$40="Italiano","AVANZAMENTO 5",(IF($J$40="Español","MEJORA 5",(IF($J$40="Deutsch","VERBES-SERUNG 5",(IF($J$40="Français","AMÉLIORATION 5","UPGRADE 5")))))))</f>
        <v>UPGRADE 5</v>
      </c>
      <c r="N20" s="506"/>
      <c r="O20" s="254" t="str">
        <f>IF(Roster!$K$25="Italiano","COSTO",(IF(Roster!$K$25="Español","PRECIO",(IF(Roster!$K$25="Deutsch","WERT",(IF(Roster!$K$25="Français","VALEUR","COST")))))))</f>
        <v>COST</v>
      </c>
      <c r="P20" s="505" t="str">
        <f>IF($J$40="Italiano","AVANZAMENTO 6",(IF($J$40="Español","MEJORA 6",(IF($J$40="Deutsch","VERBES-SERUNG 6",(IF($J$40="Français","AMÉLIORATION 6","UPGRADE 6")))))))</f>
        <v>UPGRADE 6</v>
      </c>
      <c r="Q20" s="506"/>
      <c r="R20" s="254" t="str">
        <f>IF(Roster!$K$25="Italiano","COSTO",(IF(Roster!$K$25="Español","PRECIO",(IF(Roster!$K$25="Deutsch","WERT",(IF(Roster!$K$25="Français","VALEUR","COST")))))))</f>
        <v>COST</v>
      </c>
      <c r="S20" s="254" t="s">
        <v>1266</v>
      </c>
      <c r="T20" s="521"/>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3"/>
      <c r="E21" s="504"/>
      <c r="F21" s="281" t="str">
        <f>IF(B16&lt;&gt;"Legendary Linemen","ILEGAL",(IF(D21&lt;&gt;"",50000,0)))</f>
        <v>ILEGAL</v>
      </c>
      <c r="G21" s="503"/>
      <c r="H21" s="504"/>
      <c r="I21" s="281" t="str">
        <f>IF(B16&lt;&gt;"Legendary Linemen","ILEGAL",(IF(G21&lt;&gt;"",80000,0)))</f>
        <v>ILEGAL</v>
      </c>
      <c r="J21" s="503"/>
      <c r="K21" s="504"/>
      <c r="L21" s="281" t="str">
        <f>IF(B16&lt;&gt;"Legendary Linemen","ILEGAL",(IF(J21&lt;&gt;"",110000,0)))</f>
        <v>ILEGAL</v>
      </c>
      <c r="M21" s="503"/>
      <c r="N21" s="504"/>
      <c r="O21" s="281" t="str">
        <f>IF(B16&lt;&gt;"Legendary Linemen","ILEGAL",(IF(M21&lt;&gt;"",140000,0)))</f>
        <v>ILEGAL</v>
      </c>
      <c r="P21" s="503"/>
      <c r="Q21" s="504"/>
      <c r="R21" s="281" t="str">
        <f>IF(B16&lt;&gt;"Legendary Linemen","ILEGAL",(IF(P21&lt;&gt;"",170000,0)))</f>
        <v>ILEGAL</v>
      </c>
      <c r="S21" s="281">
        <f>SUM(C21,F21,I21,L21,O21,R21)</f>
        <v>0</v>
      </c>
      <c r="T21" s="521"/>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3"/>
      <c r="E22" s="504"/>
      <c r="F22" s="281" t="str">
        <f>IF($B$3&lt;&gt;"Brutal Blockers",(IF($B$3&lt;&gt;"Bona Fide Big Guy","ILEGAL",(IF(D22&lt;&gt;"",70000,0)))),(IF(D22&lt;&gt;"",70000,0)))</f>
        <v>ILEGAL</v>
      </c>
      <c r="G22" s="503"/>
      <c r="H22" s="504"/>
      <c r="I22" s="281" t="str">
        <f>IF($B$3&lt;&gt;"Brutal Blockers",(IF($B$3&lt;&gt;"Bona Fide Big Guy","ILEGAL",(IF(G22&lt;&gt;"",110000,0)))),(IF(G22&lt;&gt;"",110000,0)))</f>
        <v>ILEGAL</v>
      </c>
      <c r="J22" s="503"/>
      <c r="K22" s="504"/>
      <c r="L22" s="281" t="str">
        <f>IF($B$3&lt;&gt;"Brutal Blockers",(IF($B$3&lt;&gt;"Bona Fide Big Guy","ILEGAL",(IF(J22&lt;&gt;"",150000,0)))),(IF(J22&lt;&gt;"",150000,0)))</f>
        <v>ILEGAL</v>
      </c>
      <c r="M22" s="503"/>
      <c r="N22" s="504"/>
      <c r="O22" s="281" t="str">
        <f>IF($B$3&lt;&gt;"Brutal Blockers",(IF($B$3&lt;&gt;"Bona Fide Big Guy","ILEGAL",(IF(M22&lt;&gt;"",190000,0)))),(IF(M22&lt;&gt;"",190000,0)))</f>
        <v>ILEGAL</v>
      </c>
      <c r="P22" s="503"/>
      <c r="Q22" s="504"/>
      <c r="R22" s="281" t="str">
        <f>IF($B$3&lt;&gt;"Brutal Blockers",(IF($B$3&lt;&gt;"Bona Fide Big Guy","ILEGAL",(IF(P22&lt;&gt;"",230000,0)))),(IF(P22&lt;&gt;"",230000,0)))</f>
        <v>ILEGAL</v>
      </c>
      <c r="S22" s="281">
        <f t="shared" ref="S22:S25" si="3">SUM(C22,F22,I22,L22,O22,R22)</f>
        <v>0</v>
      </c>
      <c r="T22" s="521"/>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3"/>
      <c r="E23" s="504"/>
      <c r="F23" s="281" t="str">
        <f>IF($B$3&lt;&gt;"Stunty Superstar",(IF($B$3&lt;&gt;"Reliable Ringers","ILEGAL",(IF(D23&lt;&gt;"",70000,0)))),(IF(D23&lt;&gt;"",30000,0)))</f>
        <v>ILEGAL</v>
      </c>
      <c r="G23" s="503"/>
      <c r="H23" s="504"/>
      <c r="I23" s="281" t="str">
        <f>IF($B$3&lt;&gt;"Stunty Superstar",(IF($B$3&lt;&gt;"Reliable Ringers","ILEGAL",(IF(G23&lt;&gt;"",110000,0)))),(IF(G23&lt;&gt;"",50000,0)))</f>
        <v>ILEGAL</v>
      </c>
      <c r="J23" s="503"/>
      <c r="K23" s="504"/>
      <c r="L23" s="281" t="str">
        <f>IF($B$3&lt;&gt;"Stunty Superstar",(IF($B$3&lt;&gt;"Reliable Ringers","ILEGAL",(IF(J23&lt;&gt;"",150000,0)))),(IF(J23&lt;&gt;"",70000,0)))</f>
        <v>ILEGAL</v>
      </c>
      <c r="M23" s="503"/>
      <c r="N23" s="504"/>
      <c r="O23" s="281" t="str">
        <f>IF($B$3&lt;&gt;"Stunty Superstar",(IF($B$3&lt;&gt;"Reliable Ringers","ILEGAL",(IF(M23&lt;&gt;"",190000,0)))),(IF(M23&lt;&gt;"",90000,0)))</f>
        <v>ILEGAL</v>
      </c>
      <c r="P23" s="503"/>
      <c r="Q23" s="504"/>
      <c r="R23" s="281" t="str">
        <f>IF($B$3&lt;&gt;"Stunty Superstar",(IF($B$3&lt;&gt;"Reliable Ringers","ILEGAL",(IF(P23&lt;&gt;"",230000,0)))),(IF(P23&lt;&gt;"",110000,0)))</f>
        <v>ILEGAL</v>
      </c>
      <c r="S23" s="281">
        <f t="shared" si="3"/>
        <v>0</v>
      </c>
      <c r="T23" s="521"/>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3"/>
      <c r="E24" s="504"/>
      <c r="F24" s="281" t="s">
        <v>1264</v>
      </c>
      <c r="G24" s="503"/>
      <c r="H24" s="504"/>
      <c r="I24" s="281" t="s">
        <v>1264</v>
      </c>
      <c r="J24" s="503"/>
      <c r="K24" s="504"/>
      <c r="L24" s="281" t="s">
        <v>1264</v>
      </c>
      <c r="M24" s="503"/>
      <c r="N24" s="504"/>
      <c r="O24" s="281" t="s">
        <v>1264</v>
      </c>
      <c r="P24" s="503"/>
      <c r="Q24" s="504"/>
      <c r="R24" s="281" t="s">
        <v>1264</v>
      </c>
      <c r="S24" s="281">
        <f t="shared" si="3"/>
        <v>0</v>
      </c>
      <c r="T24" s="521"/>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3"/>
      <c r="E25" s="504"/>
      <c r="F25" s="281" t="str">
        <f>IF(OR($B$3="Stunty Superstar",$B$3="Brutal Blockers",$B$3="Bona Fide Big Guy",$B$3="Mercenaries"),"ILEGAL",(IF(D25&lt;&gt;"",(IF($B$3="Legendary Linemen",70000,(IF(D25="Big Hand",30000,(IF(D25="Extra Arms",20000,(IF(D25="Two Heads",30000,(IF(D25="Very Long Legs",30000,"ILEGAL")))))))))),0)))</f>
        <v>ILEGAL</v>
      </c>
      <c r="G25" s="503"/>
      <c r="H25" s="504"/>
      <c r="I25" s="281" t="str">
        <f>IF(OR($B$3="Stunty Superstar",$B$3="Brutal Blockers",$B$3="Bona Fide Big Guy",$B$3="Mercenaries"),"ILEGAL",(IF(G25&lt;&gt;"",(IF($B$3="Legendary Linemen",110000,(IF(G25="Big Hand",30000,(IF(G25="Extra Arms",20000,(IF(G25="Two Heads",30000,(IF(G25="Very Long Legs",30000,0)))))))))),0)))</f>
        <v>ILEGAL</v>
      </c>
      <c r="J25" s="503"/>
      <c r="K25" s="504"/>
      <c r="L25" s="281" t="str">
        <f>IF(OR($B$3="Stunty Superstar",$B$3="Brutal Blockers",$B$3="Bona Fide Big Guy",$B$3="Mercenaries"),"ILEGAL",(IF(J25&lt;&gt;"",(IF($B$3="Legendary Linemen",150000,(IF(J25="Big Hand",30000,(IF(J25="Extra Arms",20000,(IF(J25="Two Heads",30000,(IF(J25="Very Long Legs",30000,0)))))))))),0)))</f>
        <v>ILEGAL</v>
      </c>
      <c r="M25" s="503"/>
      <c r="N25" s="504"/>
      <c r="O25" s="281" t="str">
        <f>IF(B16&lt;&gt;"Legendary Linemen","ILEGAL",(IF(M25&lt;&gt;"",190000,0)))</f>
        <v>ILEGAL</v>
      </c>
      <c r="P25" s="503"/>
      <c r="Q25" s="504"/>
      <c r="R25" s="281" t="str">
        <f>IF(B16&lt;&gt;"Legendary Linemen","ILEGAL",(IF(P25&lt;&gt;"",230000,0)))</f>
        <v>ILEGAL</v>
      </c>
      <c r="S25" s="281">
        <f t="shared" si="3"/>
        <v>0</v>
      </c>
      <c r="T25" s="521"/>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21"/>
      <c r="V26" s="279"/>
      <c r="W26" s="279"/>
      <c r="X26" s="279"/>
      <c r="Y26" s="279"/>
      <c r="Z26" s="279"/>
      <c r="AA26" s="279"/>
      <c r="AB26" s="279"/>
      <c r="AC26" s="279"/>
      <c r="AD26" s="279"/>
      <c r="AE26" s="279"/>
      <c r="AF26" s="279"/>
      <c r="AG26" s="279"/>
      <c r="AH26" s="279"/>
      <c r="AI26" s="279"/>
      <c r="AV26" s="290"/>
    </row>
    <row r="27" spans="1:48" ht="21.75" customHeight="1">
      <c r="A27" s="523" t="str">
        <f>IF(Roster!$K$25="Italiano","MERCENARIO 3",(IF(Roster!$K$25="Español","MERCENARIO 3",(IF(Roster!$K$25="Français","MERCENAIRE 3","MERCENARY 3")))))</f>
        <v>MERCENARY 3</v>
      </c>
      <c r="B27" s="523"/>
      <c r="C27" s="523"/>
      <c r="D27" s="523"/>
      <c r="E27" s="523"/>
      <c r="F27" s="523"/>
      <c r="G27" s="523"/>
      <c r="H27" s="523"/>
      <c r="I27" s="523"/>
      <c r="J27" s="523"/>
      <c r="K27" s="523"/>
      <c r="L27" s="523"/>
      <c r="M27" s="523"/>
      <c r="N27" s="523"/>
      <c r="O27" s="523"/>
      <c r="P27" s="523"/>
      <c r="Q27" s="523"/>
      <c r="R27" s="523"/>
      <c r="S27" s="523"/>
      <c r="T27" s="521"/>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2" t="str">
        <f>IF(Roster!$K$25="Italiano","ABILITÀ",(IF(Roster!$K$25="Español","HABILIDADES",(IF(Roster!$K$25="Deutsch","FERTIGKEITEN",(IF(Roster!$K$25="Français","COMPÉTENCES","SKILLS")))))))</f>
        <v>SKILLS</v>
      </c>
      <c r="I28" s="513"/>
      <c r="J28" s="513"/>
      <c r="K28" s="513"/>
      <c r="L28" s="513"/>
      <c r="M28" s="513"/>
      <c r="N28" s="513"/>
      <c r="O28" s="513"/>
      <c r="P28" s="513"/>
      <c r="Q28" s="513"/>
      <c r="R28" s="514"/>
      <c r="S28" s="254" t="str">
        <f>IF(Roster!$K$25="Italiano","COSTO",(IF(Roster!$K$25="Español","PRECIO",(IF(Roster!$K$25="Deutsch","WERT",(IF(Roster!$K$25="Français","VALEUR","COST")))))))</f>
        <v>COST</v>
      </c>
      <c r="T28" s="521"/>
      <c r="V28" s="268" t="s">
        <v>261</v>
      </c>
      <c r="W28" s="269" t="s">
        <v>206</v>
      </c>
      <c r="X28" s="270"/>
      <c r="Y28" s="268" t="s">
        <v>1268</v>
      </c>
      <c r="Z28" s="271"/>
      <c r="AA28" s="271"/>
      <c r="AB28" s="269"/>
      <c r="AC28" s="270"/>
      <c r="AD28" s="270"/>
      <c r="AE28" s="270"/>
      <c r="AF28" s="268" t="s">
        <v>1273</v>
      </c>
      <c r="AG28" s="271"/>
      <c r="AH28" s="271"/>
      <c r="AI28" s="269"/>
      <c r="AK28" s="509" t="s">
        <v>1313</v>
      </c>
      <c r="AL28" s="510"/>
      <c r="AM28" s="510"/>
      <c r="AN28" s="510"/>
      <c r="AO28" s="511"/>
      <c r="AP28" s="509" t="s">
        <v>1314</v>
      </c>
      <c r="AQ28" s="510"/>
      <c r="AR28" s="510"/>
      <c r="AS28" s="510"/>
      <c r="AT28" s="511"/>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5" t="str">
        <f>Y29&amp;(IF(Z29&lt;&gt;"",", ",""))&amp;Z29&amp;(IF(AA29&lt;&gt;"",", ",""))&amp;AA29&amp;(IF(AB29&lt;&gt;"",", ",""))&amp;AB29&amp;(IF(AF29&lt;&gt;"",", ",""))&amp;AF29&amp;(IF(AG29&lt;&gt;"",", ",""))&amp;AG29&amp;(IF(AH29&lt;&gt;"",", ",""))&amp;AH29&amp;(IF(AI29&lt;&gt;"",", ",""))&amp;AI29&amp;AK34</f>
        <v/>
      </c>
      <c r="I29" s="516"/>
      <c r="J29" s="516"/>
      <c r="K29" s="516"/>
      <c r="L29" s="516"/>
      <c r="M29" s="516"/>
      <c r="N29" s="516"/>
      <c r="O29" s="516"/>
      <c r="P29" s="516"/>
      <c r="Q29" s="516"/>
      <c r="R29" s="517"/>
      <c r="S29" s="272">
        <f>(VLOOKUP(B29,Y31:AI36,11,FALSE))+W38</f>
        <v>0</v>
      </c>
      <c r="T29" s="521"/>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22" t="str">
        <f>IF(BC8="Italiano","AVANZAMIENTO GIOCATORI",(IF(BC8="Español","MEJORAS DEL JUGADORE",(IF(BC8="Deutsch","SPIELERVERBESSERUNGEN",(IF(BC8="Français","AMÉLIORATIONS DE JOUEUR","PLAYER UPGRADES")))))))</f>
        <v>PLAYER UPGRADES</v>
      </c>
      <c r="B30" s="522"/>
      <c r="C30" s="522"/>
      <c r="D30" s="522"/>
      <c r="E30" s="522"/>
      <c r="F30" s="522"/>
      <c r="G30" s="522"/>
      <c r="H30" s="522"/>
      <c r="I30" s="522"/>
      <c r="J30" s="522"/>
      <c r="K30" s="522"/>
      <c r="L30" s="522"/>
      <c r="M30" s="522"/>
      <c r="N30" s="522"/>
      <c r="O30" s="522"/>
      <c r="P30" s="522"/>
      <c r="Q30" s="522"/>
      <c r="R30" s="522"/>
      <c r="S30" s="522"/>
      <c r="T30" s="521"/>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2" t="s">
        <v>1265</v>
      </c>
      <c r="B31" s="513"/>
      <c r="C31" s="513"/>
      <c r="D31" s="513"/>
      <c r="E31" s="513"/>
      <c r="F31" s="513"/>
      <c r="G31" s="513"/>
      <c r="H31" s="514"/>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21"/>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18"/>
      <c r="B32" s="519"/>
      <c r="C32" s="519"/>
      <c r="D32" s="519"/>
      <c r="E32" s="519"/>
      <c r="F32" s="519"/>
      <c r="G32" s="519"/>
      <c r="H32" s="520"/>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21"/>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05" t="str">
        <f>IF($J$40="Italiano","AVANZAMENTO 2",(IF($J$40="Español","MEJORA 2",(IF($J$40="Deutsch","VERBES-SERUNG 2",(IF($J$40="Français","AMÉLIORATION 2","UPGRADE 2")))))))</f>
        <v>UPGRADE 2</v>
      </c>
      <c r="E33" s="506"/>
      <c r="F33" s="255" t="str">
        <f>IF(Roster!$K$25="Italiano","COSTO",(IF(Roster!$K$25="Español","PRECIO",(IF(Roster!$K$25="Deutsch","WERT",(IF(Roster!$K$25="Français","VALEUR","COST")))))))</f>
        <v>COST</v>
      </c>
      <c r="G33" s="505" t="str">
        <f>IF($J$40="Italiano","AVANZAMENTO 3",(IF($J$40="Español","MEJORA 3",(IF($J$40="Deutsch","VERBES-SERUNG 3",(IF($J$40="Français","AMÉLIORATION 3","UPGRADE 3")))))))</f>
        <v>UPGRADE 3</v>
      </c>
      <c r="H33" s="506"/>
      <c r="I33" s="254" t="str">
        <f>IF(Roster!$K$25="Italiano","COSTO",(IF(Roster!$K$25="Español","PRECIO",(IF(Roster!$K$25="Deutsch","WERT",(IF(Roster!$K$25="Français","VALEUR","COST")))))))</f>
        <v>COST</v>
      </c>
      <c r="J33" s="505" t="str">
        <f>IF($J$40="Italiano","AVANZAMENTO 4",(IF($J$40="Español","MEJORA 4",(IF($J$40="Deutsch","VERBES-SERUNG 4",(IF($J$40="Français","AMÉLIORATION 4","UPGRADE 4")))))))</f>
        <v>UPGRADE 4</v>
      </c>
      <c r="K33" s="506"/>
      <c r="L33" s="254" t="str">
        <f>IF(Roster!$K$25="Italiano","COSTO",(IF(Roster!$K$25="Español","PRECIO",(IF(Roster!$K$25="Deutsch","WERT",(IF(Roster!$K$25="Français","VALEUR","COST")))))))</f>
        <v>COST</v>
      </c>
      <c r="M33" s="505" t="str">
        <f>IF($J$40="Italiano","AVANZAMENTO 5",(IF($J$40="Español","MEJORA 5",(IF($J$40="Deutsch","VERBES-SERUNG 5",(IF($J$40="Français","AMÉLIORATION 5","UPGRADE 5")))))))</f>
        <v>UPGRADE 5</v>
      </c>
      <c r="N33" s="506"/>
      <c r="O33" s="254" t="str">
        <f>IF(Roster!$K$25="Italiano","COSTO",(IF(Roster!$K$25="Español","PRECIO",(IF(Roster!$K$25="Deutsch","WERT",(IF(Roster!$K$25="Français","VALEUR","COST")))))))</f>
        <v>COST</v>
      </c>
      <c r="P33" s="505" t="str">
        <f>IF($J$40="Italiano","AVANZAMENTO 6",(IF($J$40="Español","MEJORA 6",(IF($J$40="Deutsch","VERBES-SERUNG 6",(IF($J$40="Français","AMÉLIORATION 6","UPGRADE 6")))))))</f>
        <v>UPGRADE 6</v>
      </c>
      <c r="Q33" s="506"/>
      <c r="R33" s="254" t="str">
        <f>IF(Roster!$K$25="Italiano","COSTO",(IF(Roster!$K$25="Español","PRECIO",(IF(Roster!$K$25="Deutsch","WERT",(IF(Roster!$K$25="Français","VALEUR","COST")))))))</f>
        <v>COST</v>
      </c>
      <c r="S33" s="254" t="s">
        <v>1266</v>
      </c>
      <c r="T33" s="521"/>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3"/>
      <c r="E34" s="504"/>
      <c r="F34" s="281" t="str">
        <f>IF(B29&lt;&gt;"Legendary Linemen","ILEGAL",(IF(D34&lt;&gt;"",50000,0)))</f>
        <v>ILEGAL</v>
      </c>
      <c r="G34" s="503"/>
      <c r="H34" s="504"/>
      <c r="I34" s="281" t="str">
        <f>IF(B29&lt;&gt;"Legendary Linemen","ILEGAL",(IF(G34&lt;&gt;"",80000,0)))</f>
        <v>ILEGAL</v>
      </c>
      <c r="J34" s="503"/>
      <c r="K34" s="504"/>
      <c r="L34" s="281" t="str">
        <f>IF(B29&lt;&gt;"Legendary Linemen","ILEGAL",(IF(J34&lt;&gt;"",110000,0)))</f>
        <v>ILEGAL</v>
      </c>
      <c r="M34" s="503"/>
      <c r="N34" s="504"/>
      <c r="O34" s="281" t="str">
        <f>IF(B29&lt;&gt;"Legendary Linemen","ILEGAL",(IF(M34&lt;&gt;"",140000,0)))</f>
        <v>ILEGAL</v>
      </c>
      <c r="P34" s="503"/>
      <c r="Q34" s="504"/>
      <c r="R34" s="281" t="str">
        <f>IF(B29&lt;&gt;"Legendary Linemen","ILEGAL",(IF(P34&lt;&gt;"",170000,0)))</f>
        <v>ILEGAL</v>
      </c>
      <c r="S34" s="281">
        <f>SUM(C34,F34,I34,L34,O34,R34)</f>
        <v>0</v>
      </c>
      <c r="T34" s="521"/>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3"/>
      <c r="E35" s="504"/>
      <c r="F35" s="281" t="str">
        <f>IF($B$3&lt;&gt;"Brutal Blockers",(IF($B$3&lt;&gt;"Bona Fide Big Guy","ILEGAL",(IF(D35&lt;&gt;"",70000,0)))),(IF(D35&lt;&gt;"",70000,0)))</f>
        <v>ILEGAL</v>
      </c>
      <c r="G35" s="503"/>
      <c r="H35" s="504"/>
      <c r="I35" s="281" t="str">
        <f>IF($B$3&lt;&gt;"Brutal Blockers",(IF($B$3&lt;&gt;"Bona Fide Big Guy","ILEGAL",(IF(G35&lt;&gt;"",110000,0)))),(IF(G35&lt;&gt;"",110000,0)))</f>
        <v>ILEGAL</v>
      </c>
      <c r="J35" s="503"/>
      <c r="K35" s="504"/>
      <c r="L35" s="281" t="str">
        <f>IF($B$3&lt;&gt;"Brutal Blockers",(IF($B$3&lt;&gt;"Bona Fide Big Guy","ILEGAL",(IF(J35&lt;&gt;"",150000,0)))),(IF(J35&lt;&gt;"",150000,0)))</f>
        <v>ILEGAL</v>
      </c>
      <c r="M35" s="503"/>
      <c r="N35" s="504"/>
      <c r="O35" s="281" t="str">
        <f>IF($B$3&lt;&gt;"Brutal Blockers",(IF($B$3&lt;&gt;"Bona Fide Big Guy","ILEGAL",(IF(M35&lt;&gt;"",190000,0)))),(IF(M35&lt;&gt;"",190000,0)))</f>
        <v>ILEGAL</v>
      </c>
      <c r="P35" s="503"/>
      <c r="Q35" s="504"/>
      <c r="R35" s="281" t="str">
        <f>IF($B$3&lt;&gt;"Brutal Blockers",(IF($B$3&lt;&gt;"Bona Fide Big Guy","ILEGAL",(IF(P35&lt;&gt;"",230000,0)))),(IF(P35&lt;&gt;"",230000,0)))</f>
        <v>ILEGAL</v>
      </c>
      <c r="S35" s="281">
        <f t="shared" ref="S35:S38" si="5">SUM(C35,F35,I35,L35,O35,R35)</f>
        <v>0</v>
      </c>
      <c r="T35" s="521"/>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3"/>
      <c r="E36" s="504"/>
      <c r="F36" s="281" t="str">
        <f>IF($B$3&lt;&gt;"Stunty Superstar",(IF($B$3&lt;&gt;"Reliable Ringers","ILEGAL",(IF(D36&lt;&gt;"",70000,0)))),(IF(D36&lt;&gt;"",30000,0)))</f>
        <v>ILEGAL</v>
      </c>
      <c r="G36" s="503"/>
      <c r="H36" s="504"/>
      <c r="I36" s="281" t="str">
        <f>IF($B$3&lt;&gt;"Stunty Superstar",(IF($B$3&lt;&gt;"Reliable Ringers","ILEGAL",(IF(G36&lt;&gt;"",110000,0)))),(IF(G36&lt;&gt;"",50000,0)))</f>
        <v>ILEGAL</v>
      </c>
      <c r="J36" s="503"/>
      <c r="K36" s="504"/>
      <c r="L36" s="281" t="str">
        <f>IF($B$3&lt;&gt;"Stunty Superstar",(IF($B$3&lt;&gt;"Reliable Ringers","ILEGAL",(IF(J36&lt;&gt;"",150000,0)))),(IF(J36&lt;&gt;"",70000,0)))</f>
        <v>ILEGAL</v>
      </c>
      <c r="M36" s="503"/>
      <c r="N36" s="504"/>
      <c r="O36" s="281" t="str">
        <f>IF($B$3&lt;&gt;"Stunty Superstar",(IF($B$3&lt;&gt;"Reliable Ringers","ILEGAL",(IF(M36&lt;&gt;"",190000,0)))),(IF(M36&lt;&gt;"",90000,0)))</f>
        <v>ILEGAL</v>
      </c>
      <c r="P36" s="503"/>
      <c r="Q36" s="504"/>
      <c r="R36" s="281" t="str">
        <f>IF($B$3&lt;&gt;"Stunty Superstar",(IF($B$3&lt;&gt;"Reliable Ringers","ILEGAL",(IF(P36&lt;&gt;"",230000,0)))),(IF(P36&lt;&gt;"",110000,0)))</f>
        <v>ILEGAL</v>
      </c>
      <c r="S36" s="281">
        <f t="shared" si="5"/>
        <v>0</v>
      </c>
      <c r="T36" s="521"/>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3"/>
      <c r="E37" s="504"/>
      <c r="F37" s="281" t="s">
        <v>1264</v>
      </c>
      <c r="G37" s="503"/>
      <c r="H37" s="504"/>
      <c r="I37" s="281" t="s">
        <v>1264</v>
      </c>
      <c r="J37" s="503"/>
      <c r="K37" s="504"/>
      <c r="L37" s="281" t="s">
        <v>1264</v>
      </c>
      <c r="M37" s="503"/>
      <c r="N37" s="504"/>
      <c r="O37" s="281" t="s">
        <v>1264</v>
      </c>
      <c r="P37" s="503"/>
      <c r="Q37" s="504"/>
      <c r="R37" s="281" t="s">
        <v>1264</v>
      </c>
      <c r="S37" s="281">
        <f t="shared" si="5"/>
        <v>0</v>
      </c>
      <c r="T37" s="521"/>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3"/>
      <c r="E38" s="504"/>
      <c r="F38" s="281" t="str">
        <f>IF(OR($B$3="Stunty Superstar",$B$3="Brutal Blockers",$B$3="Bona Fide Big Guy",$B$3="Mercenaries"),"ILEGAL",(IF(D38&lt;&gt;"",(IF($B$3="Legendary Linemen",70000,(IF(D38="Big Hand",30000,(IF(D38="Extra Arms",20000,(IF(D38="Two Heads",30000,(IF(D38="Very Long Legs",30000,"ILEGAL")))))))))),0)))</f>
        <v>ILEGAL</v>
      </c>
      <c r="G38" s="503"/>
      <c r="H38" s="504"/>
      <c r="I38" s="281" t="str">
        <f>IF(OR($B$3="Stunty Superstar",$B$3="Brutal Blockers",$B$3="Bona Fide Big Guy",$B$3="Mercenaries"),"ILEGAL",(IF(G38&lt;&gt;"",(IF($B$3="Legendary Linemen",110000,(IF(G38="Big Hand",30000,(IF(G38="Extra Arms",20000,(IF(G38="Two Heads",30000,(IF(G38="Very Long Legs",30000,0)))))))))),0)))</f>
        <v>ILEGAL</v>
      </c>
      <c r="J38" s="503"/>
      <c r="K38" s="504"/>
      <c r="L38" s="281" t="str">
        <f>IF(OR($B$3="Stunty Superstar",$B$3="Brutal Blockers",$B$3="Bona Fide Big Guy",$B$3="Mercenaries"),"ILEGAL",(IF(J38&lt;&gt;"",(IF($B$3="Legendary Linemen",150000,(IF(J38="Big Hand",30000,(IF(J38="Extra Arms",20000,(IF(J38="Two Heads",30000,(IF(J38="Very Long Legs",30000,0)))))))))),0)))</f>
        <v>ILEGAL</v>
      </c>
      <c r="M38" s="503"/>
      <c r="N38" s="504"/>
      <c r="O38" s="281" t="str">
        <f>IF(B29&lt;&gt;"Legendary Linemen","ILEGAL",(IF(M38&lt;&gt;"",190000,0)))</f>
        <v>ILEGAL</v>
      </c>
      <c r="P38" s="503"/>
      <c r="Q38" s="504"/>
      <c r="R38" s="281" t="str">
        <f>IF(B29&lt;&gt;"Legendary Linemen","ILEGAL",(IF(P38&lt;&gt;"",230000,0)))</f>
        <v>ILEGAL</v>
      </c>
      <c r="S38" s="281">
        <f t="shared" si="5"/>
        <v>0</v>
      </c>
      <c r="T38" s="521"/>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21"/>
      <c r="B39" s="521"/>
      <c r="C39" s="521"/>
      <c r="D39" s="521"/>
      <c r="E39" s="521"/>
      <c r="F39" s="521"/>
      <c r="G39" s="521"/>
      <c r="H39" s="521"/>
      <c r="I39" s="521"/>
      <c r="J39" s="521"/>
      <c r="K39" s="521"/>
      <c r="L39" s="521"/>
      <c r="M39" s="521"/>
      <c r="N39" s="521"/>
      <c r="O39" s="521"/>
      <c r="P39" s="521"/>
      <c r="Q39" s="521"/>
      <c r="R39" s="521"/>
      <c r="S39" s="521"/>
      <c r="T39" s="521"/>
      <c r="W39" s="265"/>
      <c r="X39" s="265"/>
      <c r="Y39" s="265"/>
    </row>
    <row r="40" spans="1:46" ht="12.75" hidden="1" customHeight="1">
      <c r="W40" s="265"/>
      <c r="X40" s="265"/>
      <c r="Y40" s="265"/>
    </row>
    <row r="41" spans="1:46" ht="12.75" hidden="1" customHeight="1">
      <c r="C41" s="507" t="s">
        <v>1276</v>
      </c>
      <c r="D41" s="508"/>
      <c r="F41" s="507" t="s">
        <v>1277</v>
      </c>
      <c r="G41" s="508"/>
      <c r="I41" s="507" t="s">
        <v>1278</v>
      </c>
      <c r="J41" s="508"/>
      <c r="L41" s="507" t="s">
        <v>1279</v>
      </c>
      <c r="M41" s="508"/>
      <c r="N41" s="291"/>
      <c r="O41" s="507" t="s">
        <v>1280</v>
      </c>
      <c r="P41" s="508"/>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4">
        <v>80000</v>
      </c>
      <c r="E44" s="294"/>
      <c r="F44" s="273" t="str">
        <f>IF(Roster!BV2&lt;&gt;"LustrianSuperleague",(IF(Roster!BV2&lt;&gt;"ElvenKingdomsLeague","Dirty Player (+2), Sneaky Git, Loner (5+)","")),"")</f>
        <v>Dirty Player (+2), Sneaky Git, Loner (5+)</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Dirty Player (+2), Sneaky Git, Loner (5+)</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Frenzy, Unchannelled Fury, Horns, -Throw Team Mate, -Bone Head</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Bombardier, Secret Weapon</v>
      </c>
      <c r="D45" s="274">
        <v>40000</v>
      </c>
      <c r="E45" s="279"/>
      <c r="F45" s="273" t="str">
        <f>IF(Roster!BV2&lt;&gt;"LustrianSuperleague",(IF(Roster!BV2&lt;&gt;"ElvenKingdomsLeague","Bombardier, Secret Weapon","")),"")</f>
        <v>Bombardier, Secret Weapon</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58"/>
      <c r="C2" s="167"/>
      <c r="D2" s="167"/>
      <c r="E2" s="167"/>
      <c r="F2" s="167"/>
      <c r="G2" s="167"/>
      <c r="H2" s="167"/>
      <c r="I2" s="167"/>
      <c r="J2" s="167"/>
      <c r="K2" s="167"/>
      <c r="L2" s="167"/>
      <c r="M2" s="167"/>
      <c r="N2" s="167"/>
      <c r="O2" s="167"/>
      <c r="P2" s="30"/>
      <c r="Q2" s="531" t="str">
        <f>IF(Roster!$A$2=0,"","#"&amp;Roster!$A$2)</f>
        <v>#1</v>
      </c>
      <c r="R2" s="167"/>
      <c r="S2" s="167"/>
      <c r="T2" s="167"/>
      <c r="U2" s="167"/>
      <c r="V2" s="167"/>
      <c r="W2" s="167"/>
      <c r="X2" s="167"/>
      <c r="Y2" s="167"/>
      <c r="Z2" s="167"/>
      <c r="AA2" s="167"/>
      <c r="AB2" s="167"/>
      <c r="AC2" s="167"/>
      <c r="AD2" s="167"/>
      <c r="AE2" s="30"/>
      <c r="AF2" s="531" t="str">
        <f>IF(Roster!$A$3=0,"","#"&amp;Roster!$A$3)</f>
        <v>#2</v>
      </c>
      <c r="AG2" s="167"/>
      <c r="AH2" s="167"/>
      <c r="AI2" s="167"/>
      <c r="AJ2" s="167"/>
      <c r="AK2" s="167"/>
      <c r="AL2" s="167"/>
      <c r="AM2" s="167"/>
      <c r="AN2" s="167"/>
      <c r="AO2" s="167"/>
      <c r="AP2" s="167"/>
      <c r="AQ2" s="167"/>
      <c r="AR2" s="167"/>
      <c r="AS2" s="167"/>
      <c r="AT2" s="30"/>
      <c r="AU2" s="531" t="str">
        <f>IF(Roster!$A$4=0,"","#"&amp;Roster!$A$4)</f>
        <v>#3</v>
      </c>
      <c r="AV2" s="167"/>
      <c r="AW2" s="167"/>
      <c r="AX2" s="167"/>
      <c r="AY2" s="167"/>
      <c r="AZ2" s="167"/>
      <c r="BA2" s="167"/>
      <c r="BB2" s="167"/>
      <c r="BC2" s="167"/>
      <c r="BD2" s="167"/>
      <c r="BE2" s="167"/>
      <c r="BF2" s="167"/>
      <c r="BG2" s="167"/>
      <c r="BH2" s="167"/>
    </row>
    <row r="3" spans="1:60" ht="15" customHeight="1">
      <c r="A3" s="30"/>
      <c r="B3" s="499"/>
      <c r="C3" s="524" t="str">
        <f>IF(Roster!$K$24=0,Roster!$D$24,Roster!$K$24)</f>
        <v>Sgaua</v>
      </c>
      <c r="D3" s="484"/>
      <c r="E3" s="484"/>
      <c r="F3" s="484"/>
      <c r="G3" s="484"/>
      <c r="H3" s="484"/>
      <c r="I3" s="484"/>
      <c r="J3" s="484"/>
      <c r="K3" s="484"/>
      <c r="L3" s="484"/>
      <c r="M3" s="484"/>
      <c r="N3" s="485"/>
      <c r="O3" s="167"/>
      <c r="P3" s="30"/>
      <c r="Q3" s="499"/>
      <c r="R3" s="524" t="str">
        <f>IF(Roster!$B$2=0,"",Roster!$B$2)</f>
        <v>Mini Tony</v>
      </c>
      <c r="S3" s="484"/>
      <c r="T3" s="484"/>
      <c r="U3" s="484"/>
      <c r="V3" s="484"/>
      <c r="W3" s="484"/>
      <c r="X3" s="484"/>
      <c r="Y3" s="484"/>
      <c r="Z3" s="484"/>
      <c r="AA3" s="484"/>
      <c r="AB3" s="484"/>
      <c r="AC3" s="485"/>
      <c r="AD3" s="167"/>
      <c r="AE3" s="30"/>
      <c r="AF3" s="499"/>
      <c r="AG3" s="524" t="str">
        <f>IF(Roster!$B$3=0,"",Roster!$B$3)</f>
        <v>Rino Goblano</v>
      </c>
      <c r="AH3" s="484"/>
      <c r="AI3" s="484"/>
      <c r="AJ3" s="484"/>
      <c r="AK3" s="484"/>
      <c r="AL3" s="484"/>
      <c r="AM3" s="484"/>
      <c r="AN3" s="484"/>
      <c r="AO3" s="484"/>
      <c r="AP3" s="484"/>
      <c r="AQ3" s="484"/>
      <c r="AR3" s="485"/>
      <c r="AS3" s="167"/>
      <c r="AT3" s="30"/>
      <c r="AU3" s="499"/>
      <c r="AV3" s="524" t="str">
        <f>IF(Roster!$B$4=0,"",Roster!$B$4)</f>
        <v>Gobbo Minieri</v>
      </c>
      <c r="AW3" s="484"/>
      <c r="AX3" s="484"/>
      <c r="AY3" s="484"/>
      <c r="AZ3" s="484"/>
      <c r="BA3" s="484"/>
      <c r="BB3" s="484"/>
      <c r="BC3" s="484"/>
      <c r="BD3" s="484"/>
      <c r="BE3" s="484"/>
      <c r="BF3" s="484"/>
      <c r="BG3" s="485"/>
      <c r="BH3" s="167"/>
    </row>
    <row r="4" spans="1:60" ht="11.25" customHeight="1">
      <c r="A4" s="30"/>
      <c r="B4" s="499"/>
      <c r="C4" s="530" t="str">
        <f>IF(Roster!$K$21="SPONSORS",Roster!$K$23,Roster!$K$23&amp;"; Sponsor: "&amp;Roster!$K$21)</f>
        <v>Goblin</v>
      </c>
      <c r="D4" s="484"/>
      <c r="E4" s="484"/>
      <c r="F4" s="484"/>
      <c r="G4" s="484"/>
      <c r="H4" s="484"/>
      <c r="I4" s="484"/>
      <c r="J4" s="484"/>
      <c r="K4" s="484"/>
      <c r="L4" s="484"/>
      <c r="M4" s="484"/>
      <c r="N4" s="485"/>
      <c r="O4" s="168"/>
      <c r="P4" s="30"/>
      <c r="Q4" s="500"/>
      <c r="R4" s="530" t="str">
        <f>IF(Roster!$D$2=0,"",Roster!$D$2)</f>
        <v>Looney</v>
      </c>
      <c r="S4" s="484"/>
      <c r="T4" s="484"/>
      <c r="U4" s="484"/>
      <c r="V4" s="484"/>
      <c r="W4" s="484"/>
      <c r="X4" s="484"/>
      <c r="Y4" s="484"/>
      <c r="Z4" s="484"/>
      <c r="AA4" s="484"/>
      <c r="AB4" s="484"/>
      <c r="AC4" s="485"/>
      <c r="AD4" s="168"/>
      <c r="AE4" s="30"/>
      <c r="AF4" s="500"/>
      <c r="AG4" s="530" t="str">
        <f>IF(Roster!$D$3=0,"",Roster!$D$3)</f>
        <v xml:space="preserve">Fanatic </v>
      </c>
      <c r="AH4" s="484"/>
      <c r="AI4" s="484"/>
      <c r="AJ4" s="484"/>
      <c r="AK4" s="484"/>
      <c r="AL4" s="484"/>
      <c r="AM4" s="484"/>
      <c r="AN4" s="484"/>
      <c r="AO4" s="484"/>
      <c r="AP4" s="484"/>
      <c r="AQ4" s="484"/>
      <c r="AR4" s="485"/>
      <c r="AS4" s="168"/>
      <c r="AT4" s="30"/>
      <c r="AU4" s="500"/>
      <c r="AV4" s="530" t="str">
        <f>IF(Roster!$D$4=0,"",Roster!$D$4)</f>
        <v>Bombardier</v>
      </c>
      <c r="AW4" s="484"/>
      <c r="AX4" s="484"/>
      <c r="AY4" s="484"/>
      <c r="AZ4" s="484"/>
      <c r="BA4" s="484"/>
      <c r="BB4" s="484"/>
      <c r="BC4" s="484"/>
      <c r="BD4" s="484"/>
      <c r="BE4" s="484"/>
      <c r="BF4" s="484"/>
      <c r="BG4" s="485"/>
      <c r="BH4" s="168"/>
    </row>
    <row r="5" spans="1:60" ht="11.25" customHeight="1">
      <c r="A5" s="30"/>
      <c r="B5" s="500"/>
      <c r="C5" s="169"/>
      <c r="D5" s="530" t="str">
        <f>IF(Roster!$D$32=0,"",Roster!$D$32)</f>
        <v>TEAM VALUE</v>
      </c>
      <c r="E5" s="484"/>
      <c r="F5" s="485"/>
      <c r="G5" s="170"/>
      <c r="H5" s="530" t="str">
        <f>IF(Roster!$D$26=0,"",Roster!$D$26)</f>
        <v>TEAM NAME</v>
      </c>
      <c r="I5" s="484"/>
      <c r="J5" s="485"/>
      <c r="K5" s="170"/>
      <c r="L5" s="530" t="str">
        <f>IF(Roster!$AE$21=0,"",Roster!$AE$21)</f>
        <v>TOTAL REROLLS</v>
      </c>
      <c r="M5" s="484"/>
      <c r="N5" s="485"/>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c r="A6" s="30"/>
      <c r="B6" s="559" t="str">
        <f>IF(Roster!$K$22=0,"",Roster!$K$22)</f>
        <v>STADIUM</v>
      </c>
      <c r="C6" s="172"/>
      <c r="D6" s="557">
        <f>Roster!$K$32</f>
        <v>1085</v>
      </c>
      <c r="E6" s="484"/>
      <c r="F6" s="485"/>
      <c r="G6" s="170"/>
      <c r="H6" s="557" t="str">
        <f>IF(Roster!$K$26=0,"",Roster!$K$26)</f>
        <v>Goblin Tattici del Kanta Giro</v>
      </c>
      <c r="I6" s="484"/>
      <c r="J6" s="485"/>
      <c r="K6" s="170"/>
      <c r="L6" s="557">
        <f>Roster!$AJ$22</f>
        <v>3</v>
      </c>
      <c r="M6" s="484"/>
      <c r="N6" s="485"/>
      <c r="O6" s="167"/>
      <c r="P6" s="30"/>
      <c r="Q6" s="173">
        <f>IF(Roster!$K$2=0,"",Roster!$K$2)</f>
        <v>6</v>
      </c>
      <c r="R6" s="170"/>
      <c r="S6" s="543"/>
      <c r="T6" s="543"/>
      <c r="U6" s="543"/>
      <c r="V6" s="543"/>
      <c r="W6" s="543"/>
      <c r="X6" s="543"/>
      <c r="Y6" s="543"/>
      <c r="Z6" s="543"/>
      <c r="AA6" s="543"/>
      <c r="AB6" s="543"/>
      <c r="AC6" s="543"/>
      <c r="AD6" s="167"/>
      <c r="AE6" s="30"/>
      <c r="AF6" s="173">
        <f>IF(Roster!$K$3=0,"",Roster!$K$3)</f>
        <v>3</v>
      </c>
      <c r="AG6" s="170"/>
      <c r="AH6" s="543"/>
      <c r="AI6" s="543"/>
      <c r="AJ6" s="543"/>
      <c r="AK6" s="543"/>
      <c r="AL6" s="543"/>
      <c r="AM6" s="543"/>
      <c r="AN6" s="543"/>
      <c r="AO6" s="543"/>
      <c r="AP6" s="543"/>
      <c r="AQ6" s="543"/>
      <c r="AR6" s="543"/>
      <c r="AS6" s="167"/>
      <c r="AT6" s="30"/>
      <c r="AU6" s="173">
        <f>IF(Roster!$K$4=0,"",Roster!$K$4)</f>
        <v>6</v>
      </c>
      <c r="AV6" s="170"/>
      <c r="AW6" s="543"/>
      <c r="AX6" s="543"/>
      <c r="AY6" s="543"/>
      <c r="AZ6" s="543"/>
      <c r="BA6" s="543"/>
      <c r="BB6" s="543"/>
      <c r="BC6" s="543"/>
      <c r="BD6" s="543"/>
      <c r="BE6" s="543"/>
      <c r="BF6" s="543"/>
      <c r="BG6" s="543"/>
      <c r="BH6" s="167"/>
    </row>
    <row r="7" spans="1:60" ht="11.25" customHeight="1">
      <c r="A7" s="30"/>
      <c r="B7" s="499"/>
      <c r="C7" s="171"/>
      <c r="D7" s="530" t="str">
        <f>IF(Roster!$S$22=0,"",Roster!$S$22)</f>
        <v>APOTHECARY</v>
      </c>
      <c r="E7" s="484"/>
      <c r="F7" s="485"/>
      <c r="G7" s="170"/>
      <c r="H7" s="530" t="str">
        <f>IF(Roster!$S$23=0,"",Roster!$S$23)</f>
        <v>CHEERLEADERS</v>
      </c>
      <c r="I7" s="484"/>
      <c r="J7" s="485"/>
      <c r="K7" s="170"/>
      <c r="L7" s="530" t="str">
        <f>IF(Roster!$S$24=0,"",Roster!$S$24)</f>
        <v>ASSISTANT COACHES</v>
      </c>
      <c r="M7" s="484"/>
      <c r="N7" s="485"/>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c r="A8" s="30"/>
      <c r="B8" s="499"/>
      <c r="C8" s="174"/>
      <c r="D8" s="557">
        <f>Roster!$X$22</f>
        <v>0</v>
      </c>
      <c r="E8" s="484"/>
      <c r="F8" s="485"/>
      <c r="G8" s="170"/>
      <c r="H8" s="557">
        <f>Roster!$X$23</f>
        <v>0</v>
      </c>
      <c r="I8" s="484"/>
      <c r="J8" s="485"/>
      <c r="K8" s="170"/>
      <c r="L8" s="557">
        <f>Roster!$X$24</f>
        <v>0</v>
      </c>
      <c r="M8" s="484"/>
      <c r="N8" s="485"/>
      <c r="O8" s="167"/>
      <c r="P8" s="30"/>
      <c r="Q8" s="173">
        <f>IF(Roster!$L$2=0,"",Roster!$L$2)</f>
        <v>2</v>
      </c>
      <c r="R8" s="170"/>
      <c r="S8" s="543"/>
      <c r="T8" s="543"/>
      <c r="U8" s="543"/>
      <c r="V8" s="543"/>
      <c r="W8" s="543"/>
      <c r="X8" s="543"/>
      <c r="Y8" s="543"/>
      <c r="Z8" s="543"/>
      <c r="AA8" s="543"/>
      <c r="AB8" s="543"/>
      <c r="AC8" s="543"/>
      <c r="AD8" s="167"/>
      <c r="AE8" s="30"/>
      <c r="AF8" s="173">
        <f>IF(Roster!$L$3=0,"",Roster!$L$3)</f>
        <v>7</v>
      </c>
      <c r="AG8" s="170"/>
      <c r="AH8" s="543"/>
      <c r="AI8" s="543"/>
      <c r="AJ8" s="543"/>
      <c r="AK8" s="543"/>
      <c r="AL8" s="543"/>
      <c r="AM8" s="543"/>
      <c r="AN8" s="543"/>
      <c r="AO8" s="543"/>
      <c r="AP8" s="543"/>
      <c r="AQ8" s="543"/>
      <c r="AR8" s="543"/>
      <c r="AS8" s="167"/>
      <c r="AT8" s="30"/>
      <c r="AU8" s="173">
        <f>IF(Roster!$L$4=0,"",Roster!$L$4)</f>
        <v>2</v>
      </c>
      <c r="AV8" s="170"/>
      <c r="AW8" s="543"/>
      <c r="AX8" s="543"/>
      <c r="AY8" s="543"/>
      <c r="AZ8" s="543"/>
      <c r="BA8" s="543"/>
      <c r="BB8" s="543"/>
      <c r="BC8" s="543"/>
      <c r="BD8" s="543"/>
      <c r="BE8" s="543"/>
      <c r="BF8" s="543"/>
      <c r="BG8" s="543"/>
      <c r="BH8" s="167"/>
    </row>
    <row r="9" spans="1:60" ht="11.25" customHeight="1">
      <c r="A9" s="30"/>
      <c r="B9" s="499"/>
      <c r="C9" s="169"/>
      <c r="D9" s="530" t="str">
        <f>IF(Roster!$S$25=0,"",Roster!$S$25)</f>
        <v>BLOODWEISER KEGS</v>
      </c>
      <c r="E9" s="484"/>
      <c r="F9" s="485"/>
      <c r="G9" s="170"/>
      <c r="H9" s="530" t="str">
        <f>IF(Roster!$S$29=0,"",Roster!$S$29)</f>
        <v>BRIBES</v>
      </c>
      <c r="I9" s="484"/>
      <c r="J9" s="485"/>
      <c r="K9" s="170"/>
      <c r="L9" s="530" t="str">
        <f>IF(Roster!$S$30=0,"",Roster!$S$30)</f>
        <v>MASTER CHEF</v>
      </c>
      <c r="M9" s="484"/>
      <c r="N9" s="485"/>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c r="A10" s="30"/>
      <c r="B10" s="499"/>
      <c r="C10" s="174"/>
      <c r="D10" s="557">
        <f>Roster!$X$25</f>
        <v>0</v>
      </c>
      <c r="E10" s="484"/>
      <c r="F10" s="485"/>
      <c r="G10" s="170"/>
      <c r="H10" s="557">
        <f>Roster!$X$29</f>
        <v>0</v>
      </c>
      <c r="I10" s="484"/>
      <c r="J10" s="485"/>
      <c r="K10" s="170"/>
      <c r="L10" s="557">
        <f>Roster!$X$30</f>
        <v>0</v>
      </c>
      <c r="M10" s="484"/>
      <c r="N10" s="485"/>
      <c r="O10" s="167"/>
      <c r="P10" s="30"/>
      <c r="Q10" s="173" t="str">
        <f>IF(Roster!$M$2=0&amp;"+","",Roster!$M$2)</f>
        <v>3+</v>
      </c>
      <c r="R10" s="170"/>
      <c r="S10" s="543"/>
      <c r="T10" s="543"/>
      <c r="U10" s="543"/>
      <c r="V10" s="543"/>
      <c r="W10" s="543"/>
      <c r="X10" s="543"/>
      <c r="Y10" s="543"/>
      <c r="Z10" s="543"/>
      <c r="AA10" s="543"/>
      <c r="AB10" s="543"/>
      <c r="AC10" s="543"/>
      <c r="AD10" s="167"/>
      <c r="AE10" s="30"/>
      <c r="AF10" s="173" t="str">
        <f>IF(Roster!$M$3=0&amp;"+","",Roster!$M$3)</f>
        <v>3+</v>
      </c>
      <c r="AG10" s="170"/>
      <c r="AH10" s="543"/>
      <c r="AI10" s="543"/>
      <c r="AJ10" s="543"/>
      <c r="AK10" s="543"/>
      <c r="AL10" s="543"/>
      <c r="AM10" s="543"/>
      <c r="AN10" s="543"/>
      <c r="AO10" s="543"/>
      <c r="AP10" s="543"/>
      <c r="AQ10" s="543"/>
      <c r="AR10" s="543"/>
      <c r="AS10" s="167"/>
      <c r="AT10" s="30"/>
      <c r="AU10" s="173" t="str">
        <f>IF(Roster!$M$4=0&amp;"+","",Roster!$M$4)</f>
        <v>3+</v>
      </c>
      <c r="AV10" s="170"/>
      <c r="AW10" s="543"/>
      <c r="AX10" s="543"/>
      <c r="AY10" s="543"/>
      <c r="AZ10" s="543"/>
      <c r="BA10" s="543"/>
      <c r="BB10" s="543"/>
      <c r="BC10" s="543"/>
      <c r="BD10" s="543"/>
      <c r="BE10" s="543"/>
      <c r="BF10" s="543"/>
      <c r="BG10" s="543"/>
      <c r="BH10" s="167"/>
    </row>
    <row r="11" spans="1:60" ht="11.25" customHeight="1">
      <c r="A11" s="30"/>
      <c r="B11" s="499"/>
      <c r="C11" s="171"/>
      <c r="D11" s="554" t="str">
        <f>IF(Roster!$S$31=0,"",Roster!$S$31)</f>
        <v>RIOTOUS ROOKIES</v>
      </c>
      <c r="E11" s="484"/>
      <c r="F11" s="485"/>
      <c r="G11" s="175"/>
      <c r="H11" s="554" t="str">
        <f>IF(Roster!$AE$25=0,"",Roster!$AE$25)</f>
        <v>WIZARDS</v>
      </c>
      <c r="I11" s="484"/>
      <c r="J11" s="485"/>
      <c r="K11" s="175"/>
      <c r="L11" s="530" t="str">
        <f>IF(Roster!$AE$24=0,"",Roster!$AE$24)</f>
        <v>WEATHER MAGE</v>
      </c>
      <c r="M11" s="484"/>
      <c r="N11" s="485"/>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c r="A12" s="30"/>
      <c r="B12" s="499"/>
      <c r="C12" s="172"/>
      <c r="D12" s="547">
        <f>Roster!$X$31</f>
        <v>0</v>
      </c>
      <c r="E12" s="548"/>
      <c r="F12" s="549"/>
      <c r="G12" s="177"/>
      <c r="H12" s="547">
        <f>Roster!$AJ$25</f>
        <v>0</v>
      </c>
      <c r="I12" s="548"/>
      <c r="J12" s="549"/>
      <c r="K12" s="177"/>
      <c r="L12" s="547">
        <f>Roster!$AJ$24</f>
        <v>0</v>
      </c>
      <c r="M12" s="548"/>
      <c r="N12" s="549"/>
      <c r="O12" s="178"/>
      <c r="P12" s="30"/>
      <c r="Q12" s="532" t="str">
        <f>IF(Roster!$N$2=0&amp;"+","",Roster!$N$2)</f>
        <v/>
      </c>
      <c r="R12" s="170"/>
      <c r="S12" s="543"/>
      <c r="T12" s="543"/>
      <c r="U12" s="543"/>
      <c r="V12" s="543"/>
      <c r="W12" s="543"/>
      <c r="X12" s="543"/>
      <c r="Y12" s="543"/>
      <c r="Z12" s="543"/>
      <c r="AA12" s="543"/>
      <c r="AB12" s="543"/>
      <c r="AC12" s="543"/>
      <c r="AD12" s="178"/>
      <c r="AE12" s="30"/>
      <c r="AF12" s="532" t="str">
        <f>IF(Roster!$N$3=0&amp;"+","",Roster!$N$3)</f>
        <v/>
      </c>
      <c r="AG12" s="170"/>
      <c r="AH12" s="543"/>
      <c r="AI12" s="543"/>
      <c r="AJ12" s="543"/>
      <c r="AK12" s="543"/>
      <c r="AL12" s="543"/>
      <c r="AM12" s="543"/>
      <c r="AN12" s="543"/>
      <c r="AO12" s="543"/>
      <c r="AP12" s="543"/>
      <c r="AQ12" s="543"/>
      <c r="AR12" s="543"/>
      <c r="AS12" s="178"/>
      <c r="AT12" s="30"/>
      <c r="AU12" s="532" t="str">
        <f>IF(Roster!$N$4=0&amp;"+","",Roster!$N$4)</f>
        <v>4+</v>
      </c>
      <c r="AV12" s="170"/>
      <c r="AW12" s="543"/>
      <c r="AX12" s="543"/>
      <c r="AY12" s="543"/>
      <c r="AZ12" s="543"/>
      <c r="BA12" s="543"/>
      <c r="BB12" s="543"/>
      <c r="BC12" s="543"/>
      <c r="BD12" s="543"/>
      <c r="BE12" s="543"/>
      <c r="BF12" s="543"/>
      <c r="BG12" s="543"/>
      <c r="BH12" s="178"/>
    </row>
    <row r="13" spans="1:60" ht="4.5" customHeight="1">
      <c r="A13" s="30"/>
      <c r="B13" s="499"/>
      <c r="C13" s="172"/>
      <c r="D13" s="550"/>
      <c r="E13" s="396"/>
      <c r="F13" s="551"/>
      <c r="G13" s="177"/>
      <c r="H13" s="550"/>
      <c r="I13" s="396"/>
      <c r="J13" s="551"/>
      <c r="K13" s="177"/>
      <c r="L13" s="550"/>
      <c r="M13" s="396"/>
      <c r="N13" s="551"/>
      <c r="O13" s="178"/>
      <c r="P13" s="30"/>
      <c r="Q13" s="499"/>
      <c r="R13" s="170"/>
      <c r="S13" s="167"/>
      <c r="T13" s="177"/>
      <c r="U13" s="167"/>
      <c r="V13" s="177"/>
      <c r="W13" s="167"/>
      <c r="X13" s="177"/>
      <c r="Y13" s="167"/>
      <c r="Z13" s="177"/>
      <c r="AA13" s="167"/>
      <c r="AB13" s="177"/>
      <c r="AC13" s="167"/>
      <c r="AD13" s="178"/>
      <c r="AE13" s="30"/>
      <c r="AF13" s="499"/>
      <c r="AG13" s="170"/>
      <c r="AH13" s="167"/>
      <c r="AI13" s="177"/>
      <c r="AJ13" s="167"/>
      <c r="AK13" s="177"/>
      <c r="AL13" s="167"/>
      <c r="AM13" s="177"/>
      <c r="AN13" s="167"/>
      <c r="AO13" s="177"/>
      <c r="AP13" s="167"/>
      <c r="AQ13" s="177"/>
      <c r="AR13" s="167"/>
      <c r="AS13" s="178"/>
      <c r="AT13" s="30"/>
      <c r="AU13" s="499"/>
      <c r="AV13" s="170"/>
      <c r="AW13" s="167"/>
      <c r="AX13" s="177"/>
      <c r="AY13" s="167"/>
      <c r="AZ13" s="177"/>
      <c r="BA13" s="167"/>
      <c r="BB13" s="177"/>
      <c r="BC13" s="167"/>
      <c r="BD13" s="177"/>
      <c r="BE13" s="167"/>
      <c r="BF13" s="177"/>
      <c r="BG13" s="167"/>
      <c r="BH13" s="178"/>
    </row>
    <row r="14" spans="1:60" ht="11.25" customHeight="1">
      <c r="A14" s="30"/>
      <c r="B14" s="499"/>
      <c r="C14" s="172"/>
      <c r="D14" s="550"/>
      <c r="E14" s="396"/>
      <c r="F14" s="551"/>
      <c r="G14" s="177"/>
      <c r="H14" s="550"/>
      <c r="I14" s="396"/>
      <c r="J14" s="551"/>
      <c r="K14" s="177"/>
      <c r="L14" s="550"/>
      <c r="M14" s="396"/>
      <c r="N14" s="551"/>
      <c r="O14" s="178"/>
      <c r="P14" s="30"/>
      <c r="Q14" s="499"/>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9"/>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9"/>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9"/>
      <c r="C15" s="172"/>
      <c r="D15" s="550"/>
      <c r="E15" s="396"/>
      <c r="F15" s="551"/>
      <c r="G15" s="172"/>
      <c r="H15" s="550"/>
      <c r="I15" s="396"/>
      <c r="J15" s="551"/>
      <c r="K15" s="172"/>
      <c r="L15" s="550"/>
      <c r="M15" s="396"/>
      <c r="N15" s="551"/>
      <c r="O15" s="178"/>
      <c r="P15" s="30"/>
      <c r="Q15" s="499"/>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9"/>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9"/>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9"/>
      <c r="C16" s="172"/>
      <c r="D16" s="552"/>
      <c r="E16" s="553"/>
      <c r="F16" s="371"/>
      <c r="G16" s="172"/>
      <c r="H16" s="552"/>
      <c r="I16" s="553"/>
      <c r="J16" s="371"/>
      <c r="K16" s="172"/>
      <c r="L16" s="552"/>
      <c r="M16" s="553"/>
      <c r="N16" s="371"/>
      <c r="O16" s="178"/>
      <c r="P16" s="30"/>
      <c r="Q16" s="500"/>
      <c r="R16" s="172"/>
      <c r="S16" s="181"/>
      <c r="T16" s="172"/>
      <c r="U16" s="181"/>
      <c r="V16" s="172"/>
      <c r="W16" s="181"/>
      <c r="X16" s="172"/>
      <c r="Y16" s="181"/>
      <c r="Z16" s="172"/>
      <c r="AA16" s="181"/>
      <c r="AB16" s="172"/>
      <c r="AC16" s="181"/>
      <c r="AD16" s="178"/>
      <c r="AE16" s="30"/>
      <c r="AF16" s="500"/>
      <c r="AG16" s="172"/>
      <c r="AH16" s="181"/>
      <c r="AI16" s="172"/>
      <c r="AJ16" s="181"/>
      <c r="AK16" s="172"/>
      <c r="AL16" s="181"/>
      <c r="AM16" s="172"/>
      <c r="AN16" s="181"/>
      <c r="AO16" s="172"/>
      <c r="AP16" s="181"/>
      <c r="AQ16" s="172"/>
      <c r="AR16" s="181"/>
      <c r="AS16" s="178"/>
      <c r="AT16" s="30"/>
      <c r="AU16" s="500"/>
      <c r="AV16" s="172"/>
      <c r="AW16" s="181"/>
      <c r="AX16" s="172"/>
      <c r="AY16" s="181"/>
      <c r="AZ16" s="172"/>
      <c r="BA16" s="181"/>
      <c r="BB16" s="172"/>
      <c r="BC16" s="181"/>
      <c r="BD16" s="172"/>
      <c r="BE16" s="181"/>
      <c r="BF16" s="172"/>
      <c r="BG16" s="181"/>
      <c r="BH16" s="178"/>
    </row>
    <row r="17" spans="1:60" ht="11.25" customHeight="1">
      <c r="A17" s="30"/>
      <c r="B17" s="499"/>
      <c r="C17" s="171"/>
      <c r="D17" s="530" t="str">
        <f>IF(Roster!$S$26=0,"",Roster!$S$26)</f>
        <v>SPECIAL CARD</v>
      </c>
      <c r="E17" s="484"/>
      <c r="F17" s="485"/>
      <c r="G17" s="171"/>
      <c r="H17" s="554" t="str">
        <f>IF(Roster!$AE$26=0,"",Roster!$AE$26)</f>
        <v>(IN)FAMOUS COACHES</v>
      </c>
      <c r="I17" s="484"/>
      <c r="J17" s="485"/>
      <c r="K17" s="171"/>
      <c r="L17" s="554" t="str">
        <f>IF(Roster!$AE$27=0,"",Roster!$AE$27)</f>
        <v>(IN)FAMOUS COACHES</v>
      </c>
      <c r="M17" s="484"/>
      <c r="N17" s="485"/>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9"/>
      <c r="C18" s="172"/>
      <c r="D18" s="547">
        <f>Roster!$X$26</f>
        <v>0</v>
      </c>
      <c r="E18" s="548"/>
      <c r="F18" s="549"/>
      <c r="G18" s="172"/>
      <c r="H18" s="547">
        <f>Roster!$AJ$26</f>
        <v>0</v>
      </c>
      <c r="I18" s="548"/>
      <c r="J18" s="549"/>
      <c r="K18" s="172"/>
      <c r="L18" s="547">
        <f>Roster!$AJ$27</f>
        <v>0</v>
      </c>
      <c r="M18" s="548"/>
      <c r="N18" s="549"/>
      <c r="O18" s="182"/>
      <c r="P18" s="30"/>
      <c r="Q18" s="532" t="str">
        <f>IF(Roster!$O$2=0&amp;"+","",Roster!$O$2)</f>
        <v>8+</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32" t="str">
        <f>IF(Roster!$O$3=0&amp;"+","",Roster!$O$3)</f>
        <v>8+</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32" t="str">
        <f>IF(Roster!$O$4=0&amp;"+","",Roster!$O$4)</f>
        <v>8+</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499"/>
      <c r="C19" s="172"/>
      <c r="D19" s="550"/>
      <c r="E19" s="396"/>
      <c r="F19" s="551"/>
      <c r="G19" s="172"/>
      <c r="H19" s="550"/>
      <c r="I19" s="396"/>
      <c r="J19" s="551"/>
      <c r="K19" s="172"/>
      <c r="L19" s="550"/>
      <c r="M19" s="396"/>
      <c r="N19" s="551"/>
      <c r="O19" s="182"/>
      <c r="P19" s="30"/>
      <c r="Q19" s="499"/>
      <c r="R19" s="172"/>
      <c r="S19" s="172"/>
      <c r="T19" s="172"/>
      <c r="U19" s="172"/>
      <c r="V19" s="172"/>
      <c r="W19" s="172"/>
      <c r="X19" s="172"/>
      <c r="Y19" s="172"/>
      <c r="Z19" s="172"/>
      <c r="AA19" s="172"/>
      <c r="AB19" s="172"/>
      <c r="AC19" s="178"/>
      <c r="AD19" s="182"/>
      <c r="AE19" s="30"/>
      <c r="AF19" s="499"/>
      <c r="AG19" s="172"/>
      <c r="AH19" s="172"/>
      <c r="AI19" s="172"/>
      <c r="AJ19" s="172"/>
      <c r="AK19" s="172"/>
      <c r="AL19" s="172"/>
      <c r="AM19" s="172"/>
      <c r="AN19" s="172"/>
      <c r="AO19" s="172"/>
      <c r="AP19" s="172"/>
      <c r="AQ19" s="172"/>
      <c r="AR19" s="178"/>
      <c r="AS19" s="182"/>
      <c r="AT19" s="30"/>
      <c r="AU19" s="499"/>
      <c r="AV19" s="172"/>
      <c r="AW19" s="172"/>
      <c r="AX19" s="172"/>
      <c r="AY19" s="172"/>
      <c r="AZ19" s="172"/>
      <c r="BA19" s="172"/>
      <c r="BB19" s="172"/>
      <c r="BC19" s="172"/>
      <c r="BD19" s="172"/>
      <c r="BE19" s="172"/>
      <c r="BF19" s="172"/>
      <c r="BG19" s="178"/>
      <c r="BH19" s="182"/>
    </row>
    <row r="20" spans="1:60" ht="11.25" customHeight="1">
      <c r="A20" s="30"/>
      <c r="B20" s="499"/>
      <c r="C20" s="172"/>
      <c r="D20" s="550"/>
      <c r="E20" s="396"/>
      <c r="F20" s="551"/>
      <c r="G20" s="176"/>
      <c r="H20" s="550"/>
      <c r="I20" s="396"/>
      <c r="J20" s="551"/>
      <c r="K20" s="176"/>
      <c r="L20" s="550"/>
      <c r="M20" s="396"/>
      <c r="N20" s="551"/>
      <c r="O20" s="182"/>
      <c r="P20" s="30"/>
      <c r="Q20" s="499"/>
      <c r="R20" s="172"/>
      <c r="S20" s="529" t="str">
        <f>IF(Roster!$K$25="Italiano","ABILITÀ &amp; TRATTI",(IF(Roster!$K$25="Español","HABILIDADES Y RASGOS","SKILLS &amp; TRAITS")))</f>
        <v>SKILLS &amp; TRAITS</v>
      </c>
      <c r="T20" s="484"/>
      <c r="U20" s="484"/>
      <c r="V20" s="484"/>
      <c r="W20" s="484"/>
      <c r="X20" s="484"/>
      <c r="Y20" s="484"/>
      <c r="Z20" s="484"/>
      <c r="AA20" s="484"/>
      <c r="AB20" s="484"/>
      <c r="AC20" s="485"/>
      <c r="AD20" s="182"/>
      <c r="AE20" s="30"/>
      <c r="AF20" s="499"/>
      <c r="AG20" s="172"/>
      <c r="AH20" s="529" t="str">
        <f>IF(Roster!$K$25="Italiano","ABILITÀ &amp; TRATTI",(IF(Roster!$K$25="Español","HABILIDADES Y RASGOS","SKILLS &amp; TRAITS")))</f>
        <v>SKILLS &amp; TRAITS</v>
      </c>
      <c r="AI20" s="484"/>
      <c r="AJ20" s="484"/>
      <c r="AK20" s="484"/>
      <c r="AL20" s="484"/>
      <c r="AM20" s="484"/>
      <c r="AN20" s="484"/>
      <c r="AO20" s="484"/>
      <c r="AP20" s="484"/>
      <c r="AQ20" s="484"/>
      <c r="AR20" s="485"/>
      <c r="AS20" s="182"/>
      <c r="AT20" s="30"/>
      <c r="AU20" s="499"/>
      <c r="AV20" s="172"/>
      <c r="AW20" s="529" t="str">
        <f>IF(Roster!$K$25="Italiano","ABILITÀ &amp; TRATTI",(IF(Roster!$K$25="Español","HABILIDADES Y RASGOS","SKILLS &amp; TRAITS")))</f>
        <v>SKILLS &amp; TRAITS</v>
      </c>
      <c r="AX20" s="484"/>
      <c r="AY20" s="484"/>
      <c r="AZ20" s="484"/>
      <c r="BA20" s="484"/>
      <c r="BB20" s="484"/>
      <c r="BC20" s="484"/>
      <c r="BD20" s="484"/>
      <c r="BE20" s="484"/>
      <c r="BF20" s="484"/>
      <c r="BG20" s="485"/>
      <c r="BH20" s="182"/>
    </row>
    <row r="21" spans="1:60" ht="6.75" customHeight="1">
      <c r="A21" s="30"/>
      <c r="B21" s="499"/>
      <c r="C21" s="172"/>
      <c r="D21" s="552"/>
      <c r="E21" s="553"/>
      <c r="F21" s="371"/>
      <c r="G21" s="183"/>
      <c r="H21" s="552"/>
      <c r="I21" s="553"/>
      <c r="J21" s="371"/>
      <c r="K21" s="183"/>
      <c r="L21" s="552"/>
      <c r="M21" s="553"/>
      <c r="N21" s="371"/>
      <c r="O21" s="182"/>
      <c r="P21" s="30"/>
      <c r="Q21" s="500"/>
      <c r="R21" s="172"/>
      <c r="S21" s="533" t="str">
        <f>IF(Roster!$P$2=0&amp;BF2,"",Roster!$P$2)</f>
        <v>Chainsaw, Secret Weapon, Stunty</v>
      </c>
      <c r="T21" s="534"/>
      <c r="U21" s="534"/>
      <c r="V21" s="534"/>
      <c r="W21" s="534"/>
      <c r="X21" s="534"/>
      <c r="Y21" s="534"/>
      <c r="Z21" s="534"/>
      <c r="AA21" s="534"/>
      <c r="AB21" s="534"/>
      <c r="AC21" s="535"/>
      <c r="AD21" s="182"/>
      <c r="AE21" s="30"/>
      <c r="AF21" s="500"/>
      <c r="AG21" s="172"/>
      <c r="AH21" s="533" t="str">
        <f>IF(Roster!$P$3=0&amp;BF3,"",Roster!$P$3)</f>
        <v>Ball &amp; Chain, No Hands, Secret Weapon, Stunty</v>
      </c>
      <c r="AI21" s="534"/>
      <c r="AJ21" s="534"/>
      <c r="AK21" s="534"/>
      <c r="AL21" s="534"/>
      <c r="AM21" s="534"/>
      <c r="AN21" s="534"/>
      <c r="AO21" s="534"/>
      <c r="AP21" s="534"/>
      <c r="AQ21" s="534"/>
      <c r="AR21" s="535"/>
      <c r="AS21" s="182"/>
      <c r="AT21" s="30"/>
      <c r="AU21" s="500"/>
      <c r="AV21" s="172"/>
      <c r="AW21" s="533" t="str">
        <f>IF(Roster!$P$4=0&amp;BF4,"",Roster!$P$4)</f>
        <v>Bombardier, Dodge, Secret Weapon, Stunty</v>
      </c>
      <c r="AX21" s="534"/>
      <c r="AY21" s="534"/>
      <c r="AZ21" s="534"/>
      <c r="BA21" s="534"/>
      <c r="BB21" s="534"/>
      <c r="BC21" s="534"/>
      <c r="BD21" s="534"/>
      <c r="BE21" s="534"/>
      <c r="BF21" s="534"/>
      <c r="BG21" s="535"/>
      <c r="BH21" s="182"/>
    </row>
    <row r="22" spans="1:60" ht="11.25" customHeight="1">
      <c r="A22" s="30"/>
      <c r="B22" s="499"/>
      <c r="C22" s="169"/>
      <c r="D22" s="554" t="str">
        <f>IF(Roster!$AE$28=0,"",Roster!$AE$28)</f>
        <v>BIASED REFEREE</v>
      </c>
      <c r="E22" s="484"/>
      <c r="F22" s="485"/>
      <c r="G22" s="183"/>
      <c r="H22" s="554" t="str">
        <f>IF(Roster!$AE$29=0,"",Roster!$AE$29)</f>
        <v>OTHER INDUCEMENTS</v>
      </c>
      <c r="I22" s="484"/>
      <c r="J22" s="485"/>
      <c r="K22" s="183"/>
      <c r="L22" s="530" t="str">
        <f>IF(Roster!$AE$31=0,"",Roster!$AE$31)</f>
        <v>WANDERING APO</v>
      </c>
      <c r="M22" s="484"/>
      <c r="N22" s="485"/>
      <c r="O22" s="183"/>
      <c r="P22" s="30"/>
      <c r="Q22" s="171" t="str">
        <f>IF(Roster!$AO$1=0,"",Roster!$AO$1)</f>
        <v>COST</v>
      </c>
      <c r="R22" s="171"/>
      <c r="S22" s="536"/>
      <c r="T22" s="537"/>
      <c r="U22" s="537"/>
      <c r="V22" s="537"/>
      <c r="W22" s="537"/>
      <c r="X22" s="537"/>
      <c r="Y22" s="537"/>
      <c r="Z22" s="537"/>
      <c r="AA22" s="537"/>
      <c r="AB22" s="537"/>
      <c r="AC22" s="538"/>
      <c r="AD22" s="183"/>
      <c r="AE22" s="30"/>
      <c r="AF22" s="171" t="str">
        <f>IF(Roster!$AO$1=0,"",Roster!$AO$1)</f>
        <v>COST</v>
      </c>
      <c r="AG22" s="171"/>
      <c r="AH22" s="536"/>
      <c r="AI22" s="537"/>
      <c r="AJ22" s="537"/>
      <c r="AK22" s="537"/>
      <c r="AL22" s="537"/>
      <c r="AM22" s="537"/>
      <c r="AN22" s="537"/>
      <c r="AO22" s="537"/>
      <c r="AP22" s="537"/>
      <c r="AQ22" s="537"/>
      <c r="AR22" s="538"/>
      <c r="AS22" s="183"/>
      <c r="AT22" s="30"/>
      <c r="AU22" s="171" t="str">
        <f>IF(Roster!$AO$1=0,"",Roster!$AO$1)</f>
        <v>COST</v>
      </c>
      <c r="AV22" s="171"/>
      <c r="AW22" s="536"/>
      <c r="AX22" s="537"/>
      <c r="AY22" s="537"/>
      <c r="AZ22" s="537"/>
      <c r="BA22" s="537"/>
      <c r="BB22" s="537"/>
      <c r="BC22" s="537"/>
      <c r="BD22" s="537"/>
      <c r="BE22" s="537"/>
      <c r="BF22" s="537"/>
      <c r="BG22" s="538"/>
      <c r="BH22" s="183"/>
    </row>
    <row r="23" spans="1:60" ht="34.5" customHeight="1">
      <c r="A23" s="30"/>
      <c r="B23" s="500"/>
      <c r="C23" s="184"/>
      <c r="D23" s="555">
        <f>Roster!$AJ$28</f>
        <v>0</v>
      </c>
      <c r="E23" s="484"/>
      <c r="F23" s="485"/>
      <c r="G23" s="183"/>
      <c r="H23" s="555">
        <f>Roster!$AJ$29</f>
        <v>0</v>
      </c>
      <c r="I23" s="484"/>
      <c r="J23" s="485"/>
      <c r="K23" s="183"/>
      <c r="L23" s="555">
        <f>Roster!$AJ$31</f>
        <v>0</v>
      </c>
      <c r="M23" s="484"/>
      <c r="N23" s="485"/>
      <c r="O23" s="183"/>
      <c r="P23" s="30"/>
      <c r="Q23" s="185">
        <f>IF(Roster!$AO$2=0,"",Roster!$AO$2)</f>
        <v>40000</v>
      </c>
      <c r="R23" s="186"/>
      <c r="S23" s="539"/>
      <c r="T23" s="540"/>
      <c r="U23" s="540"/>
      <c r="V23" s="540"/>
      <c r="W23" s="540"/>
      <c r="X23" s="540"/>
      <c r="Y23" s="540"/>
      <c r="Z23" s="540"/>
      <c r="AA23" s="540"/>
      <c r="AB23" s="540"/>
      <c r="AC23" s="541"/>
      <c r="AD23" s="183"/>
      <c r="AE23" s="30"/>
      <c r="AF23" s="185">
        <f>IF(Roster!$AO$3=0,"",Roster!$AO$3)</f>
        <v>70000</v>
      </c>
      <c r="AG23" s="186"/>
      <c r="AH23" s="539"/>
      <c r="AI23" s="540"/>
      <c r="AJ23" s="540"/>
      <c r="AK23" s="540"/>
      <c r="AL23" s="540"/>
      <c r="AM23" s="540"/>
      <c r="AN23" s="540"/>
      <c r="AO23" s="540"/>
      <c r="AP23" s="540"/>
      <c r="AQ23" s="540"/>
      <c r="AR23" s="541"/>
      <c r="AS23" s="183"/>
      <c r="AT23" s="30"/>
      <c r="AU23" s="185">
        <f>IF(Roster!$AO$4=0,"",Roster!$AO$4)</f>
        <v>45000</v>
      </c>
      <c r="AV23" s="186"/>
      <c r="AW23" s="539"/>
      <c r="AX23" s="540"/>
      <c r="AY23" s="540"/>
      <c r="AZ23" s="540"/>
      <c r="BA23" s="540"/>
      <c r="BB23" s="540"/>
      <c r="BC23" s="540"/>
      <c r="BD23" s="540"/>
      <c r="BE23" s="540"/>
      <c r="BF23" s="540"/>
      <c r="BG23" s="541"/>
      <c r="BH23" s="183"/>
    </row>
    <row r="24" spans="1:60" ht="4.5" customHeight="1">
      <c r="A24" s="30"/>
      <c r="B24" s="556"/>
      <c r="C24" s="484"/>
      <c r="D24" s="484"/>
      <c r="E24" s="484"/>
      <c r="F24" s="484"/>
      <c r="G24" s="484"/>
      <c r="H24" s="484"/>
      <c r="I24" s="484"/>
      <c r="J24" s="484"/>
      <c r="K24" s="484"/>
      <c r="L24" s="484"/>
      <c r="M24" s="484"/>
      <c r="N24" s="485"/>
      <c r="O24" s="183"/>
      <c r="P24" s="30"/>
      <c r="Q24" s="556"/>
      <c r="R24" s="484"/>
      <c r="S24" s="484"/>
      <c r="T24" s="484"/>
      <c r="U24" s="484"/>
      <c r="V24" s="484"/>
      <c r="W24" s="484"/>
      <c r="X24" s="484"/>
      <c r="Y24" s="484"/>
      <c r="Z24" s="484"/>
      <c r="AA24" s="484"/>
      <c r="AB24" s="484"/>
      <c r="AC24" s="485"/>
      <c r="AD24" s="183"/>
      <c r="AE24" s="30"/>
      <c r="AF24" s="556"/>
      <c r="AG24" s="484"/>
      <c r="AH24" s="484"/>
      <c r="AI24" s="484"/>
      <c r="AJ24" s="484"/>
      <c r="AK24" s="484"/>
      <c r="AL24" s="484"/>
      <c r="AM24" s="484"/>
      <c r="AN24" s="484"/>
      <c r="AO24" s="484"/>
      <c r="AP24" s="484"/>
      <c r="AQ24" s="484"/>
      <c r="AR24" s="485"/>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31" t="str">
        <f>IF(Roster!$A$5=0,"","#"&amp;Roster!$A$5)</f>
        <v>#4</v>
      </c>
      <c r="C26" s="167"/>
      <c r="D26" s="167"/>
      <c r="E26" s="167"/>
      <c r="F26" s="167"/>
      <c r="G26" s="167"/>
      <c r="H26" s="167"/>
      <c r="I26" s="167"/>
      <c r="J26" s="167"/>
      <c r="K26" s="167"/>
      <c r="L26" s="167"/>
      <c r="M26" s="167"/>
      <c r="N26" s="167"/>
      <c r="O26" s="167"/>
      <c r="P26" s="30"/>
      <c r="Q26" s="531" t="str">
        <f>IF(Roster!$A$6=0,"","#"&amp;Roster!$A$6)</f>
        <v>#5</v>
      </c>
      <c r="R26" s="167"/>
      <c r="S26" s="167"/>
      <c r="T26" s="167"/>
      <c r="U26" s="167"/>
      <c r="V26" s="167"/>
      <c r="W26" s="167"/>
      <c r="X26" s="167"/>
      <c r="Y26" s="167"/>
      <c r="Z26" s="167"/>
      <c r="AA26" s="167"/>
      <c r="AB26" s="167"/>
      <c r="AC26" s="167"/>
      <c r="AD26" s="167"/>
      <c r="AE26" s="30"/>
      <c r="AF26" s="531" t="str">
        <f>IF(Roster!$A$7=0,"","#"&amp;Roster!$A$7)</f>
        <v>#6</v>
      </c>
      <c r="AG26" s="167"/>
      <c r="AH26" s="167"/>
      <c r="AI26" s="167"/>
      <c r="AJ26" s="167"/>
      <c r="AK26" s="167"/>
      <c r="AL26" s="167"/>
      <c r="AM26" s="167"/>
      <c r="AN26" s="167"/>
      <c r="AO26" s="167"/>
      <c r="AP26" s="167"/>
      <c r="AQ26" s="167"/>
      <c r="AR26" s="167"/>
      <c r="AS26" s="167"/>
      <c r="AT26" s="30"/>
      <c r="AU26" s="531" t="str">
        <f>IF(Roster!$A$8=0,"","#"&amp;Roster!$A$8)</f>
        <v>#7</v>
      </c>
      <c r="AV26" s="167"/>
      <c r="AW26" s="167"/>
      <c r="AX26" s="167"/>
      <c r="AY26" s="167"/>
      <c r="AZ26" s="167"/>
      <c r="BA26" s="167"/>
      <c r="BB26" s="167"/>
      <c r="BC26" s="167"/>
      <c r="BD26" s="167"/>
      <c r="BE26" s="167"/>
      <c r="BF26" s="167"/>
      <c r="BG26" s="167"/>
      <c r="BH26" s="167"/>
    </row>
    <row r="27" spans="1:60" ht="15" customHeight="1">
      <c r="A27" s="30"/>
      <c r="B27" s="499"/>
      <c r="C27" s="524" t="str">
        <f>IF(Roster!$B$5=0,"",Roster!$B$5)</f>
        <v>Mike Gobaro</v>
      </c>
      <c r="D27" s="484"/>
      <c r="E27" s="484"/>
      <c r="F27" s="484"/>
      <c r="G27" s="484"/>
      <c r="H27" s="484"/>
      <c r="I27" s="484"/>
      <c r="J27" s="484"/>
      <c r="K27" s="484"/>
      <c r="L27" s="484"/>
      <c r="M27" s="484"/>
      <c r="N27" s="485"/>
      <c r="O27" s="167"/>
      <c r="P27" s="30"/>
      <c r="Q27" s="499"/>
      <c r="R27" s="524" t="str">
        <f>IF(Roster!$B$6=0,"",Roster!$B$6)</f>
        <v>Goblin Paoli</v>
      </c>
      <c r="S27" s="484"/>
      <c r="T27" s="484"/>
      <c r="U27" s="484"/>
      <c r="V27" s="484"/>
      <c r="W27" s="484"/>
      <c r="X27" s="484"/>
      <c r="Y27" s="484"/>
      <c r="Z27" s="484"/>
      <c r="AA27" s="484"/>
      <c r="AB27" s="484"/>
      <c r="AC27" s="485"/>
      <c r="AD27" s="167"/>
      <c r="AE27" s="30"/>
      <c r="AF27" s="499"/>
      <c r="AG27" s="524" t="str">
        <f>IF(Roster!$B$7=0,"",Roster!$B$7)</f>
        <v>Gino Goblin</v>
      </c>
      <c r="AH27" s="484"/>
      <c r="AI27" s="484"/>
      <c r="AJ27" s="484"/>
      <c r="AK27" s="484"/>
      <c r="AL27" s="484"/>
      <c r="AM27" s="484"/>
      <c r="AN27" s="484"/>
      <c r="AO27" s="484"/>
      <c r="AP27" s="484"/>
      <c r="AQ27" s="484"/>
      <c r="AR27" s="485"/>
      <c r="AS27" s="167"/>
      <c r="AT27" s="30"/>
      <c r="AU27" s="499"/>
      <c r="AV27" s="524" t="str">
        <f>IF(Roster!$B$8=0,"",Roster!$B$8)</f>
        <v>Goblo Mengoli</v>
      </c>
      <c r="AW27" s="484"/>
      <c r="AX27" s="484"/>
      <c r="AY27" s="484"/>
      <c r="AZ27" s="484"/>
      <c r="BA27" s="484"/>
      <c r="BB27" s="484"/>
      <c r="BC27" s="484"/>
      <c r="BD27" s="484"/>
      <c r="BE27" s="484"/>
      <c r="BF27" s="484"/>
      <c r="BG27" s="485"/>
      <c r="BH27" s="167"/>
    </row>
    <row r="28" spans="1:60" ht="11.25" customHeight="1">
      <c r="A28" s="30"/>
      <c r="B28" s="500"/>
      <c r="C28" s="530" t="str">
        <f>IF(Roster!$D$5=0,"",Roster!$D$5)</f>
        <v>Ooligan</v>
      </c>
      <c r="D28" s="484"/>
      <c r="E28" s="484"/>
      <c r="F28" s="484"/>
      <c r="G28" s="484"/>
      <c r="H28" s="484"/>
      <c r="I28" s="484"/>
      <c r="J28" s="484"/>
      <c r="K28" s="484"/>
      <c r="L28" s="484"/>
      <c r="M28" s="484"/>
      <c r="N28" s="485"/>
      <c r="O28" s="168"/>
      <c r="P28" s="30"/>
      <c r="Q28" s="500"/>
      <c r="R28" s="530" t="str">
        <f>IF(Roster!$D$6=0,"",Roster!$D$6)</f>
        <v>Pogoer</v>
      </c>
      <c r="S28" s="484"/>
      <c r="T28" s="484"/>
      <c r="U28" s="484"/>
      <c r="V28" s="484"/>
      <c r="W28" s="484"/>
      <c r="X28" s="484"/>
      <c r="Y28" s="484"/>
      <c r="Z28" s="484"/>
      <c r="AA28" s="484"/>
      <c r="AB28" s="484"/>
      <c r="AC28" s="485"/>
      <c r="AD28" s="168"/>
      <c r="AE28" s="30"/>
      <c r="AF28" s="500"/>
      <c r="AG28" s="530" t="str">
        <f>IF(Roster!$D$7=0,"",Roster!$D$7)</f>
        <v>Doom Diver</v>
      </c>
      <c r="AH28" s="484"/>
      <c r="AI28" s="484"/>
      <c r="AJ28" s="484"/>
      <c r="AK28" s="484"/>
      <c r="AL28" s="484"/>
      <c r="AM28" s="484"/>
      <c r="AN28" s="484"/>
      <c r="AO28" s="484"/>
      <c r="AP28" s="484"/>
      <c r="AQ28" s="484"/>
      <c r="AR28" s="485"/>
      <c r="AS28" s="168"/>
      <c r="AT28" s="30"/>
      <c r="AU28" s="500"/>
      <c r="AV28" s="530" t="str">
        <f>IF(Roster!$D$8=0,"",Roster!$D$8)</f>
        <v>Goblin</v>
      </c>
      <c r="AW28" s="484"/>
      <c r="AX28" s="484"/>
      <c r="AY28" s="484"/>
      <c r="AZ28" s="484"/>
      <c r="BA28" s="484"/>
      <c r="BB28" s="484"/>
      <c r="BC28" s="484"/>
      <c r="BD28" s="484"/>
      <c r="BE28" s="484"/>
      <c r="BF28" s="484"/>
      <c r="BG28" s="485"/>
      <c r="BH28" s="168"/>
    </row>
    <row r="29" spans="1:60" ht="11.25" customHeight="1">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c r="A30" s="30"/>
      <c r="B30" s="173">
        <f>IF(Roster!$K$5=0,"",Roster!$K$5)</f>
        <v>6</v>
      </c>
      <c r="C30" s="170"/>
      <c r="D30" s="543"/>
      <c r="E30" s="543"/>
      <c r="F30" s="543"/>
      <c r="G30" s="543"/>
      <c r="H30" s="543"/>
      <c r="I30" s="543"/>
      <c r="J30" s="543"/>
      <c r="K30" s="543"/>
      <c r="L30" s="543"/>
      <c r="M30" s="543"/>
      <c r="N30" s="543"/>
      <c r="O30" s="167"/>
      <c r="P30" s="30"/>
      <c r="Q30" s="173">
        <f>IF(Roster!$K$6=0,"",Roster!$K$6)</f>
        <v>7</v>
      </c>
      <c r="R30" s="170"/>
      <c r="S30" s="543"/>
      <c r="T30" s="543"/>
      <c r="U30" s="543"/>
      <c r="V30" s="543"/>
      <c r="W30" s="543"/>
      <c r="X30" s="543"/>
      <c r="Y30" s="543"/>
      <c r="Z30" s="543"/>
      <c r="AA30" s="543"/>
      <c r="AB30" s="543"/>
      <c r="AC30" s="543"/>
      <c r="AD30" s="167"/>
      <c r="AE30" s="30"/>
      <c r="AF30" s="173">
        <f>IF(Roster!$K$7=0,"",Roster!$K$7)</f>
        <v>6</v>
      </c>
      <c r="AG30" s="170"/>
      <c r="AH30" s="543"/>
      <c r="AI30" s="543"/>
      <c r="AJ30" s="543"/>
      <c r="AK30" s="543"/>
      <c r="AL30" s="543"/>
      <c r="AM30" s="543"/>
      <c r="AN30" s="543"/>
      <c r="AO30" s="543"/>
      <c r="AP30" s="543"/>
      <c r="AQ30" s="543"/>
      <c r="AR30" s="543"/>
      <c r="AS30" s="167"/>
      <c r="AT30" s="30"/>
      <c r="AU30" s="173">
        <f>IF(Roster!$K$8=0,"",Roster!$K$8)</f>
        <v>6</v>
      </c>
      <c r="AV30" s="170"/>
      <c r="AW30" s="543"/>
      <c r="AX30" s="543"/>
      <c r="AY30" s="543"/>
      <c r="AZ30" s="543"/>
      <c r="BA30" s="543"/>
      <c r="BB30" s="543"/>
      <c r="BC30" s="543"/>
      <c r="BD30" s="543"/>
      <c r="BE30" s="543"/>
      <c r="BF30" s="543"/>
      <c r="BG30" s="543"/>
      <c r="BH30" s="167"/>
    </row>
    <row r="31" spans="1:60" ht="11.25" customHeight="1">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c r="A32" s="30"/>
      <c r="B32" s="173">
        <f>IF(Roster!$L$5=0,"",Roster!$L$5)</f>
        <v>2</v>
      </c>
      <c r="C32" s="170"/>
      <c r="D32" s="543"/>
      <c r="E32" s="543"/>
      <c r="F32" s="543"/>
      <c r="G32" s="543"/>
      <c r="H32" s="543"/>
      <c r="I32" s="543"/>
      <c r="J32" s="543"/>
      <c r="K32" s="543"/>
      <c r="L32" s="543"/>
      <c r="M32" s="543"/>
      <c r="N32" s="543"/>
      <c r="O32" s="167"/>
      <c r="P32" s="30"/>
      <c r="Q32" s="173">
        <f>IF(Roster!$L$6=0,"",Roster!$L$6)</f>
        <v>2</v>
      </c>
      <c r="R32" s="170"/>
      <c r="S32" s="543"/>
      <c r="T32" s="543"/>
      <c r="U32" s="543"/>
      <c r="V32" s="543"/>
      <c r="W32" s="543"/>
      <c r="X32" s="543"/>
      <c r="Y32" s="543"/>
      <c r="Z32" s="543"/>
      <c r="AA32" s="543"/>
      <c r="AB32" s="543"/>
      <c r="AC32" s="543"/>
      <c r="AD32" s="167"/>
      <c r="AE32" s="30"/>
      <c r="AF32" s="173">
        <f>IF(Roster!$L$7=0,"",Roster!$L$7)</f>
        <v>2</v>
      </c>
      <c r="AG32" s="170"/>
      <c r="AH32" s="543"/>
      <c r="AI32" s="543"/>
      <c r="AJ32" s="543"/>
      <c r="AK32" s="543"/>
      <c r="AL32" s="543"/>
      <c r="AM32" s="543"/>
      <c r="AN32" s="543"/>
      <c r="AO32" s="543"/>
      <c r="AP32" s="543"/>
      <c r="AQ32" s="543"/>
      <c r="AR32" s="543"/>
      <c r="AS32" s="167"/>
      <c r="AT32" s="30"/>
      <c r="AU32" s="173">
        <f>IF(Roster!$L$8=0,"",Roster!$L$8)</f>
        <v>2</v>
      </c>
      <c r="AV32" s="170"/>
      <c r="AW32" s="543"/>
      <c r="AX32" s="543"/>
      <c r="AY32" s="543"/>
      <c r="AZ32" s="543"/>
      <c r="BA32" s="543"/>
      <c r="BB32" s="543"/>
      <c r="BC32" s="543"/>
      <c r="BD32" s="543"/>
      <c r="BE32" s="543"/>
      <c r="BF32" s="543"/>
      <c r="BG32" s="543"/>
      <c r="BH32" s="167"/>
    </row>
    <row r="33" spans="1:60" ht="11.25" customHeight="1">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c r="A34" s="30"/>
      <c r="B34" s="173" t="str">
        <f>IF(Roster!$M$5=0&amp;"+","",Roster!$M$5)</f>
        <v>3+</v>
      </c>
      <c r="C34" s="170"/>
      <c r="D34" s="543"/>
      <c r="E34" s="543"/>
      <c r="F34" s="543"/>
      <c r="G34" s="543"/>
      <c r="H34" s="543"/>
      <c r="I34" s="543"/>
      <c r="J34" s="543"/>
      <c r="K34" s="543"/>
      <c r="L34" s="543"/>
      <c r="M34" s="543"/>
      <c r="N34" s="543"/>
      <c r="O34" s="167"/>
      <c r="P34" s="30"/>
      <c r="Q34" s="173" t="str">
        <f>IF(Roster!$M$6=0&amp;"+","",Roster!$M$6)</f>
        <v>3+</v>
      </c>
      <c r="R34" s="170"/>
      <c r="S34" s="543"/>
      <c r="T34" s="543"/>
      <c r="U34" s="543"/>
      <c r="V34" s="543"/>
      <c r="W34" s="543"/>
      <c r="X34" s="543"/>
      <c r="Y34" s="543"/>
      <c r="Z34" s="543"/>
      <c r="AA34" s="543"/>
      <c r="AB34" s="543"/>
      <c r="AC34" s="543"/>
      <c r="AD34" s="167"/>
      <c r="AE34" s="30"/>
      <c r="AF34" s="173" t="str">
        <f>IF(Roster!$M$7=0&amp;"+","",Roster!$M$7)</f>
        <v>3+</v>
      </c>
      <c r="AG34" s="170"/>
      <c r="AH34" s="543"/>
      <c r="AI34" s="543"/>
      <c r="AJ34" s="543"/>
      <c r="AK34" s="543"/>
      <c r="AL34" s="543"/>
      <c r="AM34" s="543"/>
      <c r="AN34" s="543"/>
      <c r="AO34" s="543"/>
      <c r="AP34" s="543"/>
      <c r="AQ34" s="543"/>
      <c r="AR34" s="543"/>
      <c r="AS34" s="167"/>
      <c r="AT34" s="30"/>
      <c r="AU34" s="173" t="str">
        <f>IF(Roster!$M$8=0&amp;"+","",Roster!$M$8)</f>
        <v>3+</v>
      </c>
      <c r="AV34" s="170"/>
      <c r="AW34" s="543"/>
      <c r="AX34" s="543"/>
      <c r="AY34" s="543"/>
      <c r="AZ34" s="543"/>
      <c r="BA34" s="543"/>
      <c r="BB34" s="543"/>
      <c r="BC34" s="543"/>
      <c r="BD34" s="543"/>
      <c r="BE34" s="543"/>
      <c r="BF34" s="543"/>
      <c r="BG34" s="543"/>
      <c r="BH34" s="167"/>
    </row>
    <row r="35" spans="1:60" ht="11.25" customHeight="1">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c r="A36" s="30"/>
      <c r="B36" s="532" t="str">
        <f>IF(Roster!$N$5=0&amp;"+","",Roster!$N$5)</f>
        <v>6+</v>
      </c>
      <c r="C36" s="170"/>
      <c r="D36" s="543"/>
      <c r="E36" s="543"/>
      <c r="F36" s="543"/>
      <c r="G36" s="543"/>
      <c r="H36" s="543"/>
      <c r="I36" s="543"/>
      <c r="J36" s="543"/>
      <c r="K36" s="543"/>
      <c r="L36" s="543"/>
      <c r="M36" s="543"/>
      <c r="N36" s="543"/>
      <c r="O36" s="178"/>
      <c r="P36" s="30"/>
      <c r="Q36" s="532" t="str">
        <f>IF(Roster!$N$6=0&amp;"+","",Roster!$N$6)</f>
        <v>5+</v>
      </c>
      <c r="R36" s="170"/>
      <c r="S36" s="543"/>
      <c r="T36" s="543"/>
      <c r="U36" s="543"/>
      <c r="V36" s="543"/>
      <c r="W36" s="543"/>
      <c r="X36" s="543"/>
      <c r="Y36" s="543"/>
      <c r="Z36" s="543"/>
      <c r="AA36" s="543"/>
      <c r="AB36" s="543"/>
      <c r="AC36" s="543"/>
      <c r="AD36" s="178"/>
      <c r="AE36" s="30"/>
      <c r="AF36" s="532" t="str">
        <f>IF(Roster!$N$7=0&amp;"+","",Roster!$N$7)</f>
        <v>6+</v>
      </c>
      <c r="AG36" s="170"/>
      <c r="AH36" s="543"/>
      <c r="AI36" s="543"/>
      <c r="AJ36" s="543"/>
      <c r="AK36" s="543"/>
      <c r="AL36" s="543"/>
      <c r="AM36" s="543"/>
      <c r="AN36" s="543"/>
      <c r="AO36" s="543"/>
      <c r="AP36" s="543"/>
      <c r="AQ36" s="543"/>
      <c r="AR36" s="543"/>
      <c r="AS36" s="178"/>
      <c r="AT36" s="30"/>
      <c r="AU36" s="532" t="str">
        <f>IF(Roster!$N$8=0&amp;"+","",Roster!$N$8)</f>
        <v>4+</v>
      </c>
      <c r="AV36" s="170"/>
      <c r="AW36" s="543"/>
      <c r="AX36" s="543"/>
      <c r="AY36" s="543"/>
      <c r="AZ36" s="543"/>
      <c r="BA36" s="543"/>
      <c r="BB36" s="543"/>
      <c r="BC36" s="543"/>
      <c r="BD36" s="543"/>
      <c r="BE36" s="543"/>
      <c r="BF36" s="543"/>
      <c r="BG36" s="543"/>
      <c r="BH36" s="178"/>
    </row>
    <row r="37" spans="1:60" ht="4.5" customHeight="1">
      <c r="A37" s="30"/>
      <c r="B37" s="499"/>
      <c r="C37" s="170"/>
      <c r="D37" s="167"/>
      <c r="E37" s="177"/>
      <c r="F37" s="167"/>
      <c r="G37" s="177"/>
      <c r="H37" s="167"/>
      <c r="I37" s="177"/>
      <c r="J37" s="167"/>
      <c r="K37" s="177"/>
      <c r="L37" s="167"/>
      <c r="M37" s="177"/>
      <c r="N37" s="167"/>
      <c r="O37" s="178"/>
      <c r="P37" s="30"/>
      <c r="Q37" s="499"/>
      <c r="R37" s="170"/>
      <c r="S37" s="167"/>
      <c r="T37" s="177"/>
      <c r="U37" s="167"/>
      <c r="V37" s="177"/>
      <c r="W37" s="167"/>
      <c r="X37" s="177"/>
      <c r="Y37" s="167"/>
      <c r="Z37" s="177"/>
      <c r="AA37" s="167"/>
      <c r="AB37" s="177"/>
      <c r="AC37" s="167"/>
      <c r="AD37" s="178"/>
      <c r="AE37" s="30"/>
      <c r="AF37" s="499"/>
      <c r="AG37" s="170"/>
      <c r="AH37" s="167"/>
      <c r="AI37" s="177"/>
      <c r="AJ37" s="167"/>
      <c r="AK37" s="177"/>
      <c r="AL37" s="167"/>
      <c r="AM37" s="177"/>
      <c r="AN37" s="167"/>
      <c r="AO37" s="177"/>
      <c r="AP37" s="167"/>
      <c r="AQ37" s="177"/>
      <c r="AR37" s="167"/>
      <c r="AS37" s="178"/>
      <c r="AT37" s="30"/>
      <c r="AU37" s="499"/>
      <c r="AV37" s="170"/>
      <c r="AW37" s="167"/>
      <c r="AX37" s="177"/>
      <c r="AY37" s="167"/>
      <c r="AZ37" s="177"/>
      <c r="BA37" s="167"/>
      <c r="BB37" s="177"/>
      <c r="BC37" s="167"/>
      <c r="BD37" s="177"/>
      <c r="BE37" s="167"/>
      <c r="BF37" s="177"/>
      <c r="BG37" s="167"/>
      <c r="BH37" s="178"/>
    </row>
    <row r="38" spans="1:60" ht="11.25" customHeight="1">
      <c r="A38" s="30"/>
      <c r="B38" s="499"/>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9"/>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9"/>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9"/>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9"/>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499"/>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9"/>
      <c r="AG39" s="172"/>
      <c r="AH39" s="180">
        <f>IF(Roster!$AD$7=0,"",Roster!$AD$7)</f>
        <v>1</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9"/>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500"/>
      <c r="C40" s="172"/>
      <c r="D40" s="181"/>
      <c r="E40" s="172"/>
      <c r="F40" s="181"/>
      <c r="G40" s="172"/>
      <c r="H40" s="181"/>
      <c r="I40" s="172"/>
      <c r="J40" s="181"/>
      <c r="K40" s="172"/>
      <c r="L40" s="181"/>
      <c r="M40" s="172"/>
      <c r="N40" s="181"/>
      <c r="O40" s="178"/>
      <c r="P40" s="30"/>
      <c r="Q40" s="500"/>
      <c r="R40" s="172"/>
      <c r="S40" s="181"/>
      <c r="T40" s="172"/>
      <c r="U40" s="181"/>
      <c r="V40" s="172"/>
      <c r="W40" s="181"/>
      <c r="X40" s="172"/>
      <c r="Y40" s="181"/>
      <c r="Z40" s="172"/>
      <c r="AA40" s="181"/>
      <c r="AB40" s="172"/>
      <c r="AC40" s="181"/>
      <c r="AD40" s="178"/>
      <c r="AE40" s="30"/>
      <c r="AF40" s="500"/>
      <c r="AG40" s="172"/>
      <c r="AH40" s="181"/>
      <c r="AI40" s="172"/>
      <c r="AJ40" s="181"/>
      <c r="AK40" s="172"/>
      <c r="AL40" s="181"/>
      <c r="AM40" s="172"/>
      <c r="AN40" s="181"/>
      <c r="AO40" s="172"/>
      <c r="AP40" s="181"/>
      <c r="AQ40" s="172"/>
      <c r="AR40" s="181"/>
      <c r="AS40" s="178"/>
      <c r="AT40" s="30"/>
      <c r="AU40" s="500"/>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32" t="str">
        <f>IF(Roster!$O$5=0&amp;"+","",Roster!$O$5)</f>
        <v>8+</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32" t="str">
        <f>IF(Roster!$O$6=0&amp;"+","",Roster!$O$6)</f>
        <v>8+</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32" t="str">
        <f>IF(Roster!$O$7=0&amp;"+","",Roster!$O$7)</f>
        <v>8+</v>
      </c>
      <c r="AG42" s="172"/>
      <c r="AH42" s="180" t="str">
        <f>IF(Roster!$AE$7=0,"",Roster!$AE$7)</f>
        <v/>
      </c>
      <c r="AI42" s="172"/>
      <c r="AJ42" s="180" t="str">
        <f>IF(Roster!$AF$7=0,"",Roster!$AF$7)</f>
        <v/>
      </c>
      <c r="AK42" s="172"/>
      <c r="AL42" s="180" t="str">
        <f>IF(Roster!$AB$7=0,"",Roster!$AB$7)</f>
        <v/>
      </c>
      <c r="AM42" s="172"/>
      <c r="AN42" s="180" t="str">
        <f>IF(Roster!$AJ$7=0,"",Roster!$AJ$7)</f>
        <v/>
      </c>
      <c r="AO42" s="172"/>
      <c r="AP42" s="180">
        <f>IF(Roster!$AK$7=0,"",Roster!$AK$7)</f>
        <v>3</v>
      </c>
      <c r="AQ42" s="172"/>
      <c r="AR42" s="180" t="str">
        <f>IF(Roster!$AA$7=0,"",Roster!$AA$7)</f>
        <v/>
      </c>
      <c r="AS42" s="182"/>
      <c r="AT42" s="30"/>
      <c r="AU42" s="532"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499"/>
      <c r="C43" s="172"/>
      <c r="D43" s="172"/>
      <c r="E43" s="172"/>
      <c r="F43" s="172"/>
      <c r="G43" s="172"/>
      <c r="H43" s="172"/>
      <c r="I43" s="172"/>
      <c r="J43" s="172"/>
      <c r="K43" s="172"/>
      <c r="L43" s="172"/>
      <c r="M43" s="172"/>
      <c r="N43" s="178"/>
      <c r="O43" s="182"/>
      <c r="P43" s="30"/>
      <c r="Q43" s="499"/>
      <c r="R43" s="172"/>
      <c r="S43" s="172"/>
      <c r="T43" s="172"/>
      <c r="U43" s="172"/>
      <c r="V43" s="172"/>
      <c r="W43" s="172"/>
      <c r="X43" s="172"/>
      <c r="Y43" s="172"/>
      <c r="Z43" s="172"/>
      <c r="AA43" s="172"/>
      <c r="AB43" s="172"/>
      <c r="AC43" s="178"/>
      <c r="AD43" s="182"/>
      <c r="AE43" s="30"/>
      <c r="AF43" s="499"/>
      <c r="AG43" s="172"/>
      <c r="AH43" s="172"/>
      <c r="AI43" s="172"/>
      <c r="AJ43" s="172"/>
      <c r="AK43" s="172"/>
      <c r="AL43" s="172"/>
      <c r="AM43" s="172"/>
      <c r="AN43" s="172"/>
      <c r="AO43" s="172"/>
      <c r="AP43" s="172"/>
      <c r="AQ43" s="172"/>
      <c r="AR43" s="178"/>
      <c r="AS43" s="182"/>
      <c r="AT43" s="30"/>
      <c r="AU43" s="499"/>
      <c r="AV43" s="172"/>
      <c r="AW43" s="172"/>
      <c r="AX43" s="172"/>
      <c r="AY43" s="172"/>
      <c r="AZ43" s="172"/>
      <c r="BA43" s="172"/>
      <c r="BB43" s="172"/>
      <c r="BC43" s="172"/>
      <c r="BD43" s="172"/>
      <c r="BE43" s="172"/>
      <c r="BF43" s="172"/>
      <c r="BG43" s="178"/>
      <c r="BH43" s="182"/>
    </row>
    <row r="44" spans="1:60" ht="11.25" customHeight="1">
      <c r="A44" s="30"/>
      <c r="B44" s="499"/>
      <c r="C44" s="172"/>
      <c r="D44" s="529" t="str">
        <f>IF(Roster!$K$25="Italiano","ABILITÀ &amp; TRATTI",(IF(Roster!$K$25="Español","HABILIDADES Y RASGOS","SKILLS &amp; TRAITS")))</f>
        <v>SKILLS &amp; TRAITS</v>
      </c>
      <c r="E44" s="484"/>
      <c r="F44" s="484"/>
      <c r="G44" s="484"/>
      <c r="H44" s="484"/>
      <c r="I44" s="484"/>
      <c r="J44" s="484"/>
      <c r="K44" s="484"/>
      <c r="L44" s="484"/>
      <c r="M44" s="484"/>
      <c r="N44" s="485"/>
      <c r="O44" s="182"/>
      <c r="P44" s="30"/>
      <c r="Q44" s="499"/>
      <c r="R44" s="172"/>
      <c r="S44" s="529" t="str">
        <f>IF(Roster!$K$25="Italiano","ABILITÀ &amp; TRATTI",(IF(Roster!$K$25="Español","HABILIDADES Y RASGOS","SKILLS &amp; TRAITS")))</f>
        <v>SKILLS &amp; TRAITS</v>
      </c>
      <c r="T44" s="484"/>
      <c r="U44" s="484"/>
      <c r="V44" s="484"/>
      <c r="W44" s="484"/>
      <c r="X44" s="484"/>
      <c r="Y44" s="484"/>
      <c r="Z44" s="484"/>
      <c r="AA44" s="484"/>
      <c r="AB44" s="484"/>
      <c r="AC44" s="485"/>
      <c r="AD44" s="182"/>
      <c r="AE44" s="30"/>
      <c r="AF44" s="499"/>
      <c r="AG44" s="172"/>
      <c r="AH44" s="529" t="str">
        <f>IF(Roster!$K$25="Italiano","ABILITÀ &amp; TRATTI",(IF(Roster!$K$25="Español","HABILIDADES Y RASGOS","SKILLS &amp; TRAITS")))</f>
        <v>SKILLS &amp; TRAITS</v>
      </c>
      <c r="AI44" s="484"/>
      <c r="AJ44" s="484"/>
      <c r="AK44" s="484"/>
      <c r="AL44" s="484"/>
      <c r="AM44" s="484"/>
      <c r="AN44" s="484"/>
      <c r="AO44" s="484"/>
      <c r="AP44" s="484"/>
      <c r="AQ44" s="484"/>
      <c r="AR44" s="485"/>
      <c r="AS44" s="182"/>
      <c r="AT44" s="30"/>
      <c r="AU44" s="499"/>
      <c r="AV44" s="172"/>
      <c r="AW44" s="529" t="str">
        <f>IF(Roster!$K$25="Italiano","ABILITÀ &amp; TRATTI",(IF(Roster!$K$25="Español","HABILIDADES Y RASGOS","SKILLS &amp; TRAITS")))</f>
        <v>SKILLS &amp; TRAITS</v>
      </c>
      <c r="AX44" s="484"/>
      <c r="AY44" s="484"/>
      <c r="AZ44" s="484"/>
      <c r="BA44" s="484"/>
      <c r="BB44" s="484"/>
      <c r="BC44" s="484"/>
      <c r="BD44" s="484"/>
      <c r="BE44" s="484"/>
      <c r="BF44" s="484"/>
      <c r="BG44" s="485"/>
      <c r="BH44" s="182"/>
    </row>
    <row r="45" spans="1:60" ht="6.75" customHeight="1">
      <c r="A45" s="30"/>
      <c r="B45" s="500"/>
      <c r="C45" s="172"/>
      <c r="D45" s="533" t="str">
        <f>IF(Roster!$P$5=0&amp;BF5,"",Roster!$P$5)</f>
        <v>Dirty Player (+1), Disturbing Presence, Dodge, Right Stuff, Stunty</v>
      </c>
      <c r="E45" s="534"/>
      <c r="F45" s="534"/>
      <c r="G45" s="534"/>
      <c r="H45" s="534"/>
      <c r="I45" s="534"/>
      <c r="J45" s="534"/>
      <c r="K45" s="534"/>
      <c r="L45" s="534"/>
      <c r="M45" s="534"/>
      <c r="N45" s="535"/>
      <c r="O45" s="182"/>
      <c r="P45" s="30"/>
      <c r="Q45" s="500"/>
      <c r="R45" s="172"/>
      <c r="S45" s="533" t="str">
        <f>IF(Roster!$P$6=0&amp;BF6,"",Roster!$P$6)</f>
        <v>Dodge, Pogo Stick, Stunty</v>
      </c>
      <c r="T45" s="534"/>
      <c r="U45" s="534"/>
      <c r="V45" s="534"/>
      <c r="W45" s="534"/>
      <c r="X45" s="534"/>
      <c r="Y45" s="534"/>
      <c r="Z45" s="534"/>
      <c r="AA45" s="534"/>
      <c r="AB45" s="534"/>
      <c r="AC45" s="535"/>
      <c r="AD45" s="182"/>
      <c r="AE45" s="30"/>
      <c r="AF45" s="500"/>
      <c r="AG45" s="172"/>
      <c r="AH45" s="533" t="str">
        <f>IF(Roster!$P$7=0&amp;BF7,"",Roster!$P$7)</f>
        <v>Right Stuff, Stunty, Swoop</v>
      </c>
      <c r="AI45" s="534"/>
      <c r="AJ45" s="534"/>
      <c r="AK45" s="534"/>
      <c r="AL45" s="534"/>
      <c r="AM45" s="534"/>
      <c r="AN45" s="534"/>
      <c r="AO45" s="534"/>
      <c r="AP45" s="534"/>
      <c r="AQ45" s="534"/>
      <c r="AR45" s="535"/>
      <c r="AS45" s="182"/>
      <c r="AT45" s="30"/>
      <c r="AU45" s="500"/>
      <c r="AV45" s="172"/>
      <c r="AW45" s="533" t="str">
        <f>IF(Roster!$P$8=0&amp;BF8,"",Roster!$P$8)</f>
        <v>Dodge, Right Stuff, Stunty</v>
      </c>
      <c r="AX45" s="534"/>
      <c r="AY45" s="534"/>
      <c r="AZ45" s="534"/>
      <c r="BA45" s="534"/>
      <c r="BB45" s="534"/>
      <c r="BC45" s="534"/>
      <c r="BD45" s="534"/>
      <c r="BE45" s="534"/>
      <c r="BF45" s="534"/>
      <c r="BG45" s="535"/>
      <c r="BH45" s="182"/>
    </row>
    <row r="46" spans="1:60" ht="11.25" customHeight="1">
      <c r="A46" s="30"/>
      <c r="B46" s="171" t="str">
        <f>IF(Roster!$AO$1=0,"",Roster!$AO$1)</f>
        <v>COST</v>
      </c>
      <c r="C46" s="171"/>
      <c r="D46" s="536"/>
      <c r="E46" s="537"/>
      <c r="F46" s="537"/>
      <c r="G46" s="537"/>
      <c r="H46" s="537"/>
      <c r="I46" s="537"/>
      <c r="J46" s="537"/>
      <c r="K46" s="537"/>
      <c r="L46" s="537"/>
      <c r="M46" s="537"/>
      <c r="N46" s="538"/>
      <c r="O46" s="183"/>
      <c r="P46" s="30"/>
      <c r="Q46" s="171" t="str">
        <f>IF(Roster!$AO$1=0,"",Roster!$AO$1)</f>
        <v>COST</v>
      </c>
      <c r="R46" s="171"/>
      <c r="S46" s="536"/>
      <c r="T46" s="537"/>
      <c r="U46" s="537"/>
      <c r="V46" s="537"/>
      <c r="W46" s="537"/>
      <c r="X46" s="537"/>
      <c r="Y46" s="537"/>
      <c r="Z46" s="537"/>
      <c r="AA46" s="537"/>
      <c r="AB46" s="537"/>
      <c r="AC46" s="538"/>
      <c r="AD46" s="183"/>
      <c r="AE46" s="30"/>
      <c r="AF46" s="171" t="str">
        <f>IF(Roster!$AO$1=0,"",Roster!$AO$1)</f>
        <v>COST</v>
      </c>
      <c r="AG46" s="171"/>
      <c r="AH46" s="536"/>
      <c r="AI46" s="537"/>
      <c r="AJ46" s="537"/>
      <c r="AK46" s="537"/>
      <c r="AL46" s="537"/>
      <c r="AM46" s="537"/>
      <c r="AN46" s="537"/>
      <c r="AO46" s="537"/>
      <c r="AP46" s="537"/>
      <c r="AQ46" s="537"/>
      <c r="AR46" s="538"/>
      <c r="AS46" s="183"/>
      <c r="AT46" s="30"/>
      <c r="AU46" s="171" t="str">
        <f>IF(Roster!$AO$1=0,"",Roster!$AO$1)</f>
        <v>COST</v>
      </c>
      <c r="AV46" s="171"/>
      <c r="AW46" s="536"/>
      <c r="AX46" s="537"/>
      <c r="AY46" s="537"/>
      <c r="AZ46" s="537"/>
      <c r="BA46" s="537"/>
      <c r="BB46" s="537"/>
      <c r="BC46" s="537"/>
      <c r="BD46" s="537"/>
      <c r="BE46" s="537"/>
      <c r="BF46" s="537"/>
      <c r="BG46" s="538"/>
      <c r="BH46" s="183"/>
    </row>
    <row r="47" spans="1:60" ht="34.5" customHeight="1">
      <c r="A47" s="30"/>
      <c r="B47" s="185">
        <f>IF(Roster!$AO$5=0,"",Roster!$AO$5)</f>
        <v>65000</v>
      </c>
      <c r="C47" s="186"/>
      <c r="D47" s="539"/>
      <c r="E47" s="540"/>
      <c r="F47" s="540"/>
      <c r="G47" s="540"/>
      <c r="H47" s="540"/>
      <c r="I47" s="540"/>
      <c r="J47" s="540"/>
      <c r="K47" s="540"/>
      <c r="L47" s="540"/>
      <c r="M47" s="540"/>
      <c r="N47" s="541"/>
      <c r="O47" s="183"/>
      <c r="P47" s="30"/>
      <c r="Q47" s="185">
        <f>IF(Roster!$AO$6=0,"",Roster!$AO$6)</f>
        <v>75000</v>
      </c>
      <c r="R47" s="186"/>
      <c r="S47" s="539"/>
      <c r="T47" s="540"/>
      <c r="U47" s="540"/>
      <c r="V47" s="540"/>
      <c r="W47" s="540"/>
      <c r="X47" s="540"/>
      <c r="Y47" s="540"/>
      <c r="Z47" s="540"/>
      <c r="AA47" s="540"/>
      <c r="AB47" s="540"/>
      <c r="AC47" s="541"/>
      <c r="AD47" s="183"/>
      <c r="AE47" s="30"/>
      <c r="AF47" s="185">
        <f>IF(Roster!$AO$7=0,"",Roster!$AO$7)</f>
        <v>60000</v>
      </c>
      <c r="AG47" s="186"/>
      <c r="AH47" s="539"/>
      <c r="AI47" s="540"/>
      <c r="AJ47" s="540"/>
      <c r="AK47" s="540"/>
      <c r="AL47" s="540"/>
      <c r="AM47" s="540"/>
      <c r="AN47" s="540"/>
      <c r="AO47" s="540"/>
      <c r="AP47" s="540"/>
      <c r="AQ47" s="540"/>
      <c r="AR47" s="541"/>
      <c r="AS47" s="183"/>
      <c r="AT47" s="30"/>
      <c r="AU47" s="185">
        <f>IF(Roster!$AO$8=0,"",Roster!$AO$8)</f>
        <v>40000</v>
      </c>
      <c r="AV47" s="186"/>
      <c r="AW47" s="539"/>
      <c r="AX47" s="540"/>
      <c r="AY47" s="540"/>
      <c r="AZ47" s="540"/>
      <c r="BA47" s="540"/>
      <c r="BB47" s="540"/>
      <c r="BC47" s="540"/>
      <c r="BD47" s="540"/>
      <c r="BE47" s="540"/>
      <c r="BF47" s="540"/>
      <c r="BG47" s="541"/>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31" t="str">
        <f>IF(Roster!$A$9=0,"","#"&amp;Roster!$A$9)</f>
        <v>#8</v>
      </c>
      <c r="C50" s="167"/>
      <c r="D50" s="167"/>
      <c r="E50" s="167"/>
      <c r="F50" s="167"/>
      <c r="G50" s="167"/>
      <c r="H50" s="167"/>
      <c r="I50" s="167"/>
      <c r="J50" s="167"/>
      <c r="K50" s="167"/>
      <c r="L50" s="167"/>
      <c r="M50" s="167"/>
      <c r="N50" s="167"/>
      <c r="O50" s="167"/>
      <c r="P50" s="30"/>
      <c r="Q50" s="531" t="str">
        <f>IF(Roster!$A$10=0,"","#"&amp;Roster!$A$10)</f>
        <v>#9</v>
      </c>
      <c r="R50" s="167"/>
      <c r="S50" s="167"/>
      <c r="T50" s="167"/>
      <c r="U50" s="167"/>
      <c r="V50" s="167"/>
      <c r="W50" s="167"/>
      <c r="X50" s="167"/>
      <c r="Y50" s="167"/>
      <c r="Z50" s="167"/>
      <c r="AA50" s="167"/>
      <c r="AB50" s="167"/>
      <c r="AC50" s="167"/>
      <c r="AD50" s="167"/>
      <c r="AE50" s="30"/>
      <c r="AF50" s="531" t="str">
        <f>IF(Roster!$A$11=0,"","#"&amp;Roster!$A$11)</f>
        <v>#10</v>
      </c>
      <c r="AG50" s="167"/>
      <c r="AH50" s="167"/>
      <c r="AI50" s="167"/>
      <c r="AJ50" s="167"/>
      <c r="AK50" s="167"/>
      <c r="AL50" s="167"/>
      <c r="AM50" s="167"/>
      <c r="AN50" s="167"/>
      <c r="AO50" s="167"/>
      <c r="AP50" s="167"/>
      <c r="AQ50" s="167"/>
      <c r="AR50" s="167"/>
      <c r="AS50" s="167"/>
      <c r="AT50" s="30"/>
      <c r="AU50" s="531" t="str">
        <f>IF(Roster!$A$12=0,"","#"&amp;Roster!$A$12)</f>
        <v>#11</v>
      </c>
      <c r="AV50" s="167"/>
      <c r="AW50" s="167"/>
      <c r="AX50" s="167"/>
      <c r="AY50" s="167"/>
      <c r="AZ50" s="167"/>
      <c r="BA50" s="167"/>
      <c r="BB50" s="167"/>
      <c r="BC50" s="167"/>
      <c r="BD50" s="167"/>
      <c r="BE50" s="167"/>
      <c r="BF50" s="167"/>
      <c r="BG50" s="167"/>
      <c r="BH50" s="167"/>
    </row>
    <row r="51" spans="1:60" ht="15" customHeight="1">
      <c r="A51" s="30"/>
      <c r="B51" s="499"/>
      <c r="C51" s="524" t="str">
        <f>IF(Roster!$B$9=0,"",Roster!$B$9)</f>
        <v>Goblino Barberis</v>
      </c>
      <c r="D51" s="484"/>
      <c r="E51" s="484"/>
      <c r="F51" s="484"/>
      <c r="G51" s="484"/>
      <c r="H51" s="484"/>
      <c r="I51" s="484"/>
      <c r="J51" s="484"/>
      <c r="K51" s="484"/>
      <c r="L51" s="484"/>
      <c r="M51" s="484"/>
      <c r="N51" s="485"/>
      <c r="O51" s="167"/>
      <c r="P51" s="30"/>
      <c r="Q51" s="499"/>
      <c r="R51" s="524" t="str">
        <f>IF(Roster!$B$10=0,"",Roster!$B$10)</f>
        <v>Peppino di Kapri</v>
      </c>
      <c r="S51" s="484"/>
      <c r="T51" s="484"/>
      <c r="U51" s="484"/>
      <c r="V51" s="484"/>
      <c r="W51" s="484"/>
      <c r="X51" s="484"/>
      <c r="Y51" s="484"/>
      <c r="Z51" s="484"/>
      <c r="AA51" s="484"/>
      <c r="AB51" s="484"/>
      <c r="AC51" s="485"/>
      <c r="AD51" s="167"/>
      <c r="AE51" s="30"/>
      <c r="AF51" s="499"/>
      <c r="AG51" s="524" t="str">
        <f>IF(Roster!$B$11=0,"",Roster!$B$11)</f>
        <v>Glossano</v>
      </c>
      <c r="AH51" s="484"/>
      <c r="AI51" s="484"/>
      <c r="AJ51" s="484"/>
      <c r="AK51" s="484"/>
      <c r="AL51" s="484"/>
      <c r="AM51" s="484"/>
      <c r="AN51" s="484"/>
      <c r="AO51" s="484"/>
      <c r="AP51" s="484"/>
      <c r="AQ51" s="484"/>
      <c r="AR51" s="485"/>
      <c r="AS51" s="167"/>
      <c r="AT51" s="30"/>
      <c r="AU51" s="499"/>
      <c r="AV51" s="524" t="str">
        <f>IF(Roster!$B$12=0,"",Roster!$B$12)</f>
        <v>Goblano Filogamo</v>
      </c>
      <c r="AW51" s="484"/>
      <c r="AX51" s="484"/>
      <c r="AY51" s="484"/>
      <c r="AZ51" s="484"/>
      <c r="BA51" s="484"/>
      <c r="BB51" s="484"/>
      <c r="BC51" s="484"/>
      <c r="BD51" s="484"/>
      <c r="BE51" s="484"/>
      <c r="BF51" s="484"/>
      <c r="BG51" s="485"/>
      <c r="BH51" s="167"/>
    </row>
    <row r="52" spans="1:60" ht="11.25" customHeight="1">
      <c r="A52" s="30"/>
      <c r="B52" s="500"/>
      <c r="C52" s="530" t="str">
        <f>IF(Roster!$D$9=0,"",Roster!$D$9)</f>
        <v>Goblin</v>
      </c>
      <c r="D52" s="484"/>
      <c r="E52" s="484"/>
      <c r="F52" s="484"/>
      <c r="G52" s="484"/>
      <c r="H52" s="484"/>
      <c r="I52" s="484"/>
      <c r="J52" s="484"/>
      <c r="K52" s="484"/>
      <c r="L52" s="484"/>
      <c r="M52" s="484"/>
      <c r="N52" s="485"/>
      <c r="O52" s="168"/>
      <c r="P52" s="30"/>
      <c r="Q52" s="500"/>
      <c r="R52" s="530" t="str">
        <f>IF(Roster!$D$10=0,"",Roster!$D$10)</f>
        <v>Goblin</v>
      </c>
      <c r="S52" s="484"/>
      <c r="T52" s="484"/>
      <c r="U52" s="484"/>
      <c r="V52" s="484"/>
      <c r="W52" s="484"/>
      <c r="X52" s="484"/>
      <c r="Y52" s="484"/>
      <c r="Z52" s="484"/>
      <c r="AA52" s="484"/>
      <c r="AB52" s="484"/>
      <c r="AC52" s="485"/>
      <c r="AD52" s="168"/>
      <c r="AE52" s="30"/>
      <c r="AF52" s="500"/>
      <c r="AG52" s="530" t="str">
        <f>IF(Roster!$D$11=0,"",Roster!$D$11)</f>
        <v>Goblin</v>
      </c>
      <c r="AH52" s="484"/>
      <c r="AI52" s="484"/>
      <c r="AJ52" s="484"/>
      <c r="AK52" s="484"/>
      <c r="AL52" s="484"/>
      <c r="AM52" s="484"/>
      <c r="AN52" s="484"/>
      <c r="AO52" s="484"/>
      <c r="AP52" s="484"/>
      <c r="AQ52" s="484"/>
      <c r="AR52" s="485"/>
      <c r="AS52" s="168"/>
      <c r="AT52" s="30"/>
      <c r="AU52" s="500"/>
      <c r="AV52" s="530" t="str">
        <f>IF(Roster!$D$12=0,"",Roster!$D$12)</f>
        <v>Goblin</v>
      </c>
      <c r="AW52" s="484"/>
      <c r="AX52" s="484"/>
      <c r="AY52" s="484"/>
      <c r="AZ52" s="484"/>
      <c r="BA52" s="484"/>
      <c r="BB52" s="484"/>
      <c r="BC52" s="484"/>
      <c r="BD52" s="484"/>
      <c r="BE52" s="484"/>
      <c r="BF52" s="484"/>
      <c r="BG52" s="485"/>
      <c r="BH52" s="168"/>
    </row>
    <row r="53" spans="1:60" ht="11.25" customHeight="1">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c r="A54" s="30"/>
      <c r="B54" s="173">
        <f>IF(Roster!$K$9=0,"",Roster!$K$9)</f>
        <v>6</v>
      </c>
      <c r="C54" s="170"/>
      <c r="D54" s="543"/>
      <c r="E54" s="543"/>
      <c r="F54" s="543"/>
      <c r="G54" s="543"/>
      <c r="H54" s="543"/>
      <c r="I54" s="543"/>
      <c r="J54" s="543"/>
      <c r="K54" s="543"/>
      <c r="L54" s="543"/>
      <c r="M54" s="543"/>
      <c r="N54" s="543"/>
      <c r="O54" s="167"/>
      <c r="P54" s="30"/>
      <c r="Q54" s="173">
        <f>IF(Roster!$K$10=0,"",Roster!$K$10)</f>
        <v>6</v>
      </c>
      <c r="R54" s="170"/>
      <c r="S54" s="543"/>
      <c r="T54" s="543"/>
      <c r="U54" s="543"/>
      <c r="V54" s="543"/>
      <c r="W54" s="543"/>
      <c r="X54" s="543"/>
      <c r="Y54" s="543"/>
      <c r="Z54" s="543"/>
      <c r="AA54" s="543"/>
      <c r="AB54" s="543"/>
      <c r="AC54" s="543"/>
      <c r="AD54" s="167"/>
      <c r="AE54" s="30"/>
      <c r="AF54" s="173">
        <f>IF(Roster!$K$11=0,"",Roster!$K$11)</f>
        <v>6</v>
      </c>
      <c r="AG54" s="170"/>
      <c r="AH54" s="543"/>
      <c r="AI54" s="543"/>
      <c r="AJ54" s="543"/>
      <c r="AK54" s="543"/>
      <c r="AL54" s="543"/>
      <c r="AM54" s="543"/>
      <c r="AN54" s="543"/>
      <c r="AO54" s="543"/>
      <c r="AP54" s="543"/>
      <c r="AQ54" s="543"/>
      <c r="AR54" s="543"/>
      <c r="AS54" s="167"/>
      <c r="AT54" s="30"/>
      <c r="AU54" s="173">
        <f>IF(Roster!$K$12=0,"",Roster!$K$12)</f>
        <v>6</v>
      </c>
      <c r="AV54" s="170"/>
      <c r="AW54" s="543"/>
      <c r="AX54" s="543"/>
      <c r="AY54" s="543"/>
      <c r="AZ54" s="543"/>
      <c r="BA54" s="543"/>
      <c r="BB54" s="543"/>
      <c r="BC54" s="543"/>
      <c r="BD54" s="543"/>
      <c r="BE54" s="543"/>
      <c r="BF54" s="543"/>
      <c r="BG54" s="543"/>
      <c r="BH54" s="167"/>
    </row>
    <row r="55" spans="1:60" ht="11.25" customHeight="1">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c r="A56" s="30"/>
      <c r="B56" s="173">
        <f>IF(Roster!$L$9=0,"",Roster!$L$9)</f>
        <v>2</v>
      </c>
      <c r="C56" s="170"/>
      <c r="D56" s="543"/>
      <c r="E56" s="543"/>
      <c r="F56" s="543"/>
      <c r="G56" s="543"/>
      <c r="H56" s="543"/>
      <c r="I56" s="543"/>
      <c r="J56" s="543"/>
      <c r="K56" s="543"/>
      <c r="L56" s="543"/>
      <c r="M56" s="543"/>
      <c r="N56" s="543"/>
      <c r="O56" s="167"/>
      <c r="P56" s="30"/>
      <c r="Q56" s="173">
        <f>IF(Roster!$L$10=0,"",Roster!$L$10)</f>
        <v>2</v>
      </c>
      <c r="R56" s="170"/>
      <c r="S56" s="543"/>
      <c r="T56" s="543"/>
      <c r="U56" s="543"/>
      <c r="V56" s="543"/>
      <c r="W56" s="543"/>
      <c r="X56" s="543"/>
      <c r="Y56" s="543"/>
      <c r="Z56" s="543"/>
      <c r="AA56" s="543"/>
      <c r="AB56" s="543"/>
      <c r="AC56" s="543"/>
      <c r="AD56" s="167"/>
      <c r="AE56" s="30"/>
      <c r="AF56" s="173">
        <f>IF(Roster!$L$11=0,"",Roster!$L$11)</f>
        <v>2</v>
      </c>
      <c r="AG56" s="170"/>
      <c r="AH56" s="543"/>
      <c r="AI56" s="543"/>
      <c r="AJ56" s="543"/>
      <c r="AK56" s="543"/>
      <c r="AL56" s="543"/>
      <c r="AM56" s="543"/>
      <c r="AN56" s="543"/>
      <c r="AO56" s="543"/>
      <c r="AP56" s="543"/>
      <c r="AQ56" s="543"/>
      <c r="AR56" s="543"/>
      <c r="AS56" s="167"/>
      <c r="AT56" s="30"/>
      <c r="AU56" s="173">
        <f>IF(Roster!$L$12=0,"",Roster!$L$12)</f>
        <v>2</v>
      </c>
      <c r="AV56" s="170"/>
      <c r="AW56" s="543"/>
      <c r="AX56" s="543"/>
      <c r="AY56" s="543"/>
      <c r="AZ56" s="543"/>
      <c r="BA56" s="543"/>
      <c r="BB56" s="543"/>
      <c r="BC56" s="543"/>
      <c r="BD56" s="543"/>
      <c r="BE56" s="543"/>
      <c r="BF56" s="543"/>
      <c r="BG56" s="543"/>
      <c r="BH56" s="167"/>
    </row>
    <row r="57" spans="1:60" ht="11.25" customHeight="1">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c r="A58" s="30"/>
      <c r="B58" s="173" t="str">
        <f>IF(Roster!$M$9=0&amp;"+","",Roster!$M$9)</f>
        <v>3+</v>
      </c>
      <c r="C58" s="170"/>
      <c r="D58" s="543"/>
      <c r="E58" s="543"/>
      <c r="F58" s="543"/>
      <c r="G58" s="543"/>
      <c r="H58" s="543"/>
      <c r="I58" s="543"/>
      <c r="J58" s="543"/>
      <c r="K58" s="543"/>
      <c r="L58" s="543"/>
      <c r="M58" s="543"/>
      <c r="N58" s="543"/>
      <c r="O58" s="167"/>
      <c r="P58" s="30"/>
      <c r="Q58" s="173" t="str">
        <f>IF(Roster!$M$10=0&amp;"+","",Roster!$M$10)</f>
        <v>3+</v>
      </c>
      <c r="R58" s="170"/>
      <c r="S58" s="543"/>
      <c r="T58" s="543"/>
      <c r="U58" s="543"/>
      <c r="V58" s="543"/>
      <c r="W58" s="543"/>
      <c r="X58" s="543"/>
      <c r="Y58" s="543"/>
      <c r="Z58" s="543"/>
      <c r="AA58" s="543"/>
      <c r="AB58" s="543"/>
      <c r="AC58" s="543"/>
      <c r="AD58" s="167"/>
      <c r="AE58" s="30"/>
      <c r="AF58" s="173" t="str">
        <f>IF(Roster!$M$11=0&amp;"+","",Roster!$M$11)</f>
        <v>3+</v>
      </c>
      <c r="AG58" s="170"/>
      <c r="AH58" s="543"/>
      <c r="AI58" s="543"/>
      <c r="AJ58" s="543"/>
      <c r="AK58" s="543"/>
      <c r="AL58" s="543"/>
      <c r="AM58" s="543"/>
      <c r="AN58" s="543"/>
      <c r="AO58" s="543"/>
      <c r="AP58" s="543"/>
      <c r="AQ58" s="543"/>
      <c r="AR58" s="543"/>
      <c r="AS58" s="167"/>
      <c r="AT58" s="30"/>
      <c r="AU58" s="173" t="str">
        <f>IF(Roster!$M$12=0&amp;"+","",Roster!$M$12)</f>
        <v>3+</v>
      </c>
      <c r="AV58" s="170"/>
      <c r="AW58" s="543"/>
      <c r="AX58" s="543"/>
      <c r="AY58" s="543"/>
      <c r="AZ58" s="543"/>
      <c r="BA58" s="543"/>
      <c r="BB58" s="543"/>
      <c r="BC58" s="543"/>
      <c r="BD58" s="543"/>
      <c r="BE58" s="543"/>
      <c r="BF58" s="543"/>
      <c r="BG58" s="543"/>
      <c r="BH58" s="167"/>
    </row>
    <row r="59" spans="1:60" ht="11.25" customHeight="1">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c r="A60" s="30"/>
      <c r="B60" s="532" t="str">
        <f>IF(Roster!$N$9=0&amp;"+","",Roster!$N$9)</f>
        <v>4+</v>
      </c>
      <c r="C60" s="170"/>
      <c r="D60" s="543"/>
      <c r="E60" s="543"/>
      <c r="F60" s="543"/>
      <c r="G60" s="543"/>
      <c r="H60" s="543"/>
      <c r="I60" s="543"/>
      <c r="J60" s="543"/>
      <c r="K60" s="543"/>
      <c r="L60" s="543"/>
      <c r="M60" s="543"/>
      <c r="N60" s="543"/>
      <c r="O60" s="178"/>
      <c r="P60" s="30"/>
      <c r="Q60" s="532" t="str">
        <f>IF(Roster!$N$10=0&amp;"+","",Roster!$N$10)</f>
        <v>4+</v>
      </c>
      <c r="R60" s="170"/>
      <c r="S60" s="543"/>
      <c r="T60" s="543"/>
      <c r="U60" s="543"/>
      <c r="V60" s="543"/>
      <c r="W60" s="543"/>
      <c r="X60" s="543"/>
      <c r="Y60" s="543"/>
      <c r="Z60" s="543"/>
      <c r="AA60" s="543"/>
      <c r="AB60" s="543"/>
      <c r="AC60" s="543"/>
      <c r="AD60" s="178"/>
      <c r="AE60" s="30"/>
      <c r="AF60" s="532" t="str">
        <f>IF(Roster!$N$11=0&amp;"+","",Roster!$N$11)</f>
        <v>4+</v>
      </c>
      <c r="AG60" s="170"/>
      <c r="AH60" s="543"/>
      <c r="AI60" s="543"/>
      <c r="AJ60" s="543"/>
      <c r="AK60" s="543"/>
      <c r="AL60" s="543"/>
      <c r="AM60" s="543"/>
      <c r="AN60" s="543"/>
      <c r="AO60" s="543"/>
      <c r="AP60" s="543"/>
      <c r="AQ60" s="543"/>
      <c r="AR60" s="543"/>
      <c r="AS60" s="178"/>
      <c r="AT60" s="30"/>
      <c r="AU60" s="532" t="str">
        <f>IF(Roster!$N$12=0&amp;"+","",Roster!$N$12)</f>
        <v>4+</v>
      </c>
      <c r="AV60" s="170"/>
      <c r="AW60" s="543"/>
      <c r="AX60" s="543"/>
      <c r="AY60" s="543"/>
      <c r="AZ60" s="543"/>
      <c r="BA60" s="543"/>
      <c r="BB60" s="543"/>
      <c r="BC60" s="543"/>
      <c r="BD60" s="543"/>
      <c r="BE60" s="543"/>
      <c r="BF60" s="543"/>
      <c r="BG60" s="543"/>
      <c r="BH60" s="178"/>
    </row>
    <row r="61" spans="1:60" ht="4.5" customHeight="1">
      <c r="A61" s="30"/>
      <c r="B61" s="499"/>
      <c r="C61" s="170"/>
      <c r="D61" s="167"/>
      <c r="E61" s="177"/>
      <c r="F61" s="167"/>
      <c r="G61" s="177"/>
      <c r="H61" s="167"/>
      <c r="I61" s="177"/>
      <c r="J61" s="167"/>
      <c r="K61" s="177"/>
      <c r="L61" s="167"/>
      <c r="M61" s="177"/>
      <c r="N61" s="167"/>
      <c r="O61" s="178"/>
      <c r="P61" s="30"/>
      <c r="Q61" s="499"/>
      <c r="R61" s="170"/>
      <c r="S61" s="167"/>
      <c r="T61" s="177"/>
      <c r="U61" s="167"/>
      <c r="V61" s="177"/>
      <c r="W61" s="167"/>
      <c r="X61" s="177"/>
      <c r="Y61" s="167"/>
      <c r="Z61" s="177"/>
      <c r="AA61" s="167"/>
      <c r="AB61" s="177"/>
      <c r="AC61" s="167"/>
      <c r="AD61" s="178"/>
      <c r="AE61" s="30"/>
      <c r="AF61" s="499"/>
      <c r="AG61" s="170"/>
      <c r="AH61" s="167"/>
      <c r="AI61" s="177"/>
      <c r="AJ61" s="167"/>
      <c r="AK61" s="177"/>
      <c r="AL61" s="167"/>
      <c r="AM61" s="177"/>
      <c r="AN61" s="167"/>
      <c r="AO61" s="177"/>
      <c r="AP61" s="167"/>
      <c r="AQ61" s="177"/>
      <c r="AR61" s="167"/>
      <c r="AS61" s="178"/>
      <c r="AT61" s="30"/>
      <c r="AU61" s="499"/>
      <c r="AV61" s="170"/>
      <c r="AW61" s="167"/>
      <c r="AX61" s="177"/>
      <c r="AY61" s="167"/>
      <c r="AZ61" s="177"/>
      <c r="BA61" s="167"/>
      <c r="BB61" s="177"/>
      <c r="BC61" s="167"/>
      <c r="BD61" s="177"/>
      <c r="BE61" s="167"/>
      <c r="BF61" s="177"/>
      <c r="BG61" s="167"/>
      <c r="BH61" s="178"/>
    </row>
    <row r="62" spans="1:60" ht="11.25" customHeight="1">
      <c r="A62" s="30"/>
      <c r="B62" s="499"/>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9"/>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9"/>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9"/>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9"/>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9"/>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9"/>
      <c r="AG63" s="172"/>
      <c r="AH63" s="180">
        <f>IF(Roster!$AD$11=0,"",Roster!$AD$11)</f>
        <v>1</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9"/>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0"/>
      <c r="C64" s="172"/>
      <c r="D64" s="181"/>
      <c r="E64" s="172"/>
      <c r="F64" s="181"/>
      <c r="G64" s="172"/>
      <c r="H64" s="181"/>
      <c r="I64" s="172"/>
      <c r="J64" s="181"/>
      <c r="K64" s="172"/>
      <c r="L64" s="181"/>
      <c r="M64" s="172"/>
      <c r="N64" s="181"/>
      <c r="O64" s="178"/>
      <c r="P64" s="30"/>
      <c r="Q64" s="500"/>
      <c r="R64" s="172"/>
      <c r="S64" s="181"/>
      <c r="T64" s="172"/>
      <c r="U64" s="181"/>
      <c r="V64" s="172"/>
      <c r="W64" s="181"/>
      <c r="X64" s="172"/>
      <c r="Y64" s="181"/>
      <c r="Z64" s="172"/>
      <c r="AA64" s="181"/>
      <c r="AB64" s="172"/>
      <c r="AC64" s="181"/>
      <c r="AD64" s="178"/>
      <c r="AE64" s="30"/>
      <c r="AF64" s="500"/>
      <c r="AG64" s="172"/>
      <c r="AH64" s="181"/>
      <c r="AI64" s="172"/>
      <c r="AJ64" s="181"/>
      <c r="AK64" s="172"/>
      <c r="AL64" s="181"/>
      <c r="AM64" s="172"/>
      <c r="AN64" s="181"/>
      <c r="AO64" s="172"/>
      <c r="AP64" s="181"/>
      <c r="AQ64" s="172"/>
      <c r="AR64" s="181"/>
      <c r="AS64" s="178"/>
      <c r="AT64" s="30"/>
      <c r="AU64" s="500"/>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32" t="str">
        <f>IF(Roster!$O$9=0&amp;"+","",Roster!$O$9)</f>
        <v>8+</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32" t="str">
        <f>IF(Roster!$O$10=0&amp;"+","",Roster!$O$10)</f>
        <v>8+</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32"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f>IF(Roster!$AK$11=0,"",Roster!$AK$11)</f>
        <v>3</v>
      </c>
      <c r="AQ66" s="172"/>
      <c r="AR66" s="180" t="str">
        <f>IF(Roster!$AA$11=0,"",Roster!$AA$11)</f>
        <v/>
      </c>
      <c r="AS66" s="182"/>
      <c r="AT66" s="30"/>
      <c r="AU66" s="532" t="str">
        <f>IF(Roster!$O$12=0&amp;"+","",Roster!$O$12)</f>
        <v>8+</v>
      </c>
      <c r="AV66" s="172"/>
      <c r="AW66" s="180" t="str">
        <f>IF(Roster!$AE$12=0,"",Roster!$AE$12)</f>
        <v/>
      </c>
      <c r="AX66" s="172"/>
      <c r="AY66" s="180" t="str">
        <f>IF(Roster!$AF$12=0,"",Roster!$AF$12)</f>
        <v/>
      </c>
      <c r="AZ66" s="172"/>
      <c r="BA66" s="180" t="str">
        <f>IF(Roster!$AB$12=0,"",Roster!$AB$12)</f>
        <v/>
      </c>
      <c r="BB66" s="172"/>
      <c r="BC66" s="180">
        <f>IF(Roster!$AJ$12=0,"",Roster!$AJ$12)</f>
        <v>1</v>
      </c>
      <c r="BD66" s="172"/>
      <c r="BE66" s="180">
        <f>IF(Roster!$AK$12=0,"",Roster!$AK$12)</f>
        <v>4</v>
      </c>
      <c r="BF66" s="172"/>
      <c r="BG66" s="180" t="str">
        <f>IF(Roster!$AA$12=0,"",Roster!$AA$12)</f>
        <v/>
      </c>
      <c r="BH66" s="182"/>
    </row>
    <row r="67" spans="1:60" ht="4.5" customHeight="1">
      <c r="A67" s="30"/>
      <c r="B67" s="499"/>
      <c r="C67" s="172"/>
      <c r="D67" s="172"/>
      <c r="E67" s="172"/>
      <c r="F67" s="172"/>
      <c r="G67" s="172"/>
      <c r="H67" s="172"/>
      <c r="I67" s="172"/>
      <c r="J67" s="172"/>
      <c r="K67" s="172"/>
      <c r="L67" s="172"/>
      <c r="M67" s="172"/>
      <c r="N67" s="178"/>
      <c r="O67" s="182"/>
      <c r="P67" s="30"/>
      <c r="Q67" s="499"/>
      <c r="R67" s="172"/>
      <c r="S67" s="172"/>
      <c r="T67" s="172"/>
      <c r="U67" s="172"/>
      <c r="V67" s="172"/>
      <c r="W67" s="172"/>
      <c r="X67" s="172"/>
      <c r="Y67" s="172"/>
      <c r="Z67" s="172"/>
      <c r="AA67" s="172"/>
      <c r="AB67" s="172"/>
      <c r="AC67" s="178"/>
      <c r="AD67" s="182"/>
      <c r="AE67" s="30"/>
      <c r="AF67" s="499"/>
      <c r="AG67" s="172"/>
      <c r="AH67" s="172"/>
      <c r="AI67" s="172"/>
      <c r="AJ67" s="172"/>
      <c r="AK67" s="172"/>
      <c r="AL67" s="172"/>
      <c r="AM67" s="172"/>
      <c r="AN67" s="172"/>
      <c r="AO67" s="172"/>
      <c r="AP67" s="172"/>
      <c r="AQ67" s="172"/>
      <c r="AR67" s="178"/>
      <c r="AS67" s="182"/>
      <c r="AT67" s="30"/>
      <c r="AU67" s="499"/>
      <c r="AV67" s="172"/>
      <c r="AW67" s="172"/>
      <c r="AX67" s="172"/>
      <c r="AY67" s="172"/>
      <c r="AZ67" s="172"/>
      <c r="BA67" s="172"/>
      <c r="BB67" s="172"/>
      <c r="BC67" s="172"/>
      <c r="BD67" s="172"/>
      <c r="BE67" s="172"/>
      <c r="BF67" s="172"/>
      <c r="BG67" s="178"/>
      <c r="BH67" s="182"/>
    </row>
    <row r="68" spans="1:60" ht="11.25" customHeight="1">
      <c r="A68" s="30"/>
      <c r="B68" s="499"/>
      <c r="C68" s="172"/>
      <c r="D68" s="529" t="str">
        <f>IF(Roster!$K$25="Italiano","ABILITÀ &amp; TRATTI",(IF(Roster!$K$25="Español","HABILIDADES Y RASGOS","SKILLS &amp; TRAITS")))</f>
        <v>SKILLS &amp; TRAITS</v>
      </c>
      <c r="E68" s="484"/>
      <c r="F68" s="484"/>
      <c r="G68" s="484"/>
      <c r="H68" s="484"/>
      <c r="I68" s="484"/>
      <c r="J68" s="484"/>
      <c r="K68" s="484"/>
      <c r="L68" s="484"/>
      <c r="M68" s="484"/>
      <c r="N68" s="485"/>
      <c r="O68" s="182"/>
      <c r="P68" s="30"/>
      <c r="Q68" s="499"/>
      <c r="R68" s="172"/>
      <c r="S68" s="529" t="str">
        <f>IF(Roster!$K$25="Italiano","ABILITÀ &amp; TRATTI",(IF(Roster!$K$25="Español","HABILIDADES Y RASGOS","SKILLS &amp; TRAITS")))</f>
        <v>SKILLS &amp; TRAITS</v>
      </c>
      <c r="T68" s="484"/>
      <c r="U68" s="484"/>
      <c r="V68" s="484"/>
      <c r="W68" s="484"/>
      <c r="X68" s="484"/>
      <c r="Y68" s="484"/>
      <c r="Z68" s="484"/>
      <c r="AA68" s="484"/>
      <c r="AB68" s="484"/>
      <c r="AC68" s="485"/>
      <c r="AD68" s="182"/>
      <c r="AE68" s="30"/>
      <c r="AF68" s="499"/>
      <c r="AG68" s="172"/>
      <c r="AH68" s="529" t="str">
        <f>IF(Roster!$K$25="Italiano","ABILITÀ &amp; TRATTI",(IF(Roster!$K$25="Español","HABILIDADES Y RASGOS","SKILLS &amp; TRAITS")))</f>
        <v>SKILLS &amp; TRAITS</v>
      </c>
      <c r="AI68" s="484"/>
      <c r="AJ68" s="484"/>
      <c r="AK68" s="484"/>
      <c r="AL68" s="484"/>
      <c r="AM68" s="484"/>
      <c r="AN68" s="484"/>
      <c r="AO68" s="484"/>
      <c r="AP68" s="484"/>
      <c r="AQ68" s="484"/>
      <c r="AR68" s="485"/>
      <c r="AS68" s="182"/>
      <c r="AT68" s="30"/>
      <c r="AU68" s="499"/>
      <c r="AV68" s="172"/>
      <c r="AW68" s="529" t="str">
        <f>IF(Roster!$K$25="Italiano","ABILITÀ &amp; TRATTI",(IF(Roster!$K$25="Español","HABILIDADES Y RASGOS","SKILLS &amp; TRAITS")))</f>
        <v>SKILLS &amp; TRAITS</v>
      </c>
      <c r="AX68" s="484"/>
      <c r="AY68" s="484"/>
      <c r="AZ68" s="484"/>
      <c r="BA68" s="484"/>
      <c r="BB68" s="484"/>
      <c r="BC68" s="484"/>
      <c r="BD68" s="484"/>
      <c r="BE68" s="484"/>
      <c r="BF68" s="484"/>
      <c r="BG68" s="485"/>
      <c r="BH68" s="182"/>
    </row>
    <row r="69" spans="1:60" ht="6.75" customHeight="1">
      <c r="A69" s="30"/>
      <c r="B69" s="500"/>
      <c r="C69" s="172"/>
      <c r="D69" s="533" t="str">
        <f>IF(Roster!$P$9=0&amp;BF9,"",Roster!$P$9)</f>
        <v>Dodge, Right Stuff, Stunty</v>
      </c>
      <c r="E69" s="534"/>
      <c r="F69" s="534"/>
      <c r="G69" s="534"/>
      <c r="H69" s="534"/>
      <c r="I69" s="534"/>
      <c r="J69" s="534"/>
      <c r="K69" s="534"/>
      <c r="L69" s="534"/>
      <c r="M69" s="534"/>
      <c r="N69" s="535"/>
      <c r="O69" s="182"/>
      <c r="P69" s="30"/>
      <c r="Q69" s="500"/>
      <c r="R69" s="172"/>
      <c r="S69" s="533" t="str">
        <f>IF(Roster!$P$10=0&amp;BF10,"",Roster!$P$10)</f>
        <v>Dodge, Right Stuff, Stunty</v>
      </c>
      <c r="T69" s="534"/>
      <c r="U69" s="534"/>
      <c r="V69" s="534"/>
      <c r="W69" s="534"/>
      <c r="X69" s="534"/>
      <c r="Y69" s="534"/>
      <c r="Z69" s="534"/>
      <c r="AA69" s="534"/>
      <c r="AB69" s="534"/>
      <c r="AC69" s="535"/>
      <c r="AD69" s="182"/>
      <c r="AE69" s="30"/>
      <c r="AF69" s="500"/>
      <c r="AG69" s="172"/>
      <c r="AH69" s="533" t="str">
        <f>IF(Roster!$P$11=0&amp;BF11,"",Roster!$P$11)</f>
        <v>Dodge, Right Stuff, Stunty</v>
      </c>
      <c r="AI69" s="534"/>
      <c r="AJ69" s="534"/>
      <c r="AK69" s="534"/>
      <c r="AL69" s="534"/>
      <c r="AM69" s="534"/>
      <c r="AN69" s="534"/>
      <c r="AO69" s="534"/>
      <c r="AP69" s="534"/>
      <c r="AQ69" s="534"/>
      <c r="AR69" s="535"/>
      <c r="AS69" s="182"/>
      <c r="AT69" s="30"/>
      <c r="AU69" s="500"/>
      <c r="AV69" s="172"/>
      <c r="AW69" s="533" t="str">
        <f>IF(Roster!$P$12=0&amp;BF12,"",Roster!$P$12)</f>
        <v>Dodge, Right Stuff, Stunty</v>
      </c>
      <c r="AX69" s="534"/>
      <c r="AY69" s="534"/>
      <c r="AZ69" s="534"/>
      <c r="BA69" s="534"/>
      <c r="BB69" s="534"/>
      <c r="BC69" s="534"/>
      <c r="BD69" s="534"/>
      <c r="BE69" s="534"/>
      <c r="BF69" s="534"/>
      <c r="BG69" s="535"/>
      <c r="BH69" s="182"/>
    </row>
    <row r="70" spans="1:60" ht="11.25" customHeight="1">
      <c r="A70" s="30"/>
      <c r="B70" s="171" t="str">
        <f>IF(Roster!$AO$1=0,"",Roster!$AO$1)</f>
        <v>COST</v>
      </c>
      <c r="C70" s="171"/>
      <c r="D70" s="536"/>
      <c r="E70" s="537"/>
      <c r="F70" s="537"/>
      <c r="G70" s="537"/>
      <c r="H70" s="537"/>
      <c r="I70" s="537"/>
      <c r="J70" s="537"/>
      <c r="K70" s="537"/>
      <c r="L70" s="537"/>
      <c r="M70" s="537"/>
      <c r="N70" s="538"/>
      <c r="O70" s="183"/>
      <c r="P70" s="30"/>
      <c r="Q70" s="171" t="str">
        <f>IF(Roster!$AO$1=0,"",Roster!$AO$1)</f>
        <v>COST</v>
      </c>
      <c r="R70" s="171"/>
      <c r="S70" s="536"/>
      <c r="T70" s="537"/>
      <c r="U70" s="537"/>
      <c r="V70" s="537"/>
      <c r="W70" s="537"/>
      <c r="X70" s="537"/>
      <c r="Y70" s="537"/>
      <c r="Z70" s="537"/>
      <c r="AA70" s="537"/>
      <c r="AB70" s="537"/>
      <c r="AC70" s="538"/>
      <c r="AD70" s="183"/>
      <c r="AE70" s="30"/>
      <c r="AF70" s="171" t="str">
        <f>IF(Roster!$AO$1=0,"",Roster!$AO$1)</f>
        <v>COST</v>
      </c>
      <c r="AG70" s="171"/>
      <c r="AH70" s="536"/>
      <c r="AI70" s="537"/>
      <c r="AJ70" s="537"/>
      <c r="AK70" s="537"/>
      <c r="AL70" s="537"/>
      <c r="AM70" s="537"/>
      <c r="AN70" s="537"/>
      <c r="AO70" s="537"/>
      <c r="AP70" s="537"/>
      <c r="AQ70" s="537"/>
      <c r="AR70" s="538"/>
      <c r="AS70" s="183"/>
      <c r="AT70" s="30"/>
      <c r="AU70" s="171" t="str">
        <f>IF(Roster!$AO$1=0,"",Roster!$AO$1)</f>
        <v>COST</v>
      </c>
      <c r="AV70" s="171"/>
      <c r="AW70" s="536"/>
      <c r="AX70" s="537"/>
      <c r="AY70" s="537"/>
      <c r="AZ70" s="537"/>
      <c r="BA70" s="537"/>
      <c r="BB70" s="537"/>
      <c r="BC70" s="537"/>
      <c r="BD70" s="537"/>
      <c r="BE70" s="537"/>
      <c r="BF70" s="537"/>
      <c r="BG70" s="538"/>
      <c r="BH70" s="183"/>
    </row>
    <row r="71" spans="1:60" ht="34.5" customHeight="1">
      <c r="A71" s="30"/>
      <c r="B71" s="185">
        <f>IF(Roster!$AO$9=0,"",Roster!$AO$9)</f>
        <v>40000</v>
      </c>
      <c r="C71" s="186"/>
      <c r="D71" s="539"/>
      <c r="E71" s="540"/>
      <c r="F71" s="540"/>
      <c r="G71" s="540"/>
      <c r="H71" s="540"/>
      <c r="I71" s="540"/>
      <c r="J71" s="540"/>
      <c r="K71" s="540"/>
      <c r="L71" s="540"/>
      <c r="M71" s="540"/>
      <c r="N71" s="541"/>
      <c r="O71" s="183"/>
      <c r="P71" s="30"/>
      <c r="Q71" s="185">
        <f>IF(Roster!$AO$10=0,"",Roster!$AO$10)</f>
        <v>40000</v>
      </c>
      <c r="R71" s="186"/>
      <c r="S71" s="539"/>
      <c r="T71" s="540"/>
      <c r="U71" s="540"/>
      <c r="V71" s="540"/>
      <c r="W71" s="540"/>
      <c r="X71" s="540"/>
      <c r="Y71" s="540"/>
      <c r="Z71" s="540"/>
      <c r="AA71" s="540"/>
      <c r="AB71" s="540"/>
      <c r="AC71" s="541"/>
      <c r="AD71" s="183"/>
      <c r="AE71" s="30"/>
      <c r="AF71" s="185">
        <f>IF(Roster!$AO$11=0,"",Roster!$AO$11)</f>
        <v>40000</v>
      </c>
      <c r="AG71" s="186"/>
      <c r="AH71" s="539"/>
      <c r="AI71" s="540"/>
      <c r="AJ71" s="540"/>
      <c r="AK71" s="540"/>
      <c r="AL71" s="540"/>
      <c r="AM71" s="540"/>
      <c r="AN71" s="540"/>
      <c r="AO71" s="540"/>
      <c r="AP71" s="540"/>
      <c r="AQ71" s="540"/>
      <c r="AR71" s="541"/>
      <c r="AS71" s="183"/>
      <c r="AT71" s="30"/>
      <c r="AU71" s="185">
        <f>IF(Roster!$AO$12=0,"",Roster!$AO$12)</f>
        <v>40000</v>
      </c>
      <c r="AV71" s="186"/>
      <c r="AW71" s="539"/>
      <c r="AX71" s="540"/>
      <c r="AY71" s="540"/>
      <c r="AZ71" s="540"/>
      <c r="BA71" s="540"/>
      <c r="BB71" s="540"/>
      <c r="BC71" s="540"/>
      <c r="BD71" s="540"/>
      <c r="BE71" s="540"/>
      <c r="BF71" s="540"/>
      <c r="BG71" s="541"/>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31" t="str">
        <f>IF(Roster!$A$13=0,"","#"&amp;Roster!$A$13)</f>
        <v>#12</v>
      </c>
      <c r="C74" s="167"/>
      <c r="D74" s="167"/>
      <c r="E74" s="167"/>
      <c r="F74" s="167"/>
      <c r="G74" s="167"/>
      <c r="H74" s="167"/>
      <c r="I74" s="167"/>
      <c r="J74" s="167"/>
      <c r="K74" s="167"/>
      <c r="L74" s="167"/>
      <c r="M74" s="167"/>
      <c r="N74" s="167"/>
      <c r="O74" s="167"/>
      <c r="P74" s="30"/>
      <c r="Q74" s="531" t="str">
        <f>IF(Roster!$A$14=0,"","#"&amp;Roster!$A$14)</f>
        <v>#13</v>
      </c>
      <c r="R74" s="167"/>
      <c r="S74" s="167"/>
      <c r="T74" s="167"/>
      <c r="U74" s="167"/>
      <c r="V74" s="167"/>
      <c r="W74" s="167"/>
      <c r="X74" s="167"/>
      <c r="Y74" s="167"/>
      <c r="Z74" s="167"/>
      <c r="AA74" s="167"/>
      <c r="AB74" s="167"/>
      <c r="AC74" s="167"/>
      <c r="AD74" s="167"/>
      <c r="AE74" s="30"/>
      <c r="AF74" s="531" t="str">
        <f>IF(Roster!$A$15=0,"","#"&amp;Roster!$A$15)</f>
        <v>#14</v>
      </c>
      <c r="AG74" s="167"/>
      <c r="AH74" s="167"/>
      <c r="AI74" s="167"/>
      <c r="AJ74" s="167"/>
      <c r="AK74" s="167"/>
      <c r="AL74" s="167"/>
      <c r="AM74" s="167"/>
      <c r="AN74" s="167"/>
      <c r="AO74" s="167"/>
      <c r="AP74" s="167"/>
      <c r="AQ74" s="167"/>
      <c r="AR74" s="167"/>
      <c r="AS74" s="167"/>
      <c r="AT74" s="30"/>
      <c r="AU74" s="531" t="str">
        <f>IF(Roster!$A$16=0,"","#"&amp;Roster!$A$16)</f>
        <v>#15</v>
      </c>
      <c r="AV74" s="167"/>
      <c r="AW74" s="167"/>
      <c r="AX74" s="167"/>
      <c r="AY74" s="167"/>
      <c r="AZ74" s="167"/>
      <c r="BA74" s="167"/>
      <c r="BB74" s="167"/>
      <c r="BC74" s="167"/>
      <c r="BD74" s="167"/>
      <c r="BE74" s="167"/>
      <c r="BF74" s="167"/>
      <c r="BG74" s="167"/>
      <c r="BH74" s="167"/>
    </row>
    <row r="75" spans="1:60" ht="15" customHeight="1">
      <c r="A75" s="30"/>
      <c r="B75" s="499"/>
      <c r="C75" s="524" t="str">
        <f>IF(Roster!$B$13=0,"",Roster!$B$13)</f>
        <v>Gobbo Costa</v>
      </c>
      <c r="D75" s="484"/>
      <c r="E75" s="484"/>
      <c r="F75" s="484"/>
      <c r="G75" s="484"/>
      <c r="H75" s="484"/>
      <c r="I75" s="484"/>
      <c r="J75" s="484"/>
      <c r="K75" s="484"/>
      <c r="L75" s="484"/>
      <c r="M75" s="484"/>
      <c r="N75" s="485"/>
      <c r="O75" s="167"/>
      <c r="P75" s="30"/>
      <c r="Q75" s="499"/>
      <c r="R75" s="524" t="str">
        <f>IF(Roster!$B$14=0,"",Roster!$B$14)</f>
        <v>Andy Goblotto</v>
      </c>
      <c r="S75" s="484"/>
      <c r="T75" s="484"/>
      <c r="U75" s="484"/>
      <c r="V75" s="484"/>
      <c r="W75" s="484"/>
      <c r="X75" s="484"/>
      <c r="Y75" s="484"/>
      <c r="Z75" s="484"/>
      <c r="AA75" s="484"/>
      <c r="AB75" s="484"/>
      <c r="AC75" s="485"/>
      <c r="AD75" s="167"/>
      <c r="AE75" s="30"/>
      <c r="AF75" s="499"/>
      <c r="AG75" s="524" t="str">
        <f>IF(Roster!$B$15=0,"",Roster!$B$15)</f>
        <v>Herr Hippie</v>
      </c>
      <c r="AH75" s="484"/>
      <c r="AI75" s="484"/>
      <c r="AJ75" s="484"/>
      <c r="AK75" s="484"/>
      <c r="AL75" s="484"/>
      <c r="AM75" s="484"/>
      <c r="AN75" s="484"/>
      <c r="AO75" s="484"/>
      <c r="AP75" s="484"/>
      <c r="AQ75" s="484"/>
      <c r="AR75" s="485"/>
      <c r="AS75" s="167"/>
      <c r="AT75" s="30"/>
      <c r="AU75" s="499"/>
      <c r="AV75" s="524" t="str">
        <f>IF(Roster!$B$16=0,"",Roster!$B$16)</f>
        <v>Adriano Celemork</v>
      </c>
      <c r="AW75" s="484"/>
      <c r="AX75" s="484"/>
      <c r="AY75" s="484"/>
      <c r="AZ75" s="484"/>
      <c r="BA75" s="484"/>
      <c r="BB75" s="484"/>
      <c r="BC75" s="484"/>
      <c r="BD75" s="484"/>
      <c r="BE75" s="484"/>
      <c r="BF75" s="484"/>
      <c r="BG75" s="485"/>
      <c r="BH75" s="167"/>
    </row>
    <row r="76" spans="1:60" ht="11.25" customHeight="1">
      <c r="A76" s="30"/>
      <c r="B76" s="500"/>
      <c r="C76" s="530" t="str">
        <f>IF(Roster!$D$13=0,"",Roster!$D$13)</f>
        <v>Goblin</v>
      </c>
      <c r="D76" s="484"/>
      <c r="E76" s="484"/>
      <c r="F76" s="484"/>
      <c r="G76" s="484"/>
      <c r="H76" s="484"/>
      <c r="I76" s="484"/>
      <c r="J76" s="484"/>
      <c r="K76" s="484"/>
      <c r="L76" s="484"/>
      <c r="M76" s="484"/>
      <c r="N76" s="485"/>
      <c r="O76" s="168"/>
      <c r="P76" s="30"/>
      <c r="Q76" s="500"/>
      <c r="R76" s="530" t="str">
        <f>IF(Roster!$D$14=0,"",Roster!$D$14)</f>
        <v>Goblin</v>
      </c>
      <c r="S76" s="484"/>
      <c r="T76" s="484"/>
      <c r="U76" s="484"/>
      <c r="V76" s="484"/>
      <c r="W76" s="484"/>
      <c r="X76" s="484"/>
      <c r="Y76" s="484"/>
      <c r="Z76" s="484"/>
      <c r="AA76" s="484"/>
      <c r="AB76" s="484"/>
      <c r="AC76" s="485"/>
      <c r="AD76" s="168"/>
      <c r="AE76" s="30"/>
      <c r="AF76" s="500"/>
      <c r="AG76" s="530" t="str">
        <f>IF(Roster!$D$15=0,"",Roster!$D$15)</f>
        <v>Goblin</v>
      </c>
      <c r="AH76" s="484"/>
      <c r="AI76" s="484"/>
      <c r="AJ76" s="484"/>
      <c r="AK76" s="484"/>
      <c r="AL76" s="484"/>
      <c r="AM76" s="484"/>
      <c r="AN76" s="484"/>
      <c r="AO76" s="484"/>
      <c r="AP76" s="484"/>
      <c r="AQ76" s="484"/>
      <c r="AR76" s="485"/>
      <c r="AS76" s="168"/>
      <c r="AT76" s="30"/>
      <c r="AU76" s="500"/>
      <c r="AV76" s="530" t="str">
        <f>IF(Roster!$D$16=0,"",Roster!$D$16)</f>
        <v xml:space="preserve">Troll </v>
      </c>
      <c r="AW76" s="484"/>
      <c r="AX76" s="484"/>
      <c r="AY76" s="484"/>
      <c r="AZ76" s="484"/>
      <c r="BA76" s="484"/>
      <c r="BB76" s="484"/>
      <c r="BC76" s="484"/>
      <c r="BD76" s="484"/>
      <c r="BE76" s="484"/>
      <c r="BF76" s="484"/>
      <c r="BG76" s="485"/>
      <c r="BH76" s="168"/>
    </row>
    <row r="77" spans="1:60" ht="11.25" customHeight="1">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c r="A78" s="30"/>
      <c r="B78" s="173">
        <f>IF(Roster!$K$13=0,"",Roster!$K$13)</f>
        <v>6</v>
      </c>
      <c r="C78" s="170"/>
      <c r="D78" s="543"/>
      <c r="E78" s="543"/>
      <c r="F78" s="543"/>
      <c r="G78" s="543"/>
      <c r="H78" s="543"/>
      <c r="I78" s="543"/>
      <c r="J78" s="543"/>
      <c r="K78" s="543"/>
      <c r="L78" s="543"/>
      <c r="M78" s="543"/>
      <c r="N78" s="543"/>
      <c r="O78" s="167"/>
      <c r="P78" s="30"/>
      <c r="Q78" s="173">
        <f>IF(Roster!$K$14=0,"",Roster!$K$14)</f>
        <v>6</v>
      </c>
      <c r="R78" s="170"/>
      <c r="S78" s="543"/>
      <c r="T78" s="543"/>
      <c r="U78" s="543"/>
      <c r="V78" s="543"/>
      <c r="W78" s="543"/>
      <c r="X78" s="543"/>
      <c r="Y78" s="543"/>
      <c r="Z78" s="543"/>
      <c r="AA78" s="543"/>
      <c r="AB78" s="543"/>
      <c r="AC78" s="543"/>
      <c r="AD78" s="167"/>
      <c r="AE78" s="30"/>
      <c r="AF78" s="173">
        <f>IF(Roster!$K$15=0,"",Roster!$K$15)</f>
        <v>6</v>
      </c>
      <c r="AG78" s="170"/>
      <c r="AH78" s="543"/>
      <c r="AI78" s="543"/>
      <c r="AJ78" s="543"/>
      <c r="AK78" s="543"/>
      <c r="AL78" s="543"/>
      <c r="AM78" s="543"/>
      <c r="AN78" s="543"/>
      <c r="AO78" s="543"/>
      <c r="AP78" s="543"/>
      <c r="AQ78" s="543"/>
      <c r="AR78" s="543"/>
      <c r="AS78" s="167"/>
      <c r="AT78" s="30"/>
      <c r="AU78" s="173">
        <f>IF(Roster!$K$16=0,"",Roster!$K$16)</f>
        <v>4</v>
      </c>
      <c r="AV78" s="170"/>
      <c r="AW78" s="543"/>
      <c r="AX78" s="543"/>
      <c r="AY78" s="543"/>
      <c r="AZ78" s="543"/>
      <c r="BA78" s="543"/>
      <c r="BB78" s="543"/>
      <c r="BC78" s="543"/>
      <c r="BD78" s="543"/>
      <c r="BE78" s="543"/>
      <c r="BF78" s="543"/>
      <c r="BG78" s="543"/>
      <c r="BH78" s="167"/>
    </row>
    <row r="79" spans="1:60" ht="11.25" customHeight="1">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c r="A80" s="30"/>
      <c r="B80" s="173">
        <f>IF(Roster!$L$13=0,"",Roster!$L$13)</f>
        <v>2</v>
      </c>
      <c r="C80" s="170"/>
      <c r="D80" s="543"/>
      <c r="E80" s="543"/>
      <c r="F80" s="543"/>
      <c r="G80" s="543"/>
      <c r="H80" s="543"/>
      <c r="I80" s="543"/>
      <c r="J80" s="543"/>
      <c r="K80" s="543"/>
      <c r="L80" s="543"/>
      <c r="M80" s="543"/>
      <c r="N80" s="543"/>
      <c r="O80" s="167"/>
      <c r="P80" s="30"/>
      <c r="Q80" s="173">
        <f>IF(Roster!$L$14=0,"",Roster!$L$14)</f>
        <v>2</v>
      </c>
      <c r="R80" s="170"/>
      <c r="S80" s="543"/>
      <c r="T80" s="543"/>
      <c r="U80" s="543"/>
      <c r="V80" s="543"/>
      <c r="W80" s="543"/>
      <c r="X80" s="543"/>
      <c r="Y80" s="543"/>
      <c r="Z80" s="543"/>
      <c r="AA80" s="543"/>
      <c r="AB80" s="543"/>
      <c r="AC80" s="543"/>
      <c r="AD80" s="167"/>
      <c r="AE80" s="30"/>
      <c r="AF80" s="173">
        <f>IF(Roster!$L$15=0,"",Roster!$L$15)</f>
        <v>2</v>
      </c>
      <c r="AG80" s="170"/>
      <c r="AH80" s="543"/>
      <c r="AI80" s="543"/>
      <c r="AJ80" s="543"/>
      <c r="AK80" s="543"/>
      <c r="AL80" s="543"/>
      <c r="AM80" s="543"/>
      <c r="AN80" s="543"/>
      <c r="AO80" s="543"/>
      <c r="AP80" s="543"/>
      <c r="AQ80" s="543"/>
      <c r="AR80" s="543"/>
      <c r="AS80" s="167"/>
      <c r="AT80" s="30"/>
      <c r="AU80" s="173">
        <f>IF(Roster!$L$16=0,"",Roster!$L$16)</f>
        <v>5</v>
      </c>
      <c r="AV80" s="170"/>
      <c r="AW80" s="543"/>
      <c r="AX80" s="543"/>
      <c r="AY80" s="543"/>
      <c r="AZ80" s="543"/>
      <c r="BA80" s="543"/>
      <c r="BB80" s="543"/>
      <c r="BC80" s="543"/>
      <c r="BD80" s="543"/>
      <c r="BE80" s="543"/>
      <c r="BF80" s="543"/>
      <c r="BG80" s="543"/>
      <c r="BH80" s="167"/>
    </row>
    <row r="81" spans="1:60" ht="11.25" customHeight="1">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c r="A82" s="30"/>
      <c r="B82" s="173" t="str">
        <f>IF(Roster!$M$13=0&amp;"+","",Roster!$M$13)</f>
        <v>3+</v>
      </c>
      <c r="C82" s="170"/>
      <c r="D82" s="543"/>
      <c r="E82" s="543"/>
      <c r="F82" s="543"/>
      <c r="G82" s="543"/>
      <c r="H82" s="543"/>
      <c r="I82" s="543"/>
      <c r="J82" s="543"/>
      <c r="K82" s="543"/>
      <c r="L82" s="543"/>
      <c r="M82" s="543"/>
      <c r="N82" s="543"/>
      <c r="O82" s="167"/>
      <c r="P82" s="30"/>
      <c r="Q82" s="173" t="str">
        <f>IF(Roster!$M$14=0&amp;"+","",Roster!$M$14)</f>
        <v>3+</v>
      </c>
      <c r="R82" s="170"/>
      <c r="S82" s="543"/>
      <c r="T82" s="543"/>
      <c r="U82" s="543"/>
      <c r="V82" s="543"/>
      <c r="W82" s="543"/>
      <c r="X82" s="543"/>
      <c r="Y82" s="543"/>
      <c r="Z82" s="543"/>
      <c r="AA82" s="543"/>
      <c r="AB82" s="543"/>
      <c r="AC82" s="543"/>
      <c r="AD82" s="167"/>
      <c r="AE82" s="30"/>
      <c r="AF82" s="173" t="str">
        <f>IF(Roster!$M$15=0&amp;"+","",Roster!$M$15)</f>
        <v>3+</v>
      </c>
      <c r="AG82" s="170"/>
      <c r="AH82" s="543"/>
      <c r="AI82" s="543"/>
      <c r="AJ82" s="543"/>
      <c r="AK82" s="543"/>
      <c r="AL82" s="543"/>
      <c r="AM82" s="543"/>
      <c r="AN82" s="543"/>
      <c r="AO82" s="543"/>
      <c r="AP82" s="543"/>
      <c r="AQ82" s="543"/>
      <c r="AR82" s="543"/>
      <c r="AS82" s="167"/>
      <c r="AT82" s="30"/>
      <c r="AU82" s="173" t="str">
        <f>IF(Roster!$M$16=0&amp;"+","",Roster!$M$16)</f>
        <v>5+</v>
      </c>
      <c r="AV82" s="170"/>
      <c r="AW82" s="543"/>
      <c r="AX82" s="543"/>
      <c r="AY82" s="543"/>
      <c r="AZ82" s="543"/>
      <c r="BA82" s="543"/>
      <c r="BB82" s="543"/>
      <c r="BC82" s="543"/>
      <c r="BD82" s="543"/>
      <c r="BE82" s="543"/>
      <c r="BF82" s="543"/>
      <c r="BG82" s="543"/>
      <c r="BH82" s="167"/>
    </row>
    <row r="83" spans="1:60" ht="11.25" customHeight="1">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c r="A84" s="30"/>
      <c r="B84" s="532" t="str">
        <f>IF(Roster!$N$13=0&amp;"+","",Roster!$N$13)</f>
        <v>4+</v>
      </c>
      <c r="C84" s="170"/>
      <c r="D84" s="543"/>
      <c r="E84" s="543"/>
      <c r="F84" s="543"/>
      <c r="G84" s="543"/>
      <c r="H84" s="543"/>
      <c r="I84" s="543"/>
      <c r="J84" s="543"/>
      <c r="K84" s="543"/>
      <c r="L84" s="543"/>
      <c r="M84" s="543"/>
      <c r="N84" s="543"/>
      <c r="O84" s="178"/>
      <c r="P84" s="30"/>
      <c r="Q84" s="532" t="str">
        <f>IF(Roster!$N$14=0&amp;"+","",Roster!$N$14)</f>
        <v>4+</v>
      </c>
      <c r="R84" s="170"/>
      <c r="S84" s="543"/>
      <c r="T84" s="543"/>
      <c r="U84" s="543"/>
      <c r="V84" s="543"/>
      <c r="W84" s="543"/>
      <c r="X84" s="543"/>
      <c r="Y84" s="543"/>
      <c r="Z84" s="543"/>
      <c r="AA84" s="543"/>
      <c r="AB84" s="543"/>
      <c r="AC84" s="543"/>
      <c r="AD84" s="178"/>
      <c r="AE84" s="30"/>
      <c r="AF84" s="532" t="str">
        <f>IF(Roster!$N$15=0&amp;"+","",Roster!$N$15)</f>
        <v>4+</v>
      </c>
      <c r="AG84" s="170"/>
      <c r="AH84" s="543"/>
      <c r="AI84" s="543"/>
      <c r="AJ84" s="543"/>
      <c r="AK84" s="543"/>
      <c r="AL84" s="543"/>
      <c r="AM84" s="543"/>
      <c r="AN84" s="543"/>
      <c r="AO84" s="543"/>
      <c r="AP84" s="543"/>
      <c r="AQ84" s="543"/>
      <c r="AR84" s="543"/>
      <c r="AS84" s="178"/>
      <c r="AT84" s="30"/>
      <c r="AU84" s="532" t="str">
        <f>IF(Roster!$N$16=0&amp;"+","",Roster!$N$16)</f>
        <v>5+</v>
      </c>
      <c r="AV84" s="170"/>
      <c r="AW84" s="543"/>
      <c r="AX84" s="543"/>
      <c r="AY84" s="543"/>
      <c r="AZ84" s="543"/>
      <c r="BA84" s="543"/>
      <c r="BB84" s="543"/>
      <c r="BC84" s="543"/>
      <c r="BD84" s="543"/>
      <c r="BE84" s="543"/>
      <c r="BF84" s="543"/>
      <c r="BG84" s="543"/>
      <c r="BH84" s="178"/>
    </row>
    <row r="85" spans="1:60" ht="4.5" customHeight="1">
      <c r="A85" s="30"/>
      <c r="B85" s="499"/>
      <c r="C85" s="170"/>
      <c r="D85" s="167"/>
      <c r="E85" s="177"/>
      <c r="F85" s="167"/>
      <c r="G85" s="177"/>
      <c r="H85" s="167"/>
      <c r="I85" s="177"/>
      <c r="J85" s="167"/>
      <c r="K85" s="177"/>
      <c r="L85" s="167"/>
      <c r="M85" s="177"/>
      <c r="N85" s="167"/>
      <c r="O85" s="178"/>
      <c r="P85" s="30"/>
      <c r="Q85" s="499"/>
      <c r="R85" s="170"/>
      <c r="S85" s="167"/>
      <c r="T85" s="177"/>
      <c r="U85" s="167"/>
      <c r="V85" s="177"/>
      <c r="W85" s="167"/>
      <c r="X85" s="177"/>
      <c r="Y85" s="167"/>
      <c r="Z85" s="177"/>
      <c r="AA85" s="167"/>
      <c r="AB85" s="177"/>
      <c r="AC85" s="167"/>
      <c r="AD85" s="178"/>
      <c r="AE85" s="30"/>
      <c r="AF85" s="499"/>
      <c r="AG85" s="170"/>
      <c r="AH85" s="167"/>
      <c r="AI85" s="177"/>
      <c r="AJ85" s="167"/>
      <c r="AK85" s="177"/>
      <c r="AL85" s="167"/>
      <c r="AM85" s="177"/>
      <c r="AN85" s="167"/>
      <c r="AO85" s="177"/>
      <c r="AP85" s="167"/>
      <c r="AQ85" s="177"/>
      <c r="AR85" s="167"/>
      <c r="AS85" s="178"/>
      <c r="AT85" s="30"/>
      <c r="AU85" s="499"/>
      <c r="AV85" s="170"/>
      <c r="AW85" s="167"/>
      <c r="AX85" s="177"/>
      <c r="AY85" s="167"/>
      <c r="AZ85" s="177"/>
      <c r="BA85" s="167"/>
      <c r="BB85" s="177"/>
      <c r="BC85" s="167"/>
      <c r="BD85" s="177"/>
      <c r="BE85" s="167"/>
      <c r="BF85" s="177"/>
      <c r="BG85" s="167"/>
      <c r="BH85" s="178"/>
    </row>
    <row r="86" spans="1:60" ht="11.25" customHeight="1">
      <c r="A86" s="30"/>
      <c r="B86" s="499"/>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9"/>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9"/>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9"/>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9"/>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9"/>
      <c r="R87" s="172"/>
      <c r="S87" s="180">
        <f>IF(Roster!$AD$14=0,"",Roster!$AD$14)</f>
        <v>1</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9"/>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9"/>
      <c r="AV87" s="172"/>
      <c r="AW87" s="180" t="str">
        <f>IF(Roster!$AD$16=0,"",Roster!$AD$16)</f>
        <v/>
      </c>
      <c r="AX87" s="172"/>
      <c r="AY87" s="180">
        <f>IF((SUM(BA87,BC87,BE87))=0,"",(SUM(BA87,BC87,BE87)))</f>
        <v>2</v>
      </c>
      <c r="AZ87" s="172"/>
      <c r="BA87" s="180" t="str">
        <f>IF(Roster!$AG$16=0,"",Roster!$AG$16)</f>
        <v/>
      </c>
      <c r="BB87" s="172"/>
      <c r="BC87" s="180">
        <f>IF(Roster!$AH$16=0,"",Roster!$AH$16)</f>
        <v>2</v>
      </c>
      <c r="BD87" s="172"/>
      <c r="BE87" s="180" t="str">
        <f>IF(Roster!$AI$16=0,"",Roster!$AI$16)</f>
        <v/>
      </c>
      <c r="BF87" s="172"/>
      <c r="BG87" s="180" t="str">
        <f>IF(Roster!$AC$16=0,"",Roster!$AC$16)</f>
        <v/>
      </c>
      <c r="BH87" s="178"/>
    </row>
    <row r="88" spans="1:60" ht="4.5" customHeight="1">
      <c r="A88" s="30"/>
      <c r="B88" s="500"/>
      <c r="C88" s="172"/>
      <c r="D88" s="181"/>
      <c r="E88" s="172"/>
      <c r="F88" s="181"/>
      <c r="G88" s="172"/>
      <c r="H88" s="181"/>
      <c r="I88" s="172"/>
      <c r="J88" s="181"/>
      <c r="K88" s="172"/>
      <c r="L88" s="181"/>
      <c r="M88" s="172"/>
      <c r="N88" s="181"/>
      <c r="O88" s="178"/>
      <c r="P88" s="30"/>
      <c r="Q88" s="500"/>
      <c r="R88" s="172"/>
      <c r="S88" s="181"/>
      <c r="T88" s="172"/>
      <c r="U88" s="181"/>
      <c r="V88" s="172"/>
      <c r="W88" s="181"/>
      <c r="X88" s="172"/>
      <c r="Y88" s="181"/>
      <c r="Z88" s="172"/>
      <c r="AA88" s="181"/>
      <c r="AB88" s="172"/>
      <c r="AC88" s="181"/>
      <c r="AD88" s="178"/>
      <c r="AE88" s="30"/>
      <c r="AF88" s="500"/>
      <c r="AG88" s="172"/>
      <c r="AH88" s="181"/>
      <c r="AI88" s="172"/>
      <c r="AJ88" s="181"/>
      <c r="AK88" s="172"/>
      <c r="AL88" s="181"/>
      <c r="AM88" s="172"/>
      <c r="AN88" s="181"/>
      <c r="AO88" s="172"/>
      <c r="AP88" s="181"/>
      <c r="AQ88" s="172"/>
      <c r="AR88" s="181"/>
      <c r="AS88" s="178"/>
      <c r="AT88" s="30"/>
      <c r="AU88" s="500"/>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32"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32" t="str">
        <f>IF(Roster!$O$14=0&amp;"+","",Roster!$O$14)</f>
        <v>8+</v>
      </c>
      <c r="R90" s="172"/>
      <c r="S90" s="180" t="str">
        <f>IF(Roster!$AE$14=0,"",Roster!$AE$14)</f>
        <v/>
      </c>
      <c r="T90" s="172"/>
      <c r="U90" s="180" t="str">
        <f>IF(Roster!$AF$14=0,"",Roster!$AF$14)</f>
        <v/>
      </c>
      <c r="V90" s="172"/>
      <c r="W90" s="180" t="str">
        <f>IF(Roster!$AB$14=0,"",Roster!$AB$14)</f>
        <v/>
      </c>
      <c r="X90" s="172"/>
      <c r="Y90" s="180" t="str">
        <f>IF(Roster!$AJ$14=0,"",Roster!$AJ$14)</f>
        <v/>
      </c>
      <c r="Z90" s="172"/>
      <c r="AA90" s="180">
        <f>IF(Roster!$AK$14=0,"",Roster!$AK$14)</f>
        <v>3</v>
      </c>
      <c r="AB90" s="172"/>
      <c r="AC90" s="180" t="str">
        <f>IF(Roster!$AA$14=0,"",Roster!$AA$14)</f>
        <v/>
      </c>
      <c r="AD90" s="182"/>
      <c r="AE90" s="30"/>
      <c r="AF90" s="532" t="str">
        <f>IF(Roster!$O$15=0&amp;"+","",Roster!$O$15)</f>
        <v>8+</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32" t="str">
        <f>IF(Roster!$O$16=0&amp;"+","",Roster!$O$16)</f>
        <v>10+</v>
      </c>
      <c r="AV90" s="172"/>
      <c r="AW90" s="180" t="str">
        <f>IF(Roster!$AE$16=0,"",Roster!$AE$16)</f>
        <v/>
      </c>
      <c r="AX90" s="172"/>
      <c r="AY90" s="180" t="str">
        <f>IF(Roster!$AF$16=0,"",Roster!$AF$16)</f>
        <v/>
      </c>
      <c r="AZ90" s="172"/>
      <c r="BA90" s="180" t="str">
        <f>IF(Roster!$AB$16=0,"",Roster!$AB$16)</f>
        <v/>
      </c>
      <c r="BB90" s="172"/>
      <c r="BC90" s="180" t="str">
        <f>IF(Roster!$AJ$16=0,"",Roster!$AJ$16)</f>
        <v/>
      </c>
      <c r="BD90" s="172"/>
      <c r="BE90" s="180">
        <f>IF(Roster!$AK$16=0,"",Roster!$AK$16)</f>
        <v>4</v>
      </c>
      <c r="BF90" s="172"/>
      <c r="BG90" s="180" t="str">
        <f>IF(Roster!$AA$16=0,"",Roster!$AA$16)</f>
        <v/>
      </c>
      <c r="BH90" s="182"/>
    </row>
    <row r="91" spans="1:60" ht="4.5" customHeight="1">
      <c r="A91" s="30"/>
      <c r="B91" s="499"/>
      <c r="C91" s="172"/>
      <c r="D91" s="172"/>
      <c r="E91" s="172"/>
      <c r="F91" s="172"/>
      <c r="G91" s="172"/>
      <c r="H91" s="172"/>
      <c r="I91" s="172"/>
      <c r="J91" s="172"/>
      <c r="K91" s="172"/>
      <c r="L91" s="172"/>
      <c r="M91" s="172"/>
      <c r="N91" s="178"/>
      <c r="O91" s="182"/>
      <c r="P91" s="30"/>
      <c r="Q91" s="499"/>
      <c r="R91" s="172"/>
      <c r="S91" s="172"/>
      <c r="T91" s="172"/>
      <c r="U91" s="172"/>
      <c r="V91" s="172"/>
      <c r="W91" s="172"/>
      <c r="X91" s="172"/>
      <c r="Y91" s="172"/>
      <c r="Z91" s="172"/>
      <c r="AA91" s="172"/>
      <c r="AB91" s="172"/>
      <c r="AC91" s="178"/>
      <c r="AD91" s="182"/>
      <c r="AE91" s="30"/>
      <c r="AF91" s="499"/>
      <c r="AG91" s="172"/>
      <c r="AH91" s="172"/>
      <c r="AI91" s="172"/>
      <c r="AJ91" s="172"/>
      <c r="AK91" s="172"/>
      <c r="AL91" s="172"/>
      <c r="AM91" s="172"/>
      <c r="AN91" s="172"/>
      <c r="AO91" s="172"/>
      <c r="AP91" s="172"/>
      <c r="AQ91" s="172"/>
      <c r="AR91" s="178"/>
      <c r="AS91" s="182"/>
      <c r="AT91" s="30"/>
      <c r="AU91" s="499"/>
      <c r="AV91" s="172"/>
      <c r="AW91" s="172"/>
      <c r="AX91" s="172"/>
      <c r="AY91" s="172"/>
      <c r="AZ91" s="172"/>
      <c r="BA91" s="172"/>
      <c r="BB91" s="172"/>
      <c r="BC91" s="172"/>
      <c r="BD91" s="172"/>
      <c r="BE91" s="172"/>
      <c r="BF91" s="172"/>
      <c r="BG91" s="178"/>
      <c r="BH91" s="182"/>
    </row>
    <row r="92" spans="1:60" ht="11.25" customHeight="1">
      <c r="A92" s="30"/>
      <c r="B92" s="499"/>
      <c r="C92" s="172"/>
      <c r="D92" s="529" t="str">
        <f>IF(Roster!$K$25="Italiano","ABILITÀ &amp; TRATTI",(IF(Roster!$K$25="Español","HABILIDADES Y RASGOS","SKILLS &amp; TRAITS")))</f>
        <v>SKILLS &amp; TRAITS</v>
      </c>
      <c r="E92" s="484"/>
      <c r="F92" s="484"/>
      <c r="G92" s="484"/>
      <c r="H92" s="484"/>
      <c r="I92" s="484"/>
      <c r="J92" s="484"/>
      <c r="K92" s="484"/>
      <c r="L92" s="484"/>
      <c r="M92" s="484"/>
      <c r="N92" s="485"/>
      <c r="O92" s="182"/>
      <c r="P92" s="30"/>
      <c r="Q92" s="499"/>
      <c r="R92" s="172"/>
      <c r="S92" s="529" t="str">
        <f>IF(Roster!$K$25="Italiano","ABILITÀ &amp; TRATTI",(IF(Roster!$K$25="Español","HABILIDADES Y RASGOS","SKILLS &amp; TRAITS")))</f>
        <v>SKILLS &amp; TRAITS</v>
      </c>
      <c r="T92" s="484"/>
      <c r="U92" s="484"/>
      <c r="V92" s="484"/>
      <c r="W92" s="484"/>
      <c r="X92" s="484"/>
      <c r="Y92" s="484"/>
      <c r="Z92" s="484"/>
      <c r="AA92" s="484"/>
      <c r="AB92" s="484"/>
      <c r="AC92" s="485"/>
      <c r="AD92" s="182"/>
      <c r="AE92" s="30"/>
      <c r="AF92" s="499"/>
      <c r="AG92" s="172"/>
      <c r="AH92" s="529" t="str">
        <f>IF(Roster!$K$25="Italiano","ABILITÀ &amp; TRATTI",(IF(Roster!$K$25="Español","HABILIDADES Y RASGOS","SKILLS &amp; TRAITS")))</f>
        <v>SKILLS &amp; TRAITS</v>
      </c>
      <c r="AI92" s="484"/>
      <c r="AJ92" s="484"/>
      <c r="AK92" s="484"/>
      <c r="AL92" s="484"/>
      <c r="AM92" s="484"/>
      <c r="AN92" s="484"/>
      <c r="AO92" s="484"/>
      <c r="AP92" s="484"/>
      <c r="AQ92" s="484"/>
      <c r="AR92" s="485"/>
      <c r="AS92" s="182"/>
      <c r="AT92" s="30"/>
      <c r="AU92" s="499"/>
      <c r="AV92" s="172"/>
      <c r="AW92" s="529" t="str">
        <f>IF(Roster!$K$25="Italiano","ABILITÀ &amp; TRATTI",(IF(Roster!$K$25="Español","HABILIDADES Y RASGOS","SKILLS &amp; TRAITS")))</f>
        <v>SKILLS &amp; TRAITS</v>
      </c>
      <c r="AX92" s="484"/>
      <c r="AY92" s="484"/>
      <c r="AZ92" s="484"/>
      <c r="BA92" s="484"/>
      <c r="BB92" s="484"/>
      <c r="BC92" s="484"/>
      <c r="BD92" s="484"/>
      <c r="BE92" s="484"/>
      <c r="BF92" s="484"/>
      <c r="BG92" s="485"/>
      <c r="BH92" s="182"/>
    </row>
    <row r="93" spans="1:60" ht="6.75" customHeight="1">
      <c r="A93" s="30"/>
      <c r="B93" s="500"/>
      <c r="C93" s="172"/>
      <c r="D93" s="533" t="str">
        <f>IF(Roster!$P$13=0&amp;BF13,"",Roster!$P$13)</f>
        <v>Dodge, Right Stuff, Stunty</v>
      </c>
      <c r="E93" s="534"/>
      <c r="F93" s="534"/>
      <c r="G93" s="534"/>
      <c r="H93" s="534"/>
      <c r="I93" s="534"/>
      <c r="J93" s="534"/>
      <c r="K93" s="534"/>
      <c r="L93" s="534"/>
      <c r="M93" s="534"/>
      <c r="N93" s="535"/>
      <c r="O93" s="182"/>
      <c r="P93" s="30"/>
      <c r="Q93" s="500"/>
      <c r="R93" s="172"/>
      <c r="S93" s="533" t="str">
        <f>IF(Roster!$P$14=0&amp;BF14,"",Roster!$P$14)</f>
        <v>Dodge, Right Stuff, Stunty</v>
      </c>
      <c r="T93" s="534"/>
      <c r="U93" s="534"/>
      <c r="V93" s="534"/>
      <c r="W93" s="534"/>
      <c r="X93" s="534"/>
      <c r="Y93" s="534"/>
      <c r="Z93" s="534"/>
      <c r="AA93" s="534"/>
      <c r="AB93" s="534"/>
      <c r="AC93" s="535"/>
      <c r="AD93" s="182"/>
      <c r="AE93" s="30"/>
      <c r="AF93" s="500"/>
      <c r="AG93" s="172"/>
      <c r="AH93" s="533" t="str">
        <f>IF(Roster!$P$15=0&amp;BF15,"",Roster!$P$15)</f>
        <v>Dodge, Right Stuff, Stunty</v>
      </c>
      <c r="AI93" s="534"/>
      <c r="AJ93" s="534"/>
      <c r="AK93" s="534"/>
      <c r="AL93" s="534"/>
      <c r="AM93" s="534"/>
      <c r="AN93" s="534"/>
      <c r="AO93" s="534"/>
      <c r="AP93" s="534"/>
      <c r="AQ93" s="534"/>
      <c r="AR93" s="535"/>
      <c r="AS93" s="182"/>
      <c r="AT93" s="30"/>
      <c r="AU93" s="500"/>
      <c r="AV93" s="172"/>
      <c r="AW93" s="533" t="str">
        <f>IF(Roster!$P$16=0&amp;BF16,"",Roster!$P$16)</f>
        <v>Always Hungry, Loner (3+), Mighty Blow (+1), Projectile Vomit, Really Stupid, Regeneration, Throw Team-mate</v>
      </c>
      <c r="AX93" s="534"/>
      <c r="AY93" s="534"/>
      <c r="AZ93" s="534"/>
      <c r="BA93" s="534"/>
      <c r="BB93" s="534"/>
      <c r="BC93" s="534"/>
      <c r="BD93" s="534"/>
      <c r="BE93" s="534"/>
      <c r="BF93" s="534"/>
      <c r="BG93" s="535"/>
      <c r="BH93" s="182"/>
    </row>
    <row r="94" spans="1:60" ht="11.25" customHeight="1">
      <c r="A94" s="30"/>
      <c r="B94" s="171" t="str">
        <f>IF(Roster!$AO$1=0,"",Roster!$AO$1)</f>
        <v>COST</v>
      </c>
      <c r="C94" s="171"/>
      <c r="D94" s="536"/>
      <c r="E94" s="537"/>
      <c r="F94" s="537"/>
      <c r="G94" s="537"/>
      <c r="H94" s="537"/>
      <c r="I94" s="537"/>
      <c r="J94" s="537"/>
      <c r="K94" s="537"/>
      <c r="L94" s="537"/>
      <c r="M94" s="537"/>
      <c r="N94" s="538"/>
      <c r="O94" s="183"/>
      <c r="P94" s="30"/>
      <c r="Q94" s="171" t="str">
        <f>IF(Roster!$AO$1=0,"",Roster!$AO$1)</f>
        <v>COST</v>
      </c>
      <c r="R94" s="171"/>
      <c r="S94" s="536"/>
      <c r="T94" s="537"/>
      <c r="U94" s="537"/>
      <c r="V94" s="537"/>
      <c r="W94" s="537"/>
      <c r="X94" s="537"/>
      <c r="Y94" s="537"/>
      <c r="Z94" s="537"/>
      <c r="AA94" s="537"/>
      <c r="AB94" s="537"/>
      <c r="AC94" s="538"/>
      <c r="AD94" s="183"/>
      <c r="AE94" s="30"/>
      <c r="AF94" s="171" t="str">
        <f>IF(Roster!$AO$1=0,"",Roster!$AO$1)</f>
        <v>COST</v>
      </c>
      <c r="AG94" s="171"/>
      <c r="AH94" s="536"/>
      <c r="AI94" s="537"/>
      <c r="AJ94" s="537"/>
      <c r="AK94" s="537"/>
      <c r="AL94" s="537"/>
      <c r="AM94" s="537"/>
      <c r="AN94" s="537"/>
      <c r="AO94" s="537"/>
      <c r="AP94" s="537"/>
      <c r="AQ94" s="537"/>
      <c r="AR94" s="538"/>
      <c r="AS94" s="183"/>
      <c r="AT94" s="30"/>
      <c r="AU94" s="171" t="str">
        <f>IF(Roster!$AO$1=0,"",Roster!$AO$1)</f>
        <v>COST</v>
      </c>
      <c r="AV94" s="171"/>
      <c r="AW94" s="536"/>
      <c r="AX94" s="537"/>
      <c r="AY94" s="537"/>
      <c r="AZ94" s="537"/>
      <c r="BA94" s="537"/>
      <c r="BB94" s="537"/>
      <c r="BC94" s="537"/>
      <c r="BD94" s="537"/>
      <c r="BE94" s="537"/>
      <c r="BF94" s="537"/>
      <c r="BG94" s="538"/>
      <c r="BH94" s="183"/>
    </row>
    <row r="95" spans="1:60" ht="34.5" customHeight="1">
      <c r="A95" s="30"/>
      <c r="B95" s="185">
        <f>IF(Roster!$AO$13=0,"",Roster!$AO$13)</f>
        <v>40000</v>
      </c>
      <c r="C95" s="186"/>
      <c r="D95" s="539"/>
      <c r="E95" s="540"/>
      <c r="F95" s="540"/>
      <c r="G95" s="540"/>
      <c r="H95" s="540"/>
      <c r="I95" s="540"/>
      <c r="J95" s="540"/>
      <c r="K95" s="540"/>
      <c r="L95" s="540"/>
      <c r="M95" s="540"/>
      <c r="N95" s="541"/>
      <c r="O95" s="183"/>
      <c r="P95" s="30"/>
      <c r="Q95" s="185">
        <f>IF(Roster!$AO$14=0,"",Roster!$AO$14)</f>
        <v>40000</v>
      </c>
      <c r="R95" s="186"/>
      <c r="S95" s="539"/>
      <c r="T95" s="540"/>
      <c r="U95" s="540"/>
      <c r="V95" s="540"/>
      <c r="W95" s="540"/>
      <c r="X95" s="540"/>
      <c r="Y95" s="540"/>
      <c r="Z95" s="540"/>
      <c r="AA95" s="540"/>
      <c r="AB95" s="540"/>
      <c r="AC95" s="541"/>
      <c r="AD95" s="183"/>
      <c r="AE95" s="30"/>
      <c r="AF95" s="185">
        <f>IF(Roster!$AO$15=0,"",Roster!$AO$15)</f>
        <v>40000</v>
      </c>
      <c r="AG95" s="186"/>
      <c r="AH95" s="539"/>
      <c r="AI95" s="540"/>
      <c r="AJ95" s="540"/>
      <c r="AK95" s="540"/>
      <c r="AL95" s="540"/>
      <c r="AM95" s="540"/>
      <c r="AN95" s="540"/>
      <c r="AO95" s="540"/>
      <c r="AP95" s="540"/>
      <c r="AQ95" s="540"/>
      <c r="AR95" s="541"/>
      <c r="AS95" s="183"/>
      <c r="AT95" s="30"/>
      <c r="AU95" s="185">
        <f>IF(Roster!$AO$16=0,"",Roster!$AO$16)</f>
        <v>115000</v>
      </c>
      <c r="AV95" s="186"/>
      <c r="AW95" s="539"/>
      <c r="AX95" s="540"/>
      <c r="AY95" s="540"/>
      <c r="AZ95" s="540"/>
      <c r="BA95" s="540"/>
      <c r="BB95" s="540"/>
      <c r="BC95" s="540"/>
      <c r="BD95" s="540"/>
      <c r="BE95" s="540"/>
      <c r="BF95" s="540"/>
      <c r="BG95" s="541"/>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31" t="str">
        <f>IF(Roster!$A$17=0,"","#"&amp;Roster!$A$17)</f>
        <v>#16</v>
      </c>
      <c r="C98" s="167"/>
      <c r="D98" s="167"/>
      <c r="E98" s="167"/>
      <c r="F98" s="167"/>
      <c r="G98" s="167"/>
      <c r="H98" s="167"/>
      <c r="I98" s="167"/>
      <c r="J98" s="167"/>
      <c r="K98" s="167"/>
      <c r="L98" s="167"/>
      <c r="M98" s="167"/>
      <c r="N98" s="167"/>
      <c r="O98" s="167"/>
      <c r="P98" s="30"/>
      <c r="Q98" s="542"/>
      <c r="R98" s="167"/>
      <c r="S98" s="167"/>
      <c r="T98" s="167"/>
      <c r="U98" s="167"/>
      <c r="V98" s="167"/>
      <c r="W98" s="167"/>
      <c r="X98" s="167"/>
      <c r="Y98" s="167"/>
      <c r="Z98" s="167"/>
      <c r="AA98" s="167"/>
      <c r="AB98" s="167"/>
      <c r="AC98" s="167"/>
      <c r="AD98" s="167"/>
      <c r="AE98" s="30"/>
      <c r="AF98" s="542"/>
      <c r="AG98" s="167"/>
      <c r="AH98" s="167"/>
      <c r="AI98" s="167"/>
      <c r="AJ98" s="167"/>
      <c r="AK98" s="167"/>
      <c r="AL98" s="167"/>
      <c r="AM98" s="167"/>
      <c r="AN98" s="167"/>
      <c r="AO98" s="167"/>
      <c r="AP98" s="167"/>
      <c r="AQ98" s="167"/>
      <c r="AR98" s="167"/>
      <c r="AS98" s="167"/>
      <c r="AT98" s="30"/>
      <c r="AU98" s="542"/>
      <c r="AV98" s="167"/>
      <c r="AW98" s="167"/>
      <c r="AX98" s="167"/>
      <c r="AY98" s="167"/>
      <c r="AZ98" s="167"/>
      <c r="BA98" s="167"/>
      <c r="BB98" s="167"/>
      <c r="BC98" s="167"/>
      <c r="BD98" s="167"/>
      <c r="BE98" s="167"/>
      <c r="BF98" s="167"/>
      <c r="BG98" s="167"/>
      <c r="BH98" s="167"/>
    </row>
    <row r="99" spans="1:60" ht="15" customHeight="1">
      <c r="A99" s="30"/>
      <c r="B99" s="499"/>
      <c r="C99" s="524" t="str">
        <f>IF(Roster!$B$17=0,"",Roster!$B$17)</f>
        <v>Gork Morandi</v>
      </c>
      <c r="D99" s="484"/>
      <c r="E99" s="484"/>
      <c r="F99" s="484"/>
      <c r="G99" s="484"/>
      <c r="H99" s="484"/>
      <c r="I99" s="484"/>
      <c r="J99" s="484"/>
      <c r="K99" s="484"/>
      <c r="L99" s="484"/>
      <c r="M99" s="484"/>
      <c r="N99" s="485"/>
      <c r="O99" s="167"/>
      <c r="P99" s="30"/>
      <c r="Q99" s="499"/>
      <c r="R99" s="525" t="str">
        <f>IF(Roster!$B$18=0,"","("&amp;Roster!$B$18&amp;")")</f>
        <v>(Star Player &amp; Mercenary)</v>
      </c>
      <c r="S99" s="526"/>
      <c r="T99" s="526"/>
      <c r="U99" s="526"/>
      <c r="V99" s="526"/>
      <c r="W99" s="526"/>
      <c r="X99" s="526"/>
      <c r="Y99" s="526"/>
      <c r="Z99" s="526"/>
      <c r="AA99" s="526"/>
      <c r="AB99" s="526"/>
      <c r="AC99" s="527"/>
      <c r="AD99" s="167"/>
      <c r="AE99" s="30"/>
      <c r="AF99" s="499"/>
      <c r="AG99" s="525" t="str">
        <f>IF(Roster!$B$19=0,"","("&amp;Roster!$B$19&amp;")")</f>
        <v>(Star Player &amp; Mercenary)</v>
      </c>
      <c r="AH99" s="526"/>
      <c r="AI99" s="526"/>
      <c r="AJ99" s="526"/>
      <c r="AK99" s="526"/>
      <c r="AL99" s="526"/>
      <c r="AM99" s="526"/>
      <c r="AN99" s="526"/>
      <c r="AO99" s="526"/>
      <c r="AP99" s="526"/>
      <c r="AQ99" s="526"/>
      <c r="AR99" s="527"/>
      <c r="AS99" s="167"/>
      <c r="AT99" s="30"/>
      <c r="AU99" s="499"/>
      <c r="AV99" s="525" t="str">
        <f>IF(Roster!$B$20=0,"","("&amp;Roster!$B$20&amp;")")</f>
        <v>(Mercenary)</v>
      </c>
      <c r="AW99" s="526"/>
      <c r="AX99" s="526"/>
      <c r="AY99" s="526"/>
      <c r="AZ99" s="526"/>
      <c r="BA99" s="526"/>
      <c r="BB99" s="526"/>
      <c r="BC99" s="526"/>
      <c r="BD99" s="526"/>
      <c r="BE99" s="526"/>
      <c r="BF99" s="526"/>
      <c r="BG99" s="527"/>
      <c r="BH99" s="167"/>
    </row>
    <row r="100" spans="1:60" ht="11.25" customHeight="1">
      <c r="A100" s="30"/>
      <c r="B100" s="500"/>
      <c r="C100" s="530" t="str">
        <f>IF(Roster!$D$17=0,"",Roster!$D$17)</f>
        <v xml:space="preserve">Troll </v>
      </c>
      <c r="D100" s="484"/>
      <c r="E100" s="484"/>
      <c r="F100" s="484"/>
      <c r="G100" s="484"/>
      <c r="H100" s="484"/>
      <c r="I100" s="484"/>
      <c r="J100" s="484"/>
      <c r="K100" s="484"/>
      <c r="L100" s="484"/>
      <c r="M100" s="484"/>
      <c r="N100" s="485"/>
      <c r="O100" s="168"/>
      <c r="P100" s="30"/>
      <c r="Q100" s="500"/>
      <c r="R100" s="544" t="str">
        <f>IF(Roster!$D$18=0,"",Roster!$D$18)</f>
        <v/>
      </c>
      <c r="S100" s="544"/>
      <c r="T100" s="544"/>
      <c r="U100" s="544"/>
      <c r="V100" s="544"/>
      <c r="W100" s="544"/>
      <c r="X100" s="544"/>
      <c r="Y100" s="544"/>
      <c r="Z100" s="544"/>
      <c r="AA100" s="544"/>
      <c r="AB100" s="544"/>
      <c r="AC100" s="544"/>
      <c r="AD100" s="168"/>
      <c r="AE100" s="30"/>
      <c r="AF100" s="500"/>
      <c r="AG100" s="528" t="str">
        <f>IF(Roster!$D$19=0,"",Roster!$D$19)</f>
        <v/>
      </c>
      <c r="AH100" s="528"/>
      <c r="AI100" s="528"/>
      <c r="AJ100" s="528"/>
      <c r="AK100" s="528"/>
      <c r="AL100" s="528"/>
      <c r="AM100" s="528"/>
      <c r="AN100" s="528"/>
      <c r="AO100" s="528"/>
      <c r="AP100" s="528"/>
      <c r="AQ100" s="528"/>
      <c r="AR100" s="528"/>
      <c r="AS100" s="168"/>
      <c r="AT100" s="30"/>
      <c r="AU100" s="500"/>
      <c r="AV100" s="528" t="str">
        <f>IF(Roster!$D$20=0,"",Roster!$D$20)</f>
        <v/>
      </c>
      <c r="AW100" s="528"/>
      <c r="AX100" s="528"/>
      <c r="AY100" s="528"/>
      <c r="AZ100" s="528"/>
      <c r="BA100" s="528"/>
      <c r="BB100" s="528"/>
      <c r="BC100" s="528"/>
      <c r="BD100" s="528"/>
      <c r="BE100" s="528"/>
      <c r="BF100" s="528"/>
      <c r="BG100" s="528"/>
      <c r="BH100" s="168"/>
    </row>
    <row r="101" spans="1:60" ht="11.25" customHeight="1">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44"/>
      <c r="S101" s="544"/>
      <c r="T101" s="544"/>
      <c r="U101" s="544"/>
      <c r="V101" s="544"/>
      <c r="W101" s="544"/>
      <c r="X101" s="544"/>
      <c r="Y101" s="544"/>
      <c r="Z101" s="544"/>
      <c r="AA101" s="544"/>
      <c r="AB101" s="544"/>
      <c r="AC101" s="544"/>
      <c r="AD101" s="167"/>
      <c r="AE101" s="30"/>
      <c r="AF101" s="171" t="str">
        <f>IF(Roster!$K$1=0,"",Roster!$K$1)</f>
        <v>MA</v>
      </c>
      <c r="AG101" s="528"/>
      <c r="AH101" s="528"/>
      <c r="AI101" s="528"/>
      <c r="AJ101" s="528"/>
      <c r="AK101" s="528"/>
      <c r="AL101" s="528"/>
      <c r="AM101" s="528"/>
      <c r="AN101" s="528"/>
      <c r="AO101" s="528"/>
      <c r="AP101" s="528"/>
      <c r="AQ101" s="528"/>
      <c r="AR101" s="528"/>
      <c r="AS101" s="167"/>
      <c r="AT101" s="30"/>
      <c r="AU101" s="171" t="str">
        <f>IF(Roster!$K$1=0,"",Roster!$K$1)</f>
        <v>MA</v>
      </c>
      <c r="AV101" s="528"/>
      <c r="AW101" s="528"/>
      <c r="AX101" s="528"/>
      <c r="AY101" s="528"/>
      <c r="AZ101" s="528"/>
      <c r="BA101" s="528"/>
      <c r="BB101" s="528"/>
      <c r="BC101" s="528"/>
      <c r="BD101" s="528"/>
      <c r="BE101" s="528"/>
      <c r="BF101" s="528"/>
      <c r="BG101" s="528"/>
      <c r="BH101" s="167"/>
    </row>
    <row r="102" spans="1:60" ht="37.5" customHeight="1">
      <c r="A102" s="30"/>
      <c r="B102" s="173">
        <f>IF(Roster!$K$17=0,"",Roster!$K$17)</f>
        <v>4</v>
      </c>
      <c r="C102" s="170"/>
      <c r="D102" s="543"/>
      <c r="E102" s="543"/>
      <c r="F102" s="543"/>
      <c r="G102" s="543"/>
      <c r="H102" s="543"/>
      <c r="I102" s="543"/>
      <c r="J102" s="543"/>
      <c r="K102" s="543"/>
      <c r="L102" s="543"/>
      <c r="M102" s="543"/>
      <c r="N102" s="543"/>
      <c r="O102" s="167"/>
      <c r="P102" s="30"/>
      <c r="Q102" s="173" t="str">
        <f>IF(Roster!$K$18=0,"",Roster!$K$18)</f>
        <v/>
      </c>
      <c r="R102" s="544"/>
      <c r="S102" s="544"/>
      <c r="T102" s="544"/>
      <c r="U102" s="544"/>
      <c r="V102" s="544"/>
      <c r="W102" s="544"/>
      <c r="X102" s="544"/>
      <c r="Y102" s="544"/>
      <c r="Z102" s="544"/>
      <c r="AA102" s="544"/>
      <c r="AB102" s="544"/>
      <c r="AC102" s="544"/>
      <c r="AD102" s="167"/>
      <c r="AE102" s="30"/>
      <c r="AF102" s="173" t="str">
        <f>IF(Roster!$K$19=0,"",Roster!$K$19)</f>
        <v/>
      </c>
      <c r="AG102" s="528"/>
      <c r="AH102" s="528"/>
      <c r="AI102" s="528"/>
      <c r="AJ102" s="528"/>
      <c r="AK102" s="528"/>
      <c r="AL102" s="528"/>
      <c r="AM102" s="528"/>
      <c r="AN102" s="528"/>
      <c r="AO102" s="528"/>
      <c r="AP102" s="528"/>
      <c r="AQ102" s="528"/>
      <c r="AR102" s="528"/>
      <c r="AS102" s="167"/>
      <c r="AT102" s="30"/>
      <c r="AU102" s="173" t="str">
        <f>IF(Roster!$K$20=0,"",Roster!$K$20)</f>
        <v/>
      </c>
      <c r="AV102" s="528"/>
      <c r="AW102" s="528"/>
      <c r="AX102" s="528"/>
      <c r="AY102" s="528"/>
      <c r="AZ102" s="528"/>
      <c r="BA102" s="528"/>
      <c r="BB102" s="528"/>
      <c r="BC102" s="528"/>
      <c r="BD102" s="528"/>
      <c r="BE102" s="528"/>
      <c r="BF102" s="528"/>
      <c r="BG102" s="528"/>
      <c r="BH102" s="167"/>
    </row>
    <row r="103" spans="1:60" ht="11.25" customHeight="1">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9" t="str">
        <f>IF(Roster!$K$25="Italiano","REGOLE SPECIALI",(IF(Roster!$K$25="Español","REGLA ESPECIAL","SPECIAL RULE")))</f>
        <v>SPECIAL RULE</v>
      </c>
      <c r="T103" s="484"/>
      <c r="U103" s="484"/>
      <c r="V103" s="484"/>
      <c r="W103" s="484"/>
      <c r="X103" s="484"/>
      <c r="Y103" s="484"/>
      <c r="Z103" s="484"/>
      <c r="AA103" s="484"/>
      <c r="AB103" s="484"/>
      <c r="AC103" s="485"/>
      <c r="AD103" s="167"/>
      <c r="AE103" s="30"/>
      <c r="AF103" s="171" t="str">
        <f>IF(Roster!$L$1=0,"",Roster!$L$1)</f>
        <v>ST</v>
      </c>
      <c r="AG103" s="216"/>
      <c r="AH103" s="529" t="str">
        <f>IF(Roster!$K$25="Italiano","REGOLE SPECIALI",(IF(Roster!$K$25="Español","REGLA ESPECIAL","SPECIAL RULE")))</f>
        <v>SPECIAL RULE</v>
      </c>
      <c r="AI103" s="484"/>
      <c r="AJ103" s="484"/>
      <c r="AK103" s="484"/>
      <c r="AL103" s="484"/>
      <c r="AM103" s="484"/>
      <c r="AN103" s="484"/>
      <c r="AO103" s="484"/>
      <c r="AP103" s="484"/>
      <c r="AQ103" s="484"/>
      <c r="AR103" s="485"/>
      <c r="AS103" s="167"/>
      <c r="AT103" s="30"/>
      <c r="AU103" s="171" t="str">
        <f>IF(Roster!$L$1=0,"",Roster!$L$1)</f>
        <v>ST</v>
      </c>
      <c r="AV103" s="216"/>
      <c r="AW103" s="529" t="str">
        <f>IF(Roster!$K$25="Italiano","REGOLE SPECIALI",(IF(Roster!$K$25="Español","REGLA ESPECIAL","SPECIAL RULE")))</f>
        <v>SPECIAL RULE</v>
      </c>
      <c r="AX103" s="484"/>
      <c r="AY103" s="484"/>
      <c r="AZ103" s="484"/>
      <c r="BA103" s="484"/>
      <c r="BB103" s="484"/>
      <c r="BC103" s="484"/>
      <c r="BD103" s="484"/>
      <c r="BE103" s="484"/>
      <c r="BF103" s="484"/>
      <c r="BG103" s="485"/>
      <c r="BH103" s="167"/>
    </row>
    <row r="104" spans="1:60" ht="37.5" customHeight="1">
      <c r="A104" s="30"/>
      <c r="B104" s="173">
        <f>IF(Roster!$L$17=0,"",Roster!$L$17)</f>
        <v>5</v>
      </c>
      <c r="C104" s="170"/>
      <c r="D104" s="543"/>
      <c r="E104" s="543"/>
      <c r="F104" s="543"/>
      <c r="G104" s="543"/>
      <c r="H104" s="543"/>
      <c r="I104" s="543"/>
      <c r="J104" s="543"/>
      <c r="K104" s="543"/>
      <c r="L104" s="543"/>
      <c r="M104" s="543"/>
      <c r="N104" s="543"/>
      <c r="O104" s="167"/>
      <c r="P104" s="30"/>
      <c r="Q104" s="173" t="str">
        <f>IF(Roster!$L$18=0,"",Roster!$L$18)</f>
        <v/>
      </c>
      <c r="R104" s="171"/>
      <c r="S104" s="546" t="str">
        <f>IF(Roster!$AA$18=0,"",Roster!$AA$18)</f>
        <v/>
      </c>
      <c r="T104" s="546"/>
      <c r="U104" s="546"/>
      <c r="V104" s="546"/>
      <c r="W104" s="546"/>
      <c r="X104" s="546"/>
      <c r="Y104" s="546"/>
      <c r="Z104" s="546"/>
      <c r="AA104" s="546"/>
      <c r="AB104" s="546"/>
      <c r="AC104" s="546"/>
      <c r="AD104" s="167"/>
      <c r="AE104" s="30"/>
      <c r="AF104" s="173" t="str">
        <f>IF(Roster!$L$19=0,"",Roster!$L$19)</f>
        <v/>
      </c>
      <c r="AG104" s="216"/>
      <c r="AH104" s="546" t="str">
        <f>IF(Roster!$AA$19=0,"",Roster!$AA$19)</f>
        <v/>
      </c>
      <c r="AI104" s="546"/>
      <c r="AJ104" s="546"/>
      <c r="AK104" s="546"/>
      <c r="AL104" s="546"/>
      <c r="AM104" s="546"/>
      <c r="AN104" s="546"/>
      <c r="AO104" s="546"/>
      <c r="AP104" s="546"/>
      <c r="AQ104" s="546"/>
      <c r="AR104" s="546"/>
      <c r="AS104" s="167"/>
      <c r="AT104" s="30"/>
      <c r="AU104" s="173" t="str">
        <f>IF(Roster!$L$20=0,"",Roster!$L$20)</f>
        <v/>
      </c>
      <c r="AV104" s="216"/>
      <c r="AW104" s="546" t="str">
        <f>IF(Roster!$AA$20=0,"",Roster!$AA$20)</f>
        <v/>
      </c>
      <c r="AX104" s="546"/>
      <c r="AY104" s="546"/>
      <c r="AZ104" s="546"/>
      <c r="BA104" s="546"/>
      <c r="BB104" s="546"/>
      <c r="BC104" s="546"/>
      <c r="BD104" s="546"/>
      <c r="BE104" s="546"/>
      <c r="BF104" s="546"/>
      <c r="BG104" s="546"/>
      <c r="BH104" s="167"/>
    </row>
    <row r="105" spans="1:60" ht="11.25" customHeight="1">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46"/>
      <c r="T105" s="546"/>
      <c r="U105" s="546"/>
      <c r="V105" s="546"/>
      <c r="W105" s="546"/>
      <c r="X105" s="546"/>
      <c r="Y105" s="546"/>
      <c r="Z105" s="546"/>
      <c r="AA105" s="546"/>
      <c r="AB105" s="546"/>
      <c r="AC105" s="546"/>
      <c r="AD105" s="167"/>
      <c r="AE105" s="30"/>
      <c r="AF105" s="171" t="str">
        <f>IF(Roster!$M$1=0,"",Roster!$M$1)</f>
        <v>AG</v>
      </c>
      <c r="AG105" s="216"/>
      <c r="AH105" s="546"/>
      <c r="AI105" s="546"/>
      <c r="AJ105" s="546"/>
      <c r="AK105" s="546"/>
      <c r="AL105" s="546"/>
      <c r="AM105" s="546"/>
      <c r="AN105" s="546"/>
      <c r="AO105" s="546"/>
      <c r="AP105" s="546"/>
      <c r="AQ105" s="546"/>
      <c r="AR105" s="546"/>
      <c r="AS105" s="167"/>
      <c r="AT105" s="30"/>
      <c r="AU105" s="171" t="str">
        <f>IF(Roster!$M$1=0,"",Roster!$M$1)</f>
        <v>AG</v>
      </c>
      <c r="AV105" s="216"/>
      <c r="AW105" s="546"/>
      <c r="AX105" s="546"/>
      <c r="AY105" s="546"/>
      <c r="AZ105" s="546"/>
      <c r="BA105" s="546"/>
      <c r="BB105" s="546"/>
      <c r="BC105" s="546"/>
      <c r="BD105" s="546"/>
      <c r="BE105" s="546"/>
      <c r="BF105" s="546"/>
      <c r="BG105" s="546"/>
      <c r="BH105" s="167"/>
    </row>
    <row r="106" spans="1:60" ht="37.5" customHeight="1">
      <c r="A106" s="30"/>
      <c r="B106" s="173" t="str">
        <f>IF(Roster!$M$17=0&amp;"+","",Roster!$M$17)</f>
        <v>5+</v>
      </c>
      <c r="C106" s="170"/>
      <c r="D106" s="543"/>
      <c r="E106" s="543"/>
      <c r="F106" s="543"/>
      <c r="G106" s="543"/>
      <c r="H106" s="543"/>
      <c r="I106" s="543"/>
      <c r="J106" s="543"/>
      <c r="K106" s="543"/>
      <c r="L106" s="543"/>
      <c r="M106" s="543"/>
      <c r="N106" s="543"/>
      <c r="O106" s="167"/>
      <c r="P106" s="30"/>
      <c r="Q106" s="173" t="str">
        <f>IF(Roster!$M$18=0,"",Roster!$M$18)</f>
        <v/>
      </c>
      <c r="R106" s="171"/>
      <c r="S106" s="546"/>
      <c r="T106" s="546"/>
      <c r="U106" s="546"/>
      <c r="V106" s="546"/>
      <c r="W106" s="546"/>
      <c r="X106" s="546"/>
      <c r="Y106" s="546"/>
      <c r="Z106" s="546"/>
      <c r="AA106" s="546"/>
      <c r="AB106" s="546"/>
      <c r="AC106" s="546"/>
      <c r="AD106" s="167"/>
      <c r="AE106" s="30"/>
      <c r="AF106" s="173" t="str">
        <f>IF(Roster!$M$19=0,"",Roster!$M$19)</f>
        <v/>
      </c>
      <c r="AG106" s="216"/>
      <c r="AH106" s="546"/>
      <c r="AI106" s="546"/>
      <c r="AJ106" s="546"/>
      <c r="AK106" s="546"/>
      <c r="AL106" s="546"/>
      <c r="AM106" s="546"/>
      <c r="AN106" s="546"/>
      <c r="AO106" s="546"/>
      <c r="AP106" s="546"/>
      <c r="AQ106" s="546"/>
      <c r="AR106" s="546"/>
      <c r="AS106" s="167"/>
      <c r="AT106" s="30"/>
      <c r="AU106" s="173" t="str">
        <f>IF(Roster!$M$20=0,"",Roster!$M$20)</f>
        <v/>
      </c>
      <c r="AV106" s="216"/>
      <c r="AW106" s="546"/>
      <c r="AX106" s="546"/>
      <c r="AY106" s="546"/>
      <c r="AZ106" s="546"/>
      <c r="BA106" s="546"/>
      <c r="BB106" s="546"/>
      <c r="BC106" s="546"/>
      <c r="BD106" s="546"/>
      <c r="BE106" s="546"/>
      <c r="BF106" s="546"/>
      <c r="BG106" s="546"/>
      <c r="BH106" s="167"/>
    </row>
    <row r="107" spans="1:60" ht="11.25" customHeight="1">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46"/>
      <c r="T107" s="546"/>
      <c r="U107" s="546"/>
      <c r="V107" s="546"/>
      <c r="W107" s="546"/>
      <c r="X107" s="546"/>
      <c r="Y107" s="546"/>
      <c r="Z107" s="546"/>
      <c r="AA107" s="546"/>
      <c r="AB107" s="546"/>
      <c r="AC107" s="546"/>
      <c r="AD107" s="176"/>
      <c r="AE107" s="30"/>
      <c r="AF107" s="171" t="str">
        <f>IF(Roster!$N$1=0,"",Roster!$N$1)</f>
        <v>PA</v>
      </c>
      <c r="AG107" s="216"/>
      <c r="AH107" s="546"/>
      <c r="AI107" s="546"/>
      <c r="AJ107" s="546"/>
      <c r="AK107" s="546"/>
      <c r="AL107" s="546"/>
      <c r="AM107" s="546"/>
      <c r="AN107" s="546"/>
      <c r="AO107" s="546"/>
      <c r="AP107" s="546"/>
      <c r="AQ107" s="546"/>
      <c r="AR107" s="546"/>
      <c r="AS107" s="176"/>
      <c r="AT107" s="30"/>
      <c r="AU107" s="171" t="str">
        <f>IF(Roster!$N$1=0,"",Roster!$N$1)</f>
        <v>PA</v>
      </c>
      <c r="AV107" s="216"/>
      <c r="AW107" s="546"/>
      <c r="AX107" s="546"/>
      <c r="AY107" s="546"/>
      <c r="AZ107" s="546"/>
      <c r="BA107" s="546"/>
      <c r="BB107" s="546"/>
      <c r="BC107" s="546"/>
      <c r="BD107" s="546"/>
      <c r="BE107" s="546"/>
      <c r="BF107" s="546"/>
      <c r="BG107" s="546"/>
      <c r="BH107" s="176"/>
    </row>
    <row r="108" spans="1:60" ht="6" customHeight="1">
      <c r="A108" s="30"/>
      <c r="B108" s="532" t="str">
        <f>IF(Roster!$N$17=0&amp;"+","",Roster!$N$17)</f>
        <v>5+</v>
      </c>
      <c r="C108" s="170"/>
      <c r="D108" s="543"/>
      <c r="E108" s="543"/>
      <c r="F108" s="543"/>
      <c r="G108" s="543"/>
      <c r="H108" s="543"/>
      <c r="I108" s="543"/>
      <c r="J108" s="543"/>
      <c r="K108" s="543"/>
      <c r="L108" s="543"/>
      <c r="M108" s="543"/>
      <c r="N108" s="543"/>
      <c r="O108" s="178"/>
      <c r="P108" s="30"/>
      <c r="Q108" s="532" t="str">
        <f>IF(Roster!$N$18=0,"",Roster!$N$18)</f>
        <v/>
      </c>
      <c r="R108" s="171"/>
      <c r="S108" s="546"/>
      <c r="T108" s="546"/>
      <c r="U108" s="546"/>
      <c r="V108" s="546"/>
      <c r="W108" s="546"/>
      <c r="X108" s="546"/>
      <c r="Y108" s="546"/>
      <c r="Z108" s="546"/>
      <c r="AA108" s="546"/>
      <c r="AB108" s="546"/>
      <c r="AC108" s="546"/>
      <c r="AD108" s="178"/>
      <c r="AE108" s="30"/>
      <c r="AF108" s="532" t="str">
        <f>IF(Roster!$N$19=0,"",Roster!$N$19)</f>
        <v/>
      </c>
      <c r="AG108" s="217"/>
      <c r="AH108" s="546"/>
      <c r="AI108" s="546"/>
      <c r="AJ108" s="546"/>
      <c r="AK108" s="546"/>
      <c r="AL108" s="546"/>
      <c r="AM108" s="546"/>
      <c r="AN108" s="546"/>
      <c r="AO108" s="546"/>
      <c r="AP108" s="546"/>
      <c r="AQ108" s="546"/>
      <c r="AR108" s="546"/>
      <c r="AS108" s="178"/>
      <c r="AT108" s="30"/>
      <c r="AU108" s="532" t="str">
        <f>IF(Roster!$N$20=0,"",Roster!$N$20)</f>
        <v/>
      </c>
      <c r="AV108" s="217"/>
      <c r="AW108" s="546"/>
      <c r="AX108" s="546"/>
      <c r="AY108" s="546"/>
      <c r="AZ108" s="546"/>
      <c r="BA108" s="546"/>
      <c r="BB108" s="546"/>
      <c r="BC108" s="546"/>
      <c r="BD108" s="546"/>
      <c r="BE108" s="546"/>
      <c r="BF108" s="546"/>
      <c r="BG108" s="546"/>
      <c r="BH108" s="178"/>
    </row>
    <row r="109" spans="1:60" ht="4.5" customHeight="1">
      <c r="A109" s="30"/>
      <c r="B109" s="499"/>
      <c r="C109" s="170"/>
      <c r="D109" s="167"/>
      <c r="E109" s="177"/>
      <c r="F109" s="167"/>
      <c r="G109" s="177"/>
      <c r="H109" s="167"/>
      <c r="I109" s="177"/>
      <c r="J109" s="167"/>
      <c r="K109" s="177"/>
      <c r="L109" s="167"/>
      <c r="M109" s="177"/>
      <c r="N109" s="167"/>
      <c r="O109" s="178"/>
      <c r="P109" s="30"/>
      <c r="Q109" s="499"/>
      <c r="R109" s="171"/>
      <c r="S109" s="546"/>
      <c r="T109" s="546"/>
      <c r="U109" s="546"/>
      <c r="V109" s="546"/>
      <c r="W109" s="546"/>
      <c r="X109" s="546"/>
      <c r="Y109" s="546"/>
      <c r="Z109" s="546"/>
      <c r="AA109" s="546"/>
      <c r="AB109" s="546"/>
      <c r="AC109" s="546"/>
      <c r="AD109" s="178"/>
      <c r="AE109" s="30"/>
      <c r="AF109" s="499"/>
      <c r="AG109" s="212"/>
      <c r="AH109" s="546"/>
      <c r="AI109" s="546"/>
      <c r="AJ109" s="546"/>
      <c r="AK109" s="546"/>
      <c r="AL109" s="546"/>
      <c r="AM109" s="546"/>
      <c r="AN109" s="546"/>
      <c r="AO109" s="546"/>
      <c r="AP109" s="546"/>
      <c r="AQ109" s="546"/>
      <c r="AR109" s="546"/>
      <c r="AS109" s="178"/>
      <c r="AT109" s="30"/>
      <c r="AU109" s="499"/>
      <c r="AV109" s="212"/>
      <c r="AW109" s="546"/>
      <c r="AX109" s="546"/>
      <c r="AY109" s="546"/>
      <c r="AZ109" s="546"/>
      <c r="BA109" s="546"/>
      <c r="BB109" s="546"/>
      <c r="BC109" s="546"/>
      <c r="BD109" s="546"/>
      <c r="BE109" s="546"/>
      <c r="BF109" s="546"/>
      <c r="BG109" s="546"/>
      <c r="BH109" s="178"/>
    </row>
    <row r="110" spans="1:60" ht="11.25" customHeight="1">
      <c r="A110" s="30"/>
      <c r="B110" s="499"/>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9"/>
      <c r="R110" s="171"/>
      <c r="S110" s="546"/>
      <c r="T110" s="546"/>
      <c r="U110" s="546"/>
      <c r="V110" s="546"/>
      <c r="W110" s="546"/>
      <c r="X110" s="546"/>
      <c r="Y110" s="546"/>
      <c r="Z110" s="546"/>
      <c r="AA110" s="546"/>
      <c r="AB110" s="546"/>
      <c r="AC110" s="546"/>
      <c r="AD110" s="178"/>
      <c r="AE110" s="30"/>
      <c r="AF110" s="499"/>
      <c r="AG110" s="212"/>
      <c r="AH110" s="546"/>
      <c r="AI110" s="546"/>
      <c r="AJ110" s="546"/>
      <c r="AK110" s="546"/>
      <c r="AL110" s="546"/>
      <c r="AM110" s="546"/>
      <c r="AN110" s="546"/>
      <c r="AO110" s="546"/>
      <c r="AP110" s="546"/>
      <c r="AQ110" s="546"/>
      <c r="AR110" s="546"/>
      <c r="AS110" s="178"/>
      <c r="AT110" s="30"/>
      <c r="AU110" s="499"/>
      <c r="AV110" s="212"/>
      <c r="AW110" s="546"/>
      <c r="AX110" s="546"/>
      <c r="AY110" s="546"/>
      <c r="AZ110" s="546"/>
      <c r="BA110" s="546"/>
      <c r="BB110" s="546"/>
      <c r="BC110" s="546"/>
      <c r="BD110" s="546"/>
      <c r="BE110" s="546"/>
      <c r="BF110" s="546"/>
      <c r="BG110" s="546"/>
      <c r="BH110" s="178"/>
    </row>
    <row r="111" spans="1:60" ht="15" customHeight="1">
      <c r="A111" s="30"/>
      <c r="B111" s="499"/>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9"/>
      <c r="R111" s="171"/>
      <c r="S111" s="546"/>
      <c r="T111" s="546"/>
      <c r="U111" s="546"/>
      <c r="V111" s="546"/>
      <c r="W111" s="546"/>
      <c r="X111" s="546"/>
      <c r="Y111" s="546"/>
      <c r="Z111" s="546"/>
      <c r="AA111" s="546"/>
      <c r="AB111" s="546"/>
      <c r="AC111" s="546"/>
      <c r="AD111" s="178"/>
      <c r="AE111" s="30"/>
      <c r="AF111" s="499"/>
      <c r="AG111" s="213"/>
      <c r="AH111" s="546"/>
      <c r="AI111" s="546"/>
      <c r="AJ111" s="546"/>
      <c r="AK111" s="546"/>
      <c r="AL111" s="546"/>
      <c r="AM111" s="546"/>
      <c r="AN111" s="546"/>
      <c r="AO111" s="546"/>
      <c r="AP111" s="546"/>
      <c r="AQ111" s="546"/>
      <c r="AR111" s="546"/>
      <c r="AS111" s="178"/>
      <c r="AT111" s="30"/>
      <c r="AU111" s="499"/>
      <c r="AV111" s="213"/>
      <c r="AW111" s="546"/>
      <c r="AX111" s="546"/>
      <c r="AY111" s="546"/>
      <c r="AZ111" s="546"/>
      <c r="BA111" s="546"/>
      <c r="BB111" s="546"/>
      <c r="BC111" s="546"/>
      <c r="BD111" s="546"/>
      <c r="BE111" s="546"/>
      <c r="BF111" s="546"/>
      <c r="BG111" s="546"/>
      <c r="BH111" s="178"/>
    </row>
    <row r="112" spans="1:60" ht="4.5" customHeight="1">
      <c r="A112" s="30"/>
      <c r="B112" s="500"/>
      <c r="C112" s="172"/>
      <c r="D112" s="181"/>
      <c r="E112" s="172"/>
      <c r="F112" s="181"/>
      <c r="G112" s="172"/>
      <c r="H112" s="181"/>
      <c r="I112" s="172"/>
      <c r="J112" s="181"/>
      <c r="K112" s="172"/>
      <c r="L112" s="181"/>
      <c r="M112" s="172"/>
      <c r="N112" s="181"/>
      <c r="O112" s="178"/>
      <c r="P112" s="30"/>
      <c r="Q112" s="500"/>
      <c r="R112" s="172"/>
      <c r="S112" s="186"/>
      <c r="T112" s="186"/>
      <c r="U112" s="186"/>
      <c r="V112" s="186"/>
      <c r="W112" s="186"/>
      <c r="X112" s="186"/>
      <c r="Y112" s="186"/>
      <c r="Z112" s="186"/>
      <c r="AA112" s="186"/>
      <c r="AB112" s="186"/>
      <c r="AC112" s="167"/>
      <c r="AD112" s="178"/>
      <c r="AE112" s="30"/>
      <c r="AF112" s="500"/>
      <c r="AG112" s="212"/>
      <c r="AH112" s="186"/>
      <c r="AI112" s="186"/>
      <c r="AJ112" s="186"/>
      <c r="AK112" s="186"/>
      <c r="AL112" s="186"/>
      <c r="AM112" s="186"/>
      <c r="AN112" s="186"/>
      <c r="AO112" s="186"/>
      <c r="AP112" s="186"/>
      <c r="AQ112" s="186"/>
      <c r="AR112" s="167"/>
      <c r="AS112" s="178"/>
      <c r="AT112" s="30"/>
      <c r="AU112" s="500"/>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9" t="str">
        <f>IF(Roster!$K$25="Italiano","ABILITÀ &amp; TRATTI",(IF(Roster!$K$25="Español","HABILIDADES Y RASGOS","SKILLS &amp; TRAITS")))</f>
        <v>SKILLS &amp; TRAITS</v>
      </c>
      <c r="T113" s="484"/>
      <c r="U113" s="484"/>
      <c r="V113" s="484"/>
      <c r="W113" s="484"/>
      <c r="X113" s="484"/>
      <c r="Y113" s="484"/>
      <c r="Z113" s="484"/>
      <c r="AA113" s="484"/>
      <c r="AB113" s="484"/>
      <c r="AC113" s="485"/>
      <c r="AD113" s="167"/>
      <c r="AE113" s="30"/>
      <c r="AF113" s="171" t="str">
        <f>IF(Roster!$O$1=0,"",Roster!$O$1)</f>
        <v>AV</v>
      </c>
      <c r="AG113" s="212"/>
      <c r="AH113" s="529" t="str">
        <f>IF(Roster!$K$25="Italiano","ABILITÀ &amp; TRATTI",(IF(Roster!$K$25="Español","HABILIDADES Y RASGOS","SKILLS &amp; TRAITS")))</f>
        <v>SKILLS &amp; TRAITS</v>
      </c>
      <c r="AI113" s="484"/>
      <c r="AJ113" s="484"/>
      <c r="AK113" s="484"/>
      <c r="AL113" s="484"/>
      <c r="AM113" s="484"/>
      <c r="AN113" s="484"/>
      <c r="AO113" s="484"/>
      <c r="AP113" s="484"/>
      <c r="AQ113" s="484"/>
      <c r="AR113" s="485"/>
      <c r="AS113" s="167"/>
      <c r="AT113" s="30"/>
      <c r="AU113" s="171" t="str">
        <f>IF(Roster!$O$1=0,"",Roster!$O$1)</f>
        <v>AV</v>
      </c>
      <c r="AV113" s="212"/>
      <c r="AW113" s="529" t="str">
        <f>IF(Roster!$K$25="Italiano","ABILITÀ &amp; TRATTI",(IF(Roster!$K$25="Español","HABILIDADES Y RASGOS","SKILLS &amp; TRAITS")))</f>
        <v>SKILLS &amp; TRAITS</v>
      </c>
      <c r="AX113" s="484"/>
      <c r="AY113" s="484"/>
      <c r="AZ113" s="484"/>
      <c r="BA113" s="484"/>
      <c r="BB113" s="484"/>
      <c r="BC113" s="484"/>
      <c r="BD113" s="484"/>
      <c r="BE113" s="484"/>
      <c r="BF113" s="484"/>
      <c r="BG113" s="485"/>
      <c r="BH113" s="167"/>
    </row>
    <row r="114" spans="1:60" ht="15" customHeight="1">
      <c r="A114" s="30"/>
      <c r="B114" s="532" t="str">
        <f>IF(Roster!$O$17=0&amp;"+","",Roster!$O$17)</f>
        <v>10+</v>
      </c>
      <c r="C114" s="172"/>
      <c r="D114" s="180" t="str">
        <f>IF(Roster!$AE$17=0,"",Roster!$AE$17)</f>
        <v/>
      </c>
      <c r="E114" s="172"/>
      <c r="F114" s="180" t="str">
        <f>IF(Roster!$AF$17=0,"",Roster!$AF$17)</f>
        <v/>
      </c>
      <c r="G114" s="172"/>
      <c r="H114" s="180" t="str">
        <f>IF(Roster!$AB$17=0,"",Roster!$AB$17)</f>
        <v/>
      </c>
      <c r="I114" s="172"/>
      <c r="J114" s="180">
        <f>IF(Roster!$AJ$17=0,"",Roster!$AJ$17)</f>
        <v>1</v>
      </c>
      <c r="K114" s="172"/>
      <c r="L114" s="180">
        <f>IF(Roster!$AK$17=0,"",Roster!$AK$17)</f>
        <v>4</v>
      </c>
      <c r="M114" s="172"/>
      <c r="N114" s="180" t="str">
        <f>IF(Roster!$AA$17=0,"",Roster!$AA$17)</f>
        <v/>
      </c>
      <c r="O114" s="182"/>
      <c r="P114" s="30"/>
      <c r="Q114" s="532" t="str">
        <f>IF(Roster!$O$18=0,"",Roster!$O$18)</f>
        <v/>
      </c>
      <c r="R114" s="171"/>
      <c r="S114" s="545" t="str">
        <f>IF(Roster!$P$18=0,"",Roster!$P$18)</f>
        <v/>
      </c>
      <c r="T114" s="545"/>
      <c r="U114" s="545"/>
      <c r="V114" s="545"/>
      <c r="W114" s="545"/>
      <c r="X114" s="545"/>
      <c r="Y114" s="545"/>
      <c r="Z114" s="545"/>
      <c r="AA114" s="545"/>
      <c r="AB114" s="545"/>
      <c r="AC114" s="545"/>
      <c r="AD114" s="182"/>
      <c r="AE114" s="30"/>
      <c r="AF114" s="532" t="str">
        <f>IF(Roster!$O$19=0,"",Roster!$O$19)</f>
        <v/>
      </c>
      <c r="AG114" s="213"/>
      <c r="AH114" s="545" t="str">
        <f>IF(Roster!$P$19=0,"",Roster!$P$19)</f>
        <v/>
      </c>
      <c r="AI114" s="545"/>
      <c r="AJ114" s="545"/>
      <c r="AK114" s="545"/>
      <c r="AL114" s="545"/>
      <c r="AM114" s="545"/>
      <c r="AN114" s="545"/>
      <c r="AO114" s="545"/>
      <c r="AP114" s="545"/>
      <c r="AQ114" s="545"/>
      <c r="AR114" s="545"/>
      <c r="AS114" s="182"/>
      <c r="AT114" s="30"/>
      <c r="AU114" s="532" t="str">
        <f>IF(Roster!$O$20=0,"",Roster!$O$20)</f>
        <v/>
      </c>
      <c r="AV114" s="213"/>
      <c r="AW114" s="545" t="str">
        <f>IF(Roster!$P$20=0,"",Roster!$P$20)</f>
        <v/>
      </c>
      <c r="AX114" s="545"/>
      <c r="AY114" s="545"/>
      <c r="AZ114" s="545"/>
      <c r="BA114" s="545"/>
      <c r="BB114" s="545"/>
      <c r="BC114" s="545"/>
      <c r="BD114" s="545"/>
      <c r="BE114" s="545"/>
      <c r="BF114" s="545"/>
      <c r="BG114" s="545"/>
      <c r="BH114" s="182"/>
    </row>
    <row r="115" spans="1:60" ht="4.5" customHeight="1">
      <c r="A115" s="30"/>
      <c r="B115" s="499"/>
      <c r="C115" s="172"/>
      <c r="D115" s="172"/>
      <c r="E115" s="172"/>
      <c r="F115" s="172"/>
      <c r="G115" s="172"/>
      <c r="H115" s="172"/>
      <c r="I115" s="172"/>
      <c r="J115" s="172"/>
      <c r="K115" s="172"/>
      <c r="L115" s="172"/>
      <c r="M115" s="172"/>
      <c r="N115" s="178"/>
      <c r="O115" s="182"/>
      <c r="P115" s="30"/>
      <c r="Q115" s="499"/>
      <c r="R115" s="186"/>
      <c r="S115" s="545"/>
      <c r="T115" s="545"/>
      <c r="U115" s="545"/>
      <c r="V115" s="545"/>
      <c r="W115" s="545"/>
      <c r="X115" s="545"/>
      <c r="Y115" s="545"/>
      <c r="Z115" s="545"/>
      <c r="AA115" s="545"/>
      <c r="AB115" s="545"/>
      <c r="AC115" s="545"/>
      <c r="AD115" s="182"/>
      <c r="AE115" s="30"/>
      <c r="AF115" s="499"/>
      <c r="AG115" s="214"/>
      <c r="AH115" s="545"/>
      <c r="AI115" s="545"/>
      <c r="AJ115" s="545"/>
      <c r="AK115" s="545"/>
      <c r="AL115" s="545"/>
      <c r="AM115" s="545"/>
      <c r="AN115" s="545"/>
      <c r="AO115" s="545"/>
      <c r="AP115" s="545"/>
      <c r="AQ115" s="545"/>
      <c r="AR115" s="545"/>
      <c r="AS115" s="182"/>
      <c r="AT115" s="30"/>
      <c r="AU115" s="499"/>
      <c r="AV115" s="214"/>
      <c r="AW115" s="545"/>
      <c r="AX115" s="545"/>
      <c r="AY115" s="545"/>
      <c r="AZ115" s="545"/>
      <c r="BA115" s="545"/>
      <c r="BB115" s="545"/>
      <c r="BC115" s="545"/>
      <c r="BD115" s="545"/>
      <c r="BE115" s="545"/>
      <c r="BF115" s="545"/>
      <c r="BG115" s="545"/>
      <c r="BH115" s="182"/>
    </row>
    <row r="116" spans="1:60" ht="11.25" customHeight="1">
      <c r="A116" s="30"/>
      <c r="B116" s="499"/>
      <c r="C116" s="172"/>
      <c r="D116" s="529" t="str">
        <f>IF(Roster!$K$25="Italiano","ABILITÀ &amp; TRATTI",(IF(Roster!$K$25="Español","HABILIDADES Y RASGOS","SKILLS &amp; TRAITS")))</f>
        <v>SKILLS &amp; TRAITS</v>
      </c>
      <c r="E116" s="484"/>
      <c r="F116" s="484"/>
      <c r="G116" s="484"/>
      <c r="H116" s="484"/>
      <c r="I116" s="484"/>
      <c r="J116" s="484"/>
      <c r="K116" s="484"/>
      <c r="L116" s="484"/>
      <c r="M116" s="484"/>
      <c r="N116" s="485"/>
      <c r="O116" s="182"/>
      <c r="P116" s="30"/>
      <c r="Q116" s="499"/>
      <c r="R116" s="167"/>
      <c r="S116" s="545"/>
      <c r="T116" s="545"/>
      <c r="U116" s="545"/>
      <c r="V116" s="545"/>
      <c r="W116" s="545"/>
      <c r="X116" s="545"/>
      <c r="Y116" s="545"/>
      <c r="Z116" s="545"/>
      <c r="AA116" s="545"/>
      <c r="AB116" s="545"/>
      <c r="AC116" s="545"/>
      <c r="AD116" s="182"/>
      <c r="AE116" s="30"/>
      <c r="AF116" s="499"/>
      <c r="AG116" s="215"/>
      <c r="AH116" s="545"/>
      <c r="AI116" s="545"/>
      <c r="AJ116" s="545"/>
      <c r="AK116" s="545"/>
      <c r="AL116" s="545"/>
      <c r="AM116" s="545"/>
      <c r="AN116" s="545"/>
      <c r="AO116" s="545"/>
      <c r="AP116" s="545"/>
      <c r="AQ116" s="545"/>
      <c r="AR116" s="545"/>
      <c r="AS116" s="182"/>
      <c r="AT116" s="30"/>
      <c r="AU116" s="499"/>
      <c r="AV116" s="215"/>
      <c r="AW116" s="545"/>
      <c r="AX116" s="545"/>
      <c r="AY116" s="545"/>
      <c r="AZ116" s="545"/>
      <c r="BA116" s="545"/>
      <c r="BB116" s="545"/>
      <c r="BC116" s="545"/>
      <c r="BD116" s="545"/>
      <c r="BE116" s="545"/>
      <c r="BF116" s="545"/>
      <c r="BG116" s="545"/>
      <c r="BH116" s="182"/>
    </row>
    <row r="117" spans="1:60" ht="6.75" customHeight="1">
      <c r="A117" s="30"/>
      <c r="B117" s="500"/>
      <c r="C117" s="172"/>
      <c r="D117" s="533" t="str">
        <f>IF(Roster!$P$17=0&amp;BF17,"",Roster!$P$17)</f>
        <v>Always Hungry, Loner (3+), Mighty Blow (+1), Projectile Vomit, Really Stupid, Regeneration, Throw Team-mate</v>
      </c>
      <c r="E117" s="534"/>
      <c r="F117" s="534"/>
      <c r="G117" s="534"/>
      <c r="H117" s="534"/>
      <c r="I117" s="534"/>
      <c r="J117" s="534"/>
      <c r="K117" s="534"/>
      <c r="L117" s="534"/>
      <c r="M117" s="534"/>
      <c r="N117" s="535"/>
      <c r="O117" s="182"/>
      <c r="P117" s="30"/>
      <c r="Q117" s="500"/>
      <c r="R117" s="187"/>
      <c r="S117" s="545"/>
      <c r="T117" s="545"/>
      <c r="U117" s="545"/>
      <c r="V117" s="545"/>
      <c r="W117" s="545"/>
      <c r="X117" s="545"/>
      <c r="Y117" s="545"/>
      <c r="Z117" s="545"/>
      <c r="AA117" s="545"/>
      <c r="AB117" s="545"/>
      <c r="AC117" s="545"/>
      <c r="AD117" s="182"/>
      <c r="AE117" s="30"/>
      <c r="AF117" s="500"/>
      <c r="AG117" s="187"/>
      <c r="AH117" s="545"/>
      <c r="AI117" s="545"/>
      <c r="AJ117" s="545"/>
      <c r="AK117" s="545"/>
      <c r="AL117" s="545"/>
      <c r="AM117" s="545"/>
      <c r="AN117" s="545"/>
      <c r="AO117" s="545"/>
      <c r="AP117" s="545"/>
      <c r="AQ117" s="545"/>
      <c r="AR117" s="545"/>
      <c r="AS117" s="182"/>
      <c r="AT117" s="30"/>
      <c r="AU117" s="500"/>
      <c r="AV117" s="187"/>
      <c r="AW117" s="545"/>
      <c r="AX117" s="545"/>
      <c r="AY117" s="545"/>
      <c r="AZ117" s="545"/>
      <c r="BA117" s="545"/>
      <c r="BB117" s="545"/>
      <c r="BC117" s="545"/>
      <c r="BD117" s="545"/>
      <c r="BE117" s="545"/>
      <c r="BF117" s="545"/>
      <c r="BG117" s="545"/>
      <c r="BH117" s="182"/>
    </row>
    <row r="118" spans="1:60" ht="11.25" customHeight="1">
      <c r="A118" s="30"/>
      <c r="B118" s="171" t="str">
        <f>IF(Roster!$AO$1=0,"",Roster!$AO$1)</f>
        <v>COST</v>
      </c>
      <c r="C118" s="171"/>
      <c r="D118" s="536"/>
      <c r="E118" s="537"/>
      <c r="F118" s="537"/>
      <c r="G118" s="537"/>
      <c r="H118" s="537"/>
      <c r="I118" s="537"/>
      <c r="J118" s="537"/>
      <c r="K118" s="537"/>
      <c r="L118" s="537"/>
      <c r="M118" s="537"/>
      <c r="N118" s="538"/>
      <c r="O118" s="183"/>
      <c r="P118" s="30"/>
      <c r="Q118" s="171" t="str">
        <f>IF(Roster!$AO$1=0,"",Roster!$AO$1)</f>
        <v>COST</v>
      </c>
      <c r="R118" s="187"/>
      <c r="S118" s="545"/>
      <c r="T118" s="545"/>
      <c r="U118" s="545"/>
      <c r="V118" s="545"/>
      <c r="W118" s="545"/>
      <c r="X118" s="545"/>
      <c r="Y118" s="545"/>
      <c r="Z118" s="545"/>
      <c r="AA118" s="545"/>
      <c r="AB118" s="545"/>
      <c r="AC118" s="545"/>
      <c r="AD118" s="183"/>
      <c r="AE118" s="30"/>
      <c r="AF118" s="171" t="str">
        <f>IF(Roster!$AO$1=0,"",Roster!$AO$1)</f>
        <v>COST</v>
      </c>
      <c r="AG118" s="187"/>
      <c r="AH118" s="545"/>
      <c r="AI118" s="545"/>
      <c r="AJ118" s="545"/>
      <c r="AK118" s="545"/>
      <c r="AL118" s="545"/>
      <c r="AM118" s="545"/>
      <c r="AN118" s="545"/>
      <c r="AO118" s="545"/>
      <c r="AP118" s="545"/>
      <c r="AQ118" s="545"/>
      <c r="AR118" s="545"/>
      <c r="AS118" s="183"/>
      <c r="AT118" s="30"/>
      <c r="AU118" s="171" t="str">
        <f>IF(Roster!$AO$1=0,"",Roster!$AO$1)</f>
        <v>COST</v>
      </c>
      <c r="AV118" s="187"/>
      <c r="AW118" s="545"/>
      <c r="AX118" s="545"/>
      <c r="AY118" s="545"/>
      <c r="AZ118" s="545"/>
      <c r="BA118" s="545"/>
      <c r="BB118" s="545"/>
      <c r="BC118" s="545"/>
      <c r="BD118" s="545"/>
      <c r="BE118" s="545"/>
      <c r="BF118" s="545"/>
      <c r="BG118" s="545"/>
      <c r="BH118" s="183"/>
    </row>
    <row r="119" spans="1:60" ht="34.5" customHeight="1">
      <c r="A119" s="30"/>
      <c r="B119" s="185">
        <f>IF(Roster!$AO$17=0,"",Roster!$AO$17)</f>
        <v>115000</v>
      </c>
      <c r="C119" s="186"/>
      <c r="D119" s="539"/>
      <c r="E119" s="540"/>
      <c r="F119" s="540"/>
      <c r="G119" s="540"/>
      <c r="H119" s="540"/>
      <c r="I119" s="540"/>
      <c r="J119" s="540"/>
      <c r="K119" s="540"/>
      <c r="L119" s="540"/>
      <c r="M119" s="540"/>
      <c r="N119" s="541"/>
      <c r="O119" s="183"/>
      <c r="P119" s="30"/>
      <c r="Q119" s="185" t="str">
        <f>IF(Roster!$AO$18=0,"",Roster!$AO$18)</f>
        <v/>
      </c>
      <c r="R119" s="187"/>
      <c r="S119" s="545"/>
      <c r="T119" s="545"/>
      <c r="U119" s="545"/>
      <c r="V119" s="545"/>
      <c r="W119" s="545"/>
      <c r="X119" s="545"/>
      <c r="Y119" s="545"/>
      <c r="Z119" s="545"/>
      <c r="AA119" s="545"/>
      <c r="AB119" s="545"/>
      <c r="AC119" s="545"/>
      <c r="AD119" s="183"/>
      <c r="AE119" s="30"/>
      <c r="AF119" s="185" t="str">
        <f>IF(Roster!$AO$19=0,"",Roster!$AO$19)</f>
        <v/>
      </c>
      <c r="AG119" s="187"/>
      <c r="AH119" s="545"/>
      <c r="AI119" s="545"/>
      <c r="AJ119" s="545"/>
      <c r="AK119" s="545"/>
      <c r="AL119" s="545"/>
      <c r="AM119" s="545"/>
      <c r="AN119" s="545"/>
      <c r="AO119" s="545"/>
      <c r="AP119" s="545"/>
      <c r="AQ119" s="545"/>
      <c r="AR119" s="545"/>
      <c r="AS119" s="183"/>
      <c r="AT119" s="30"/>
      <c r="AU119" s="185" t="str">
        <f>IF(Roster!$AO$20=0,"",Roster!$AO$20)</f>
        <v/>
      </c>
      <c r="AV119" s="187"/>
      <c r="AW119" s="545"/>
      <c r="AX119" s="545"/>
      <c r="AY119" s="545"/>
      <c r="AZ119" s="545"/>
      <c r="BA119" s="545"/>
      <c r="BB119" s="545"/>
      <c r="BC119" s="545"/>
      <c r="BD119" s="545"/>
      <c r="BE119" s="545"/>
      <c r="BF119" s="545"/>
      <c r="BG119" s="545"/>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74"/>
      <c r="C2" s="188"/>
      <c r="D2" s="188"/>
      <c r="E2" s="188"/>
      <c r="F2" s="188"/>
      <c r="G2" s="188"/>
      <c r="H2" s="188"/>
      <c r="I2" s="188"/>
      <c r="J2" s="188"/>
      <c r="K2" s="188"/>
      <c r="L2" s="188"/>
      <c r="M2" s="188"/>
      <c r="N2" s="188"/>
      <c r="O2" s="189"/>
      <c r="P2" s="30"/>
      <c r="Q2" s="574" t="str">
        <f>IF(Roster!$A$2=0,"","#"&amp;Roster!$A$2)</f>
        <v>#1</v>
      </c>
      <c r="R2" s="188"/>
      <c r="S2" s="188"/>
      <c r="T2" s="188"/>
      <c r="U2" s="188"/>
      <c r="V2" s="188"/>
      <c r="W2" s="188"/>
      <c r="X2" s="188"/>
      <c r="Y2" s="188"/>
      <c r="Z2" s="188"/>
      <c r="AA2" s="188"/>
      <c r="AB2" s="188"/>
      <c r="AC2" s="188"/>
      <c r="AD2" s="189"/>
      <c r="AE2" s="30"/>
      <c r="AF2" s="574" t="str">
        <f>IF(Roster!$A$3=0,"","#"&amp;Roster!$A$3)</f>
        <v>#2</v>
      </c>
      <c r="AG2" s="188"/>
      <c r="AH2" s="188"/>
      <c r="AI2" s="188"/>
      <c r="AJ2" s="188"/>
      <c r="AK2" s="188"/>
      <c r="AL2" s="188"/>
      <c r="AM2" s="188"/>
      <c r="AN2" s="188"/>
      <c r="AO2" s="188"/>
      <c r="AP2" s="188"/>
      <c r="AQ2" s="188"/>
      <c r="AR2" s="188"/>
      <c r="AS2" s="189"/>
      <c r="AT2" s="30"/>
      <c r="AU2" s="574" t="str">
        <f>IF(Roster!$A$4=0,"","#"&amp;Roster!$A$4)</f>
        <v>#3</v>
      </c>
      <c r="AV2" s="188"/>
      <c r="AW2" s="188"/>
      <c r="AX2" s="188"/>
      <c r="AY2" s="188"/>
      <c r="AZ2" s="188"/>
      <c r="BA2" s="188"/>
      <c r="BB2" s="188"/>
      <c r="BC2" s="188"/>
      <c r="BD2" s="188"/>
      <c r="BE2" s="188"/>
      <c r="BF2" s="188"/>
      <c r="BG2" s="188"/>
      <c r="BH2" s="189"/>
    </row>
    <row r="3" spans="1:60" s="31" customFormat="1" ht="15" customHeight="1">
      <c r="A3" s="30"/>
      <c r="B3" s="575"/>
      <c r="C3" s="560" t="str">
        <f>IF(Roster!$K$24=0,Roster!$D$24,Roster!$K$24)</f>
        <v>Sgaua</v>
      </c>
      <c r="D3" s="484"/>
      <c r="E3" s="484"/>
      <c r="F3" s="484"/>
      <c r="G3" s="484"/>
      <c r="H3" s="484"/>
      <c r="I3" s="484"/>
      <c r="J3" s="484"/>
      <c r="K3" s="484"/>
      <c r="L3" s="484"/>
      <c r="M3" s="484"/>
      <c r="N3" s="485"/>
      <c r="O3" s="190"/>
      <c r="P3" s="30"/>
      <c r="Q3" s="575"/>
      <c r="R3" s="560" t="str">
        <f>IF(Roster!$B$2=0,"",Roster!$B$2)</f>
        <v>Mini Tony</v>
      </c>
      <c r="S3" s="484"/>
      <c r="T3" s="484"/>
      <c r="U3" s="484"/>
      <c r="V3" s="484"/>
      <c r="W3" s="484"/>
      <c r="X3" s="484"/>
      <c r="Y3" s="484"/>
      <c r="Z3" s="484"/>
      <c r="AA3" s="484"/>
      <c r="AB3" s="484"/>
      <c r="AC3" s="485"/>
      <c r="AD3" s="190"/>
      <c r="AE3" s="30"/>
      <c r="AF3" s="575"/>
      <c r="AG3" s="560" t="str">
        <f>IF(Roster!$B$3=0,"",Roster!$B$3)</f>
        <v>Rino Goblano</v>
      </c>
      <c r="AH3" s="484"/>
      <c r="AI3" s="484"/>
      <c r="AJ3" s="484"/>
      <c r="AK3" s="484"/>
      <c r="AL3" s="484"/>
      <c r="AM3" s="484"/>
      <c r="AN3" s="484"/>
      <c r="AO3" s="484"/>
      <c r="AP3" s="484"/>
      <c r="AQ3" s="484"/>
      <c r="AR3" s="485"/>
      <c r="AS3" s="190"/>
      <c r="AT3" s="30"/>
      <c r="AU3" s="575"/>
      <c r="AV3" s="560" t="str">
        <f>IF(Roster!$B$4=0,"",Roster!$B$4)</f>
        <v>Gobbo Minieri</v>
      </c>
      <c r="AW3" s="484"/>
      <c r="AX3" s="484"/>
      <c r="AY3" s="484"/>
      <c r="AZ3" s="484"/>
      <c r="BA3" s="484"/>
      <c r="BB3" s="484"/>
      <c r="BC3" s="484"/>
      <c r="BD3" s="484"/>
      <c r="BE3" s="484"/>
      <c r="BF3" s="484"/>
      <c r="BG3" s="485"/>
      <c r="BH3" s="190"/>
    </row>
    <row r="4" spans="1:60" s="31" customFormat="1" ht="11.25" customHeight="1">
      <c r="A4" s="30"/>
      <c r="B4" s="575"/>
      <c r="C4" s="577" t="str">
        <f>IF(Roster!$K$21="SPONSORS",Roster!$K$23,Roster!$K$23&amp;"; Sponsor: "&amp;Roster!$K$21)</f>
        <v>Goblin</v>
      </c>
      <c r="D4" s="484"/>
      <c r="E4" s="484"/>
      <c r="F4" s="484"/>
      <c r="G4" s="484"/>
      <c r="H4" s="484"/>
      <c r="I4" s="484"/>
      <c r="J4" s="484"/>
      <c r="K4" s="484"/>
      <c r="L4" s="484"/>
      <c r="M4" s="484"/>
      <c r="N4" s="485"/>
      <c r="O4" s="191"/>
      <c r="P4" s="30"/>
      <c r="Q4" s="576"/>
      <c r="R4" s="577" t="str">
        <f>IF(Roster!$D$2=0,"",Roster!$D$2)</f>
        <v>Looney</v>
      </c>
      <c r="S4" s="484"/>
      <c r="T4" s="484"/>
      <c r="U4" s="484"/>
      <c r="V4" s="484"/>
      <c r="W4" s="484"/>
      <c r="X4" s="484"/>
      <c r="Y4" s="484"/>
      <c r="Z4" s="484"/>
      <c r="AA4" s="484"/>
      <c r="AB4" s="484"/>
      <c r="AC4" s="485"/>
      <c r="AD4" s="191"/>
      <c r="AE4" s="30"/>
      <c r="AF4" s="576"/>
      <c r="AG4" s="577" t="str">
        <f>IF(Roster!$D$3=0,"",Roster!$D$3)</f>
        <v xml:space="preserve">Fanatic </v>
      </c>
      <c r="AH4" s="484"/>
      <c r="AI4" s="484"/>
      <c r="AJ4" s="484"/>
      <c r="AK4" s="484"/>
      <c r="AL4" s="484"/>
      <c r="AM4" s="484"/>
      <c r="AN4" s="484"/>
      <c r="AO4" s="484"/>
      <c r="AP4" s="484"/>
      <c r="AQ4" s="484"/>
      <c r="AR4" s="485"/>
      <c r="AS4" s="191"/>
      <c r="AT4" s="30"/>
      <c r="AU4" s="576"/>
      <c r="AV4" s="577" t="str">
        <f>IF(Roster!$D$4=0,"",Roster!$D$4)</f>
        <v>Bombardier</v>
      </c>
      <c r="AW4" s="484"/>
      <c r="AX4" s="484"/>
      <c r="AY4" s="484"/>
      <c r="AZ4" s="484"/>
      <c r="BA4" s="484"/>
      <c r="BB4" s="484"/>
      <c r="BC4" s="484"/>
      <c r="BD4" s="484"/>
      <c r="BE4" s="484"/>
      <c r="BF4" s="484"/>
      <c r="BG4" s="485"/>
      <c r="BH4" s="191"/>
    </row>
    <row r="5" spans="1:60" s="31" customFormat="1" ht="11.25" customHeight="1">
      <c r="A5" s="30"/>
      <c r="B5" s="576"/>
      <c r="C5" s="192"/>
      <c r="D5" s="577" t="str">
        <f>IF(Roster!$D$32=0,"",Roster!$D$32)</f>
        <v>TEAM VALUE</v>
      </c>
      <c r="E5" s="484"/>
      <c r="F5" s="485"/>
      <c r="G5" s="193"/>
      <c r="H5" s="577" t="str">
        <f>IF(Roster!$D$26=0,"",Roster!$D$26)</f>
        <v>TEAM NAME</v>
      </c>
      <c r="I5" s="484"/>
      <c r="J5" s="485"/>
      <c r="K5" s="193"/>
      <c r="L5" s="577" t="str">
        <f>IF(Roster!$AE$21=0,"",Roster!$AE$21)</f>
        <v>TOTAL REROLLS</v>
      </c>
      <c r="M5" s="484"/>
      <c r="N5" s="485"/>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2" t="str">
        <f>IF(Roster!$K$22=0,"",Roster!$K$22)</f>
        <v>STADIUM</v>
      </c>
      <c r="C6" s="196"/>
      <c r="D6" s="613">
        <f>Roster!$K$32</f>
        <v>1085</v>
      </c>
      <c r="E6" s="361"/>
      <c r="F6" s="362"/>
      <c r="G6" s="193"/>
      <c r="H6" s="613" t="str">
        <f>IF(Roster!$K$26=0,"",Roster!$K$26)</f>
        <v>Goblin Tattici del Kanta Giro</v>
      </c>
      <c r="I6" s="361"/>
      <c r="J6" s="362"/>
      <c r="K6" s="193"/>
      <c r="L6" s="613">
        <f>Roster!$AJ$22</f>
        <v>3</v>
      </c>
      <c r="M6" s="361"/>
      <c r="N6" s="362"/>
      <c r="O6" s="190"/>
      <c r="P6" s="30"/>
      <c r="Q6" s="197">
        <f>IF(Roster!$K$2=0,"",Roster!$K$2)</f>
        <v>6</v>
      </c>
      <c r="R6" s="195"/>
      <c r="S6" s="617"/>
      <c r="T6" s="618"/>
      <c r="U6" s="618"/>
      <c r="V6" s="618"/>
      <c r="W6" s="618"/>
      <c r="X6" s="618"/>
      <c r="Y6" s="618"/>
      <c r="Z6" s="618"/>
      <c r="AA6" s="618"/>
      <c r="AB6" s="618"/>
      <c r="AC6" s="619"/>
      <c r="AD6" s="190"/>
      <c r="AE6" s="30"/>
      <c r="AF6" s="197">
        <f>IF(Roster!$K$3=0,"",Roster!$K$3)</f>
        <v>3</v>
      </c>
      <c r="AG6" s="195"/>
      <c r="AH6" s="578"/>
      <c r="AI6" s="579"/>
      <c r="AJ6" s="579"/>
      <c r="AK6" s="579"/>
      <c r="AL6" s="579"/>
      <c r="AM6" s="579"/>
      <c r="AN6" s="579"/>
      <c r="AO6" s="579"/>
      <c r="AP6" s="579"/>
      <c r="AQ6" s="579"/>
      <c r="AR6" s="580"/>
      <c r="AS6" s="190"/>
      <c r="AT6" s="30"/>
      <c r="AU6" s="197">
        <f>IF(Roster!$K$4=0,"",Roster!$K$4)</f>
        <v>6</v>
      </c>
      <c r="AV6" s="195"/>
      <c r="AW6" s="578"/>
      <c r="AX6" s="579"/>
      <c r="AY6" s="579"/>
      <c r="AZ6" s="579"/>
      <c r="BA6" s="579"/>
      <c r="BB6" s="579"/>
      <c r="BC6" s="579"/>
      <c r="BD6" s="579"/>
      <c r="BE6" s="579"/>
      <c r="BF6" s="579"/>
      <c r="BG6" s="580"/>
      <c r="BH6" s="190"/>
    </row>
    <row r="7" spans="1:60" s="31" customFormat="1" ht="11.25" customHeight="1">
      <c r="A7" s="30"/>
      <c r="B7" s="575"/>
      <c r="C7" s="195"/>
      <c r="D7" s="577" t="str">
        <f>IF(Roster!$S$22=0,"",Roster!$S$22)</f>
        <v>APOTHECARY</v>
      </c>
      <c r="E7" s="484"/>
      <c r="F7" s="485"/>
      <c r="G7" s="193"/>
      <c r="H7" s="577" t="str">
        <f>IF(Roster!$S$23=0,"",Roster!$S$23)</f>
        <v>CHEERLEADERS</v>
      </c>
      <c r="I7" s="484"/>
      <c r="J7" s="485"/>
      <c r="K7" s="193"/>
      <c r="L7" s="577" t="str">
        <f>IF(Roster!$S$24=0,"",Roster!$S$24)</f>
        <v>ASSISTANT COACHES</v>
      </c>
      <c r="M7" s="484"/>
      <c r="N7" s="485"/>
      <c r="O7" s="190"/>
      <c r="P7" s="30"/>
      <c r="Q7" s="194" t="str">
        <f>IF(Roster!$L$1=0,"",Roster!$L$1)</f>
        <v>ST</v>
      </c>
      <c r="R7" s="195"/>
      <c r="S7" s="620"/>
      <c r="T7" s="621"/>
      <c r="U7" s="621"/>
      <c r="V7" s="621"/>
      <c r="W7" s="621"/>
      <c r="X7" s="621"/>
      <c r="Y7" s="621"/>
      <c r="Z7" s="621"/>
      <c r="AA7" s="621"/>
      <c r="AB7" s="621"/>
      <c r="AC7" s="622"/>
      <c r="AD7" s="190"/>
      <c r="AE7" s="30"/>
      <c r="AF7" s="194" t="str">
        <f>IF(Roster!$L$1=0,"",Roster!$L$1)</f>
        <v>ST</v>
      </c>
      <c r="AG7" s="195"/>
      <c r="AH7" s="581"/>
      <c r="AI7" s="582"/>
      <c r="AJ7" s="582"/>
      <c r="AK7" s="582"/>
      <c r="AL7" s="582"/>
      <c r="AM7" s="582"/>
      <c r="AN7" s="582"/>
      <c r="AO7" s="582"/>
      <c r="AP7" s="582"/>
      <c r="AQ7" s="582"/>
      <c r="AR7" s="583"/>
      <c r="AS7" s="190"/>
      <c r="AT7" s="30"/>
      <c r="AU7" s="194" t="str">
        <f>IF(Roster!$L$1=0,"",Roster!$L$1)</f>
        <v>ST</v>
      </c>
      <c r="AV7" s="195"/>
      <c r="AW7" s="581"/>
      <c r="AX7" s="582"/>
      <c r="AY7" s="582"/>
      <c r="AZ7" s="582"/>
      <c r="BA7" s="582"/>
      <c r="BB7" s="582"/>
      <c r="BC7" s="582"/>
      <c r="BD7" s="582"/>
      <c r="BE7" s="582"/>
      <c r="BF7" s="582"/>
      <c r="BG7" s="583"/>
      <c r="BH7" s="190"/>
    </row>
    <row r="8" spans="1:60" s="31" customFormat="1" ht="37.5" customHeight="1">
      <c r="A8" s="30"/>
      <c r="B8" s="575"/>
      <c r="C8" s="198"/>
      <c r="D8" s="613">
        <f>Roster!$X$22</f>
        <v>0</v>
      </c>
      <c r="E8" s="361"/>
      <c r="F8" s="362"/>
      <c r="G8" s="193"/>
      <c r="H8" s="613">
        <f>Roster!$X$23</f>
        <v>0</v>
      </c>
      <c r="I8" s="361"/>
      <c r="J8" s="362"/>
      <c r="K8" s="193"/>
      <c r="L8" s="613">
        <f>Roster!$X$24</f>
        <v>0</v>
      </c>
      <c r="M8" s="361"/>
      <c r="N8" s="362"/>
      <c r="O8" s="190"/>
      <c r="P8" s="30"/>
      <c r="Q8" s="197">
        <f>IF(Roster!$L$2=0,"",Roster!$L$2)</f>
        <v>2</v>
      </c>
      <c r="R8" s="195"/>
      <c r="S8" s="620"/>
      <c r="T8" s="621"/>
      <c r="U8" s="621"/>
      <c r="V8" s="621"/>
      <c r="W8" s="621"/>
      <c r="X8" s="621"/>
      <c r="Y8" s="621"/>
      <c r="Z8" s="621"/>
      <c r="AA8" s="621"/>
      <c r="AB8" s="621"/>
      <c r="AC8" s="622"/>
      <c r="AD8" s="190"/>
      <c r="AE8" s="30"/>
      <c r="AF8" s="197">
        <f>IF(Roster!$L$3=0,"",Roster!$L$3)</f>
        <v>7</v>
      </c>
      <c r="AG8" s="195"/>
      <c r="AH8" s="581"/>
      <c r="AI8" s="582"/>
      <c r="AJ8" s="582"/>
      <c r="AK8" s="582"/>
      <c r="AL8" s="582"/>
      <c r="AM8" s="582"/>
      <c r="AN8" s="582"/>
      <c r="AO8" s="582"/>
      <c r="AP8" s="582"/>
      <c r="AQ8" s="582"/>
      <c r="AR8" s="583"/>
      <c r="AS8" s="190"/>
      <c r="AT8" s="30"/>
      <c r="AU8" s="197">
        <f>IF(Roster!$L$4=0,"",Roster!$L$4)</f>
        <v>2</v>
      </c>
      <c r="AV8" s="195"/>
      <c r="AW8" s="581"/>
      <c r="AX8" s="582"/>
      <c r="AY8" s="582"/>
      <c r="AZ8" s="582"/>
      <c r="BA8" s="582"/>
      <c r="BB8" s="582"/>
      <c r="BC8" s="582"/>
      <c r="BD8" s="582"/>
      <c r="BE8" s="582"/>
      <c r="BF8" s="582"/>
      <c r="BG8" s="583"/>
      <c r="BH8" s="190"/>
    </row>
    <row r="9" spans="1:60" s="31" customFormat="1" ht="11.25" customHeight="1">
      <c r="A9" s="30"/>
      <c r="B9" s="575"/>
      <c r="C9" s="192"/>
      <c r="D9" s="577" t="str">
        <f>IF(Roster!$S$25=0,"",Roster!$S$25)</f>
        <v>BLOODWEISER KEGS</v>
      </c>
      <c r="E9" s="484"/>
      <c r="F9" s="485"/>
      <c r="G9" s="193"/>
      <c r="H9" s="577" t="str">
        <f>IF(Roster!$S$29=0,"",Roster!$S$29)</f>
        <v>BRIBES</v>
      </c>
      <c r="I9" s="484"/>
      <c r="J9" s="485"/>
      <c r="K9" s="193"/>
      <c r="L9" s="577" t="str">
        <f>IF(Roster!$S$30=0,"",Roster!$S$30)</f>
        <v>MASTER CHEF</v>
      </c>
      <c r="M9" s="484"/>
      <c r="N9" s="485"/>
      <c r="O9" s="190"/>
      <c r="P9" s="30"/>
      <c r="Q9" s="194" t="str">
        <f>IF(Roster!$M$1=0,"",Roster!$M$1)</f>
        <v>AG</v>
      </c>
      <c r="R9" s="195"/>
      <c r="S9" s="620"/>
      <c r="T9" s="621"/>
      <c r="U9" s="621"/>
      <c r="V9" s="621"/>
      <c r="W9" s="621"/>
      <c r="X9" s="621"/>
      <c r="Y9" s="621"/>
      <c r="Z9" s="621"/>
      <c r="AA9" s="621"/>
      <c r="AB9" s="621"/>
      <c r="AC9" s="622"/>
      <c r="AD9" s="190"/>
      <c r="AE9" s="30"/>
      <c r="AF9" s="194" t="str">
        <f>IF(Roster!$M$1=0,"",Roster!$M$1)</f>
        <v>AG</v>
      </c>
      <c r="AG9" s="195"/>
      <c r="AH9" s="581"/>
      <c r="AI9" s="582"/>
      <c r="AJ9" s="582"/>
      <c r="AK9" s="582"/>
      <c r="AL9" s="582"/>
      <c r="AM9" s="582"/>
      <c r="AN9" s="582"/>
      <c r="AO9" s="582"/>
      <c r="AP9" s="582"/>
      <c r="AQ9" s="582"/>
      <c r="AR9" s="583"/>
      <c r="AS9" s="190"/>
      <c r="AT9" s="30"/>
      <c r="AU9" s="194" t="str">
        <f>IF(Roster!$M$1=0,"",Roster!$M$1)</f>
        <v>AG</v>
      </c>
      <c r="AV9" s="195"/>
      <c r="AW9" s="581"/>
      <c r="AX9" s="582"/>
      <c r="AY9" s="582"/>
      <c r="AZ9" s="582"/>
      <c r="BA9" s="582"/>
      <c r="BB9" s="582"/>
      <c r="BC9" s="582"/>
      <c r="BD9" s="582"/>
      <c r="BE9" s="582"/>
      <c r="BF9" s="582"/>
      <c r="BG9" s="583"/>
      <c r="BH9" s="190"/>
    </row>
    <row r="10" spans="1:60" s="31" customFormat="1" ht="37.5" customHeight="1">
      <c r="A10" s="30"/>
      <c r="B10" s="575"/>
      <c r="C10" s="198"/>
      <c r="D10" s="613">
        <f>Roster!$X$25</f>
        <v>0</v>
      </c>
      <c r="E10" s="361"/>
      <c r="F10" s="362"/>
      <c r="G10" s="193"/>
      <c r="H10" s="613">
        <f>Roster!$X$29</f>
        <v>0</v>
      </c>
      <c r="I10" s="361"/>
      <c r="J10" s="362"/>
      <c r="K10" s="193"/>
      <c r="L10" s="613">
        <f>Roster!$X$30</f>
        <v>0</v>
      </c>
      <c r="M10" s="361"/>
      <c r="N10" s="362"/>
      <c r="O10" s="190"/>
      <c r="P10" s="30"/>
      <c r="Q10" s="197" t="str">
        <f>IF(Roster!$M$2=0&amp;"+","",Roster!$M$2)</f>
        <v>3+</v>
      </c>
      <c r="R10" s="195"/>
      <c r="S10" s="620"/>
      <c r="T10" s="621"/>
      <c r="U10" s="621"/>
      <c r="V10" s="621"/>
      <c r="W10" s="621"/>
      <c r="X10" s="621"/>
      <c r="Y10" s="621"/>
      <c r="Z10" s="621"/>
      <c r="AA10" s="621"/>
      <c r="AB10" s="621"/>
      <c r="AC10" s="622"/>
      <c r="AD10" s="190"/>
      <c r="AE10" s="30"/>
      <c r="AF10" s="197" t="str">
        <f>IF(Roster!$M$3=0&amp;"+","",Roster!$M$3)</f>
        <v>3+</v>
      </c>
      <c r="AG10" s="195"/>
      <c r="AH10" s="581"/>
      <c r="AI10" s="582"/>
      <c r="AJ10" s="582"/>
      <c r="AK10" s="582"/>
      <c r="AL10" s="582"/>
      <c r="AM10" s="582"/>
      <c r="AN10" s="582"/>
      <c r="AO10" s="582"/>
      <c r="AP10" s="582"/>
      <c r="AQ10" s="582"/>
      <c r="AR10" s="583"/>
      <c r="AS10" s="190"/>
      <c r="AT10" s="30"/>
      <c r="AU10" s="197" t="str">
        <f>IF(Roster!$M$4=0&amp;"+","",Roster!$M$4)</f>
        <v>3+</v>
      </c>
      <c r="AV10" s="195"/>
      <c r="AW10" s="581"/>
      <c r="AX10" s="582"/>
      <c r="AY10" s="582"/>
      <c r="AZ10" s="582"/>
      <c r="BA10" s="582"/>
      <c r="BB10" s="582"/>
      <c r="BC10" s="582"/>
      <c r="BD10" s="582"/>
      <c r="BE10" s="582"/>
      <c r="BF10" s="582"/>
      <c r="BG10" s="583"/>
      <c r="BH10" s="190"/>
    </row>
    <row r="11" spans="1:60" s="31" customFormat="1" ht="11.25" customHeight="1">
      <c r="A11" s="30"/>
      <c r="B11" s="575"/>
      <c r="C11" s="195"/>
      <c r="D11" s="610" t="str">
        <f>IF(Roster!$S$31=0,"",Roster!$S$31)</f>
        <v>RIOTOUS ROOKIES</v>
      </c>
      <c r="E11" s="484"/>
      <c r="F11" s="485"/>
      <c r="G11" s="195"/>
      <c r="H11" s="610" t="str">
        <f>IF(Roster!$AE$25=0,"",Roster!$AE$25)</f>
        <v>WIZARDS</v>
      </c>
      <c r="I11" s="484"/>
      <c r="J11" s="485"/>
      <c r="K11" s="195"/>
      <c r="L11" s="577" t="str">
        <f>IF(Roster!$AE$24=0,"",Roster!$AE$24)</f>
        <v>WEATHER MAGE</v>
      </c>
      <c r="M11" s="484"/>
      <c r="N11" s="485"/>
      <c r="O11" s="199"/>
      <c r="P11" s="30"/>
      <c r="Q11" s="194" t="str">
        <f>IF(Roster!$N$1=0,"",Roster!$N$1)</f>
        <v>PA</v>
      </c>
      <c r="R11" s="195"/>
      <c r="S11" s="620"/>
      <c r="T11" s="621"/>
      <c r="U11" s="621"/>
      <c r="V11" s="621"/>
      <c r="W11" s="621"/>
      <c r="X11" s="621"/>
      <c r="Y11" s="621"/>
      <c r="Z11" s="621"/>
      <c r="AA11" s="621"/>
      <c r="AB11" s="621"/>
      <c r="AC11" s="622"/>
      <c r="AD11" s="199"/>
      <c r="AE11" s="30"/>
      <c r="AF11" s="194" t="str">
        <f>IF(Roster!$N$1=0,"",Roster!$N$1)</f>
        <v>PA</v>
      </c>
      <c r="AG11" s="195"/>
      <c r="AH11" s="581"/>
      <c r="AI11" s="582"/>
      <c r="AJ11" s="582"/>
      <c r="AK11" s="582"/>
      <c r="AL11" s="582"/>
      <c r="AM11" s="582"/>
      <c r="AN11" s="582"/>
      <c r="AO11" s="582"/>
      <c r="AP11" s="582"/>
      <c r="AQ11" s="582"/>
      <c r="AR11" s="583"/>
      <c r="AS11" s="199"/>
      <c r="AT11" s="30"/>
      <c r="AU11" s="194" t="str">
        <f>IF(Roster!$N$1=0,"",Roster!$N$1)</f>
        <v>PA</v>
      </c>
      <c r="AV11" s="195"/>
      <c r="AW11" s="581"/>
      <c r="AX11" s="582"/>
      <c r="AY11" s="582"/>
      <c r="AZ11" s="582"/>
      <c r="BA11" s="582"/>
      <c r="BB11" s="582"/>
      <c r="BC11" s="582"/>
      <c r="BD11" s="582"/>
      <c r="BE11" s="582"/>
      <c r="BF11" s="582"/>
      <c r="BG11" s="583"/>
      <c r="BH11" s="199"/>
    </row>
    <row r="12" spans="1:60" s="31" customFormat="1" ht="6" customHeight="1">
      <c r="A12" s="30"/>
      <c r="B12" s="575"/>
      <c r="C12" s="196"/>
      <c r="D12" s="614">
        <f>Roster!$X$31</f>
        <v>0</v>
      </c>
      <c r="E12" s="408"/>
      <c r="F12" s="381"/>
      <c r="G12" s="200"/>
      <c r="H12" s="614">
        <f>Roster!$AJ$25</f>
        <v>0</v>
      </c>
      <c r="I12" s="408"/>
      <c r="J12" s="381"/>
      <c r="K12" s="200"/>
      <c r="L12" s="614">
        <f>Roster!$AJ$24</f>
        <v>0</v>
      </c>
      <c r="M12" s="408"/>
      <c r="N12" s="381"/>
      <c r="O12" s="201"/>
      <c r="P12" s="30"/>
      <c r="Q12" s="571" t="str">
        <f>IF(Roster!$N$2=0&amp;"+","",Roster!$N$2)</f>
        <v/>
      </c>
      <c r="R12" s="195"/>
      <c r="S12" s="623"/>
      <c r="T12" s="624"/>
      <c r="U12" s="624"/>
      <c r="V12" s="624"/>
      <c r="W12" s="624"/>
      <c r="X12" s="624"/>
      <c r="Y12" s="624"/>
      <c r="Z12" s="624"/>
      <c r="AA12" s="624"/>
      <c r="AB12" s="624"/>
      <c r="AC12" s="625"/>
      <c r="AD12" s="201"/>
      <c r="AE12" s="30"/>
      <c r="AF12" s="571" t="str">
        <f>IF(Roster!$N$3=0&amp;"+","",Roster!$N$3)</f>
        <v/>
      </c>
      <c r="AG12" s="195"/>
      <c r="AH12" s="584"/>
      <c r="AI12" s="585"/>
      <c r="AJ12" s="585"/>
      <c r="AK12" s="585"/>
      <c r="AL12" s="585"/>
      <c r="AM12" s="585"/>
      <c r="AN12" s="585"/>
      <c r="AO12" s="585"/>
      <c r="AP12" s="585"/>
      <c r="AQ12" s="585"/>
      <c r="AR12" s="586"/>
      <c r="AS12" s="201"/>
      <c r="AT12" s="30"/>
      <c r="AU12" s="571" t="str">
        <f>IF(Roster!$N$4=0&amp;"+","",Roster!$N$4)</f>
        <v>4+</v>
      </c>
      <c r="AV12" s="195"/>
      <c r="AW12" s="584"/>
      <c r="AX12" s="585"/>
      <c r="AY12" s="585"/>
      <c r="AZ12" s="585"/>
      <c r="BA12" s="585"/>
      <c r="BB12" s="585"/>
      <c r="BC12" s="585"/>
      <c r="BD12" s="585"/>
      <c r="BE12" s="585"/>
      <c r="BF12" s="585"/>
      <c r="BG12" s="586"/>
      <c r="BH12" s="201"/>
    </row>
    <row r="13" spans="1:60" s="31" customFormat="1" ht="4.5" customHeight="1">
      <c r="A13" s="30"/>
      <c r="B13" s="575"/>
      <c r="C13" s="196"/>
      <c r="D13" s="615"/>
      <c r="E13" s="396"/>
      <c r="F13" s="616"/>
      <c r="G13" s="200"/>
      <c r="H13" s="615"/>
      <c r="I13" s="396"/>
      <c r="J13" s="616"/>
      <c r="K13" s="200"/>
      <c r="L13" s="615"/>
      <c r="M13" s="396"/>
      <c r="N13" s="616"/>
      <c r="O13" s="201"/>
      <c r="P13" s="30"/>
      <c r="Q13" s="572"/>
      <c r="R13" s="193"/>
      <c r="S13" s="202"/>
      <c r="T13" s="200"/>
      <c r="U13" s="202"/>
      <c r="V13" s="200"/>
      <c r="W13" s="202"/>
      <c r="X13" s="200"/>
      <c r="Y13" s="202"/>
      <c r="Z13" s="200"/>
      <c r="AA13" s="202"/>
      <c r="AB13" s="200"/>
      <c r="AC13" s="202"/>
      <c r="AD13" s="201"/>
      <c r="AE13" s="30"/>
      <c r="AF13" s="572"/>
      <c r="AG13" s="193"/>
      <c r="AH13" s="202"/>
      <c r="AI13" s="200"/>
      <c r="AJ13" s="202"/>
      <c r="AK13" s="200"/>
      <c r="AL13" s="202"/>
      <c r="AM13" s="200"/>
      <c r="AN13" s="202"/>
      <c r="AO13" s="200"/>
      <c r="AP13" s="202"/>
      <c r="AQ13" s="200"/>
      <c r="AR13" s="202"/>
      <c r="AS13" s="201"/>
      <c r="AT13" s="30"/>
      <c r="AU13" s="572"/>
      <c r="AV13" s="193"/>
      <c r="AW13" s="202"/>
      <c r="AX13" s="200"/>
      <c r="AY13" s="202"/>
      <c r="AZ13" s="200"/>
      <c r="BA13" s="202"/>
      <c r="BB13" s="200"/>
      <c r="BC13" s="202"/>
      <c r="BD13" s="200"/>
      <c r="BE13" s="202"/>
      <c r="BF13" s="200"/>
      <c r="BG13" s="202"/>
      <c r="BH13" s="201"/>
    </row>
    <row r="14" spans="1:60" s="31" customFormat="1" ht="11.25" customHeight="1">
      <c r="A14" s="30"/>
      <c r="B14" s="575"/>
      <c r="C14" s="196"/>
      <c r="D14" s="615"/>
      <c r="E14" s="396"/>
      <c r="F14" s="616"/>
      <c r="G14" s="200"/>
      <c r="H14" s="615"/>
      <c r="I14" s="396"/>
      <c r="J14" s="616"/>
      <c r="K14" s="200"/>
      <c r="L14" s="615"/>
      <c r="M14" s="396"/>
      <c r="N14" s="616"/>
      <c r="O14" s="201"/>
      <c r="P14" s="30"/>
      <c r="Q14" s="57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7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7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75"/>
      <c r="C15" s="196"/>
      <c r="D15" s="615"/>
      <c r="E15" s="396"/>
      <c r="F15" s="616"/>
      <c r="G15" s="196"/>
      <c r="H15" s="615"/>
      <c r="I15" s="396"/>
      <c r="J15" s="616"/>
      <c r="K15" s="196"/>
      <c r="L15" s="615"/>
      <c r="M15" s="396"/>
      <c r="N15" s="616"/>
      <c r="O15" s="201"/>
      <c r="P15" s="30"/>
      <c r="Q15" s="572"/>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72"/>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72"/>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75"/>
      <c r="C16" s="196"/>
      <c r="D16" s="382"/>
      <c r="E16" s="409"/>
      <c r="F16" s="383"/>
      <c r="G16" s="196"/>
      <c r="H16" s="382"/>
      <c r="I16" s="409"/>
      <c r="J16" s="383"/>
      <c r="K16" s="196"/>
      <c r="L16" s="382"/>
      <c r="M16" s="409"/>
      <c r="N16" s="383"/>
      <c r="O16" s="201"/>
      <c r="P16" s="30"/>
      <c r="Q16" s="445"/>
      <c r="R16" s="196"/>
      <c r="S16" s="231"/>
      <c r="T16" s="230"/>
      <c r="U16" s="231"/>
      <c r="V16" s="230"/>
      <c r="W16" s="231"/>
      <c r="X16" s="230"/>
      <c r="Y16" s="231"/>
      <c r="Z16" s="230"/>
      <c r="AA16" s="231"/>
      <c r="AB16" s="230"/>
      <c r="AC16" s="231"/>
      <c r="AD16" s="201"/>
      <c r="AE16" s="30"/>
      <c r="AF16" s="445"/>
      <c r="AG16" s="196"/>
      <c r="AH16" s="231"/>
      <c r="AI16" s="230"/>
      <c r="AJ16" s="231"/>
      <c r="AK16" s="230"/>
      <c r="AL16" s="231"/>
      <c r="AM16" s="230"/>
      <c r="AN16" s="231"/>
      <c r="AO16" s="230"/>
      <c r="AP16" s="231"/>
      <c r="AQ16" s="230"/>
      <c r="AR16" s="231"/>
      <c r="AS16" s="201"/>
      <c r="AT16" s="30"/>
      <c r="AU16" s="445"/>
      <c r="AV16" s="196"/>
      <c r="AW16" s="231"/>
      <c r="AX16" s="230"/>
      <c r="AY16" s="231"/>
      <c r="AZ16" s="230"/>
      <c r="BA16" s="231"/>
      <c r="BB16" s="230"/>
      <c r="BC16" s="231"/>
      <c r="BD16" s="230"/>
      <c r="BE16" s="231"/>
      <c r="BF16" s="230"/>
      <c r="BG16" s="231"/>
      <c r="BH16" s="201"/>
    </row>
    <row r="17" spans="1:60" s="31" customFormat="1" ht="11.25" customHeight="1">
      <c r="A17" s="30"/>
      <c r="B17" s="575"/>
      <c r="C17" s="195"/>
      <c r="D17" s="577" t="str">
        <f>IF(Roster!$S$26=0,"",Roster!$S$26)</f>
        <v>SPECIAL CARD</v>
      </c>
      <c r="E17" s="484"/>
      <c r="F17" s="485"/>
      <c r="G17" s="195"/>
      <c r="H17" s="610" t="str">
        <f>IF(Roster!$AE$26=0,"",Roster!$AE$26)</f>
        <v>(IN)FAMOUS COACHES</v>
      </c>
      <c r="I17" s="484"/>
      <c r="J17" s="485"/>
      <c r="K17" s="195"/>
      <c r="L17" s="610" t="str">
        <f>IF(Roster!$AE$27=0,"",Roster!$AE$27)</f>
        <v>(IN)FAMOUS COACHES</v>
      </c>
      <c r="M17" s="484"/>
      <c r="N17" s="485"/>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75"/>
      <c r="C18" s="196"/>
      <c r="D18" s="614">
        <f>Roster!$X$26</f>
        <v>0</v>
      </c>
      <c r="E18" s="408"/>
      <c r="F18" s="381"/>
      <c r="G18" s="196"/>
      <c r="H18" s="614">
        <f>Roster!$AJ$26</f>
        <v>0</v>
      </c>
      <c r="I18" s="408"/>
      <c r="J18" s="381"/>
      <c r="K18" s="196"/>
      <c r="L18" s="614">
        <f>Roster!$AJ$27</f>
        <v>0</v>
      </c>
      <c r="M18" s="408"/>
      <c r="N18" s="381"/>
      <c r="O18" s="203"/>
      <c r="P18" s="30"/>
      <c r="Q18" s="571" t="str">
        <f>IF(Roster!$O$2=0&amp;"+","",Roster!$O$2)</f>
        <v>8+</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71" t="str">
        <f>IF(Roster!$O$3=0&amp;"+","",Roster!$O$3)</f>
        <v>8+</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71" t="str">
        <f>IF(Roster!$O$4=0&amp;"+","",Roster!$O$4)</f>
        <v>8+</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75"/>
      <c r="C19" s="196"/>
      <c r="D19" s="615"/>
      <c r="E19" s="396"/>
      <c r="F19" s="616"/>
      <c r="G19" s="196"/>
      <c r="H19" s="615"/>
      <c r="I19" s="396"/>
      <c r="J19" s="616"/>
      <c r="K19" s="196"/>
      <c r="L19" s="615"/>
      <c r="M19" s="396"/>
      <c r="N19" s="616"/>
      <c r="O19" s="203"/>
      <c r="P19" s="30"/>
      <c r="Q19" s="572"/>
      <c r="R19" s="196"/>
      <c r="S19" s="230"/>
      <c r="T19" s="230"/>
      <c r="U19" s="230"/>
      <c r="V19" s="230"/>
      <c r="W19" s="230"/>
      <c r="X19" s="230"/>
      <c r="Y19" s="230"/>
      <c r="Z19" s="230"/>
      <c r="AA19" s="230"/>
      <c r="AB19" s="230"/>
      <c r="AC19" s="233"/>
      <c r="AD19" s="203"/>
      <c r="AE19" s="30"/>
      <c r="AF19" s="572"/>
      <c r="AG19" s="196"/>
      <c r="AH19" s="230"/>
      <c r="AI19" s="230"/>
      <c r="AJ19" s="230"/>
      <c r="AK19" s="230"/>
      <c r="AL19" s="230"/>
      <c r="AM19" s="230"/>
      <c r="AN19" s="230"/>
      <c r="AO19" s="230"/>
      <c r="AP19" s="230"/>
      <c r="AQ19" s="230"/>
      <c r="AR19" s="233"/>
      <c r="AS19" s="203"/>
      <c r="AT19" s="30"/>
      <c r="AU19" s="572"/>
      <c r="AV19" s="196"/>
      <c r="AW19" s="230"/>
      <c r="AX19" s="230"/>
      <c r="AY19" s="230"/>
      <c r="AZ19" s="230"/>
      <c r="BA19" s="230"/>
      <c r="BB19" s="230"/>
      <c r="BC19" s="230"/>
      <c r="BD19" s="230"/>
      <c r="BE19" s="230"/>
      <c r="BF19" s="230"/>
      <c r="BG19" s="233"/>
      <c r="BH19" s="203"/>
    </row>
    <row r="20" spans="1:60" s="31" customFormat="1" ht="11.25" customHeight="1">
      <c r="A20" s="30"/>
      <c r="B20" s="575"/>
      <c r="C20" s="196"/>
      <c r="D20" s="615"/>
      <c r="E20" s="396"/>
      <c r="F20" s="616"/>
      <c r="G20" s="204"/>
      <c r="H20" s="615"/>
      <c r="I20" s="396"/>
      <c r="J20" s="616"/>
      <c r="K20" s="204"/>
      <c r="L20" s="615"/>
      <c r="M20" s="396"/>
      <c r="N20" s="616"/>
      <c r="O20" s="203"/>
      <c r="P20" s="30"/>
      <c r="Q20" s="572"/>
      <c r="R20" s="196"/>
      <c r="S20" s="568" t="str">
        <f>IF(Roster!$K$25="Italiano","ABILITÀ &amp; TRATTI",(IF(Roster!$K$25="Español","HABILIDADES Y RASGOS","SKILLS &amp; TRAITS")))</f>
        <v>SKILLS &amp; TRAITS</v>
      </c>
      <c r="T20" s="569"/>
      <c r="U20" s="569"/>
      <c r="V20" s="569"/>
      <c r="W20" s="569"/>
      <c r="X20" s="569"/>
      <c r="Y20" s="569"/>
      <c r="Z20" s="569"/>
      <c r="AA20" s="569"/>
      <c r="AB20" s="569"/>
      <c r="AC20" s="570"/>
      <c r="AD20" s="203"/>
      <c r="AE20" s="30"/>
      <c r="AF20" s="572"/>
      <c r="AG20" s="196"/>
      <c r="AH20" s="568" t="str">
        <f>IF(Roster!$K$25="Italiano","ABILITÀ &amp; TRATTI",(IF(Roster!$K$25="Español","HABILIDADES Y RASGOS","SKILLS &amp; TRAITS")))</f>
        <v>SKILLS &amp; TRAITS</v>
      </c>
      <c r="AI20" s="569"/>
      <c r="AJ20" s="569"/>
      <c r="AK20" s="569"/>
      <c r="AL20" s="569"/>
      <c r="AM20" s="569"/>
      <c r="AN20" s="569"/>
      <c r="AO20" s="569"/>
      <c r="AP20" s="569"/>
      <c r="AQ20" s="569"/>
      <c r="AR20" s="570"/>
      <c r="AS20" s="203"/>
      <c r="AT20" s="30"/>
      <c r="AU20" s="572"/>
      <c r="AV20" s="196"/>
      <c r="AW20" s="568" t="str">
        <f>IF(Roster!$K$25="Italiano","ABILITÀ &amp; TRATTI",(IF(Roster!$K$25="Español","HABILIDADES Y RASGOS","SKILLS &amp; TRAITS")))</f>
        <v>SKILLS &amp; TRAITS</v>
      </c>
      <c r="AX20" s="569"/>
      <c r="AY20" s="569"/>
      <c r="AZ20" s="569"/>
      <c r="BA20" s="569"/>
      <c r="BB20" s="569"/>
      <c r="BC20" s="569"/>
      <c r="BD20" s="569"/>
      <c r="BE20" s="569"/>
      <c r="BF20" s="569"/>
      <c r="BG20" s="570"/>
      <c r="BH20" s="203"/>
    </row>
    <row r="21" spans="1:60" s="31" customFormat="1" ht="6.75" customHeight="1">
      <c r="A21" s="30"/>
      <c r="B21" s="575"/>
      <c r="C21" s="196"/>
      <c r="D21" s="382"/>
      <c r="E21" s="409"/>
      <c r="F21" s="383"/>
      <c r="G21" s="205"/>
      <c r="H21" s="382"/>
      <c r="I21" s="409"/>
      <c r="J21" s="383"/>
      <c r="K21" s="205"/>
      <c r="L21" s="382"/>
      <c r="M21" s="409"/>
      <c r="N21" s="383"/>
      <c r="O21" s="203"/>
      <c r="P21" s="30"/>
      <c r="Q21" s="445"/>
      <c r="R21" s="196"/>
      <c r="S21" s="561" t="str">
        <f>IF(Roster!$P$2=0&amp;BF2,"",Roster!$P$2)</f>
        <v>Chainsaw, Secret Weapon, Stunty</v>
      </c>
      <c r="T21" s="541"/>
      <c r="U21" s="541"/>
      <c r="V21" s="541"/>
      <c r="W21" s="541"/>
      <c r="X21" s="541"/>
      <c r="Y21" s="541"/>
      <c r="Z21" s="541"/>
      <c r="AA21" s="541"/>
      <c r="AB21" s="541"/>
      <c r="AC21" s="562"/>
      <c r="AD21" s="203"/>
      <c r="AE21" s="30"/>
      <c r="AF21" s="445"/>
      <c r="AG21" s="196"/>
      <c r="AH21" s="561" t="str">
        <f>IF(Roster!$P$3=0&amp;BU3,"",Roster!$P$3)</f>
        <v>Ball &amp; Chain, No Hands, Secret Weapon, Stunty</v>
      </c>
      <c r="AI21" s="541"/>
      <c r="AJ21" s="541"/>
      <c r="AK21" s="541"/>
      <c r="AL21" s="541"/>
      <c r="AM21" s="541"/>
      <c r="AN21" s="541"/>
      <c r="AO21" s="541"/>
      <c r="AP21" s="541"/>
      <c r="AQ21" s="541"/>
      <c r="AR21" s="562"/>
      <c r="AS21" s="203"/>
      <c r="AT21" s="30"/>
      <c r="AU21" s="445"/>
      <c r="AV21" s="196"/>
      <c r="AW21" s="561" t="str">
        <f>IF(Roster!$P$4=0&amp;CJ4,"",Roster!$P$4)</f>
        <v>Bombardier, Dodge, Secret Weapon, Stunty</v>
      </c>
      <c r="AX21" s="541"/>
      <c r="AY21" s="541"/>
      <c r="AZ21" s="541"/>
      <c r="BA21" s="541"/>
      <c r="BB21" s="541"/>
      <c r="BC21" s="541"/>
      <c r="BD21" s="541"/>
      <c r="BE21" s="541"/>
      <c r="BF21" s="541"/>
      <c r="BG21" s="562"/>
      <c r="BH21" s="203"/>
    </row>
    <row r="22" spans="1:60" s="31" customFormat="1" ht="11.25" customHeight="1">
      <c r="A22" s="30"/>
      <c r="B22" s="575"/>
      <c r="C22" s="192"/>
      <c r="D22" s="610" t="str">
        <f>IF(Roster!$AE$28=0,"",Roster!$AE$28)</f>
        <v>BIASED REFEREE</v>
      </c>
      <c r="E22" s="484"/>
      <c r="F22" s="485"/>
      <c r="G22" s="205"/>
      <c r="H22" s="610" t="str">
        <f>IF(Roster!$AE$29=0,"",Roster!$AE$29)</f>
        <v>OTHER INDUCEMENTS</v>
      </c>
      <c r="I22" s="484"/>
      <c r="J22" s="485"/>
      <c r="K22" s="205"/>
      <c r="L22" s="577" t="str">
        <f>IF(Roster!$AE$31=0,"",Roster!$AE$31)</f>
        <v>WANDERING APO</v>
      </c>
      <c r="M22" s="484"/>
      <c r="N22" s="485"/>
      <c r="O22" s="206"/>
      <c r="P22" s="30"/>
      <c r="Q22" s="194" t="str">
        <f>IF(Roster!$AO$1=0,"",Roster!$AO$1)</f>
        <v>COST</v>
      </c>
      <c r="R22" s="195"/>
      <c r="S22" s="563"/>
      <c r="T22" s="564"/>
      <c r="U22" s="564"/>
      <c r="V22" s="564"/>
      <c r="W22" s="564"/>
      <c r="X22" s="564"/>
      <c r="Y22" s="564"/>
      <c r="Z22" s="564"/>
      <c r="AA22" s="564"/>
      <c r="AB22" s="564"/>
      <c r="AC22" s="562"/>
      <c r="AD22" s="206"/>
      <c r="AE22" s="30"/>
      <c r="AF22" s="194" t="str">
        <f>IF(Roster!$AO$1=0,"",Roster!$AO$1)</f>
        <v>COST</v>
      </c>
      <c r="AG22" s="195"/>
      <c r="AH22" s="563"/>
      <c r="AI22" s="564"/>
      <c r="AJ22" s="564"/>
      <c r="AK22" s="564"/>
      <c r="AL22" s="564"/>
      <c r="AM22" s="564"/>
      <c r="AN22" s="564"/>
      <c r="AO22" s="564"/>
      <c r="AP22" s="564"/>
      <c r="AQ22" s="564"/>
      <c r="AR22" s="562"/>
      <c r="AS22" s="206"/>
      <c r="AT22" s="30"/>
      <c r="AU22" s="194" t="str">
        <f>IF(Roster!$AO$1=0,"",Roster!$AO$1)</f>
        <v>COST</v>
      </c>
      <c r="AV22" s="195"/>
      <c r="AW22" s="563"/>
      <c r="AX22" s="564"/>
      <c r="AY22" s="564"/>
      <c r="AZ22" s="564"/>
      <c r="BA22" s="564"/>
      <c r="BB22" s="564"/>
      <c r="BC22" s="564"/>
      <c r="BD22" s="564"/>
      <c r="BE22" s="564"/>
      <c r="BF22" s="564"/>
      <c r="BG22" s="562"/>
      <c r="BH22" s="206"/>
    </row>
    <row r="23" spans="1:60" s="31" customFormat="1" ht="34.5" customHeight="1">
      <c r="A23" s="30"/>
      <c r="B23" s="576"/>
      <c r="C23" s="207"/>
      <c r="D23" s="611">
        <f>Roster!$AJ$28</f>
        <v>0</v>
      </c>
      <c r="E23" s="361"/>
      <c r="F23" s="362"/>
      <c r="G23" s="205"/>
      <c r="H23" s="611">
        <f>Roster!$AJ$29</f>
        <v>0</v>
      </c>
      <c r="I23" s="361"/>
      <c r="J23" s="362"/>
      <c r="K23" s="205"/>
      <c r="L23" s="611">
        <f>Roster!$AJ$31</f>
        <v>0</v>
      </c>
      <c r="M23" s="361"/>
      <c r="N23" s="362"/>
      <c r="O23" s="206"/>
      <c r="P23" s="30"/>
      <c r="Q23" s="208">
        <f>IF(Roster!$AO$2=0,"",Roster!$AO$2)</f>
        <v>40000</v>
      </c>
      <c r="R23" s="209"/>
      <c r="S23" s="565"/>
      <c r="T23" s="566"/>
      <c r="U23" s="566"/>
      <c r="V23" s="566"/>
      <c r="W23" s="566"/>
      <c r="X23" s="566"/>
      <c r="Y23" s="566"/>
      <c r="Z23" s="566"/>
      <c r="AA23" s="566"/>
      <c r="AB23" s="566"/>
      <c r="AC23" s="567"/>
      <c r="AD23" s="206"/>
      <c r="AE23" s="30"/>
      <c r="AF23" s="208">
        <f>IF(Roster!$AO$3=0,"",Roster!$AO$3)</f>
        <v>70000</v>
      </c>
      <c r="AG23" s="209"/>
      <c r="AH23" s="565"/>
      <c r="AI23" s="566"/>
      <c r="AJ23" s="566"/>
      <c r="AK23" s="566"/>
      <c r="AL23" s="566"/>
      <c r="AM23" s="566"/>
      <c r="AN23" s="566"/>
      <c r="AO23" s="566"/>
      <c r="AP23" s="566"/>
      <c r="AQ23" s="566"/>
      <c r="AR23" s="567"/>
      <c r="AS23" s="206"/>
      <c r="AT23" s="30"/>
      <c r="AU23" s="208">
        <f>IF(Roster!$AO$4=0,"",Roster!$AO$4)</f>
        <v>45000</v>
      </c>
      <c r="AV23" s="209"/>
      <c r="AW23" s="565"/>
      <c r="AX23" s="566"/>
      <c r="AY23" s="566"/>
      <c r="AZ23" s="566"/>
      <c r="BA23" s="566"/>
      <c r="BB23" s="566"/>
      <c r="BC23" s="566"/>
      <c r="BD23" s="566"/>
      <c r="BE23" s="566"/>
      <c r="BF23" s="566"/>
      <c r="BG23" s="567"/>
      <c r="BH23" s="206"/>
    </row>
    <row r="24" spans="1:60" s="31" customFormat="1" ht="4.5" customHeight="1">
      <c r="A24" s="30"/>
      <c r="B24" s="573"/>
      <c r="C24" s="375"/>
      <c r="D24" s="375"/>
      <c r="E24" s="375"/>
      <c r="F24" s="375"/>
      <c r="G24" s="375"/>
      <c r="H24" s="375"/>
      <c r="I24" s="375"/>
      <c r="J24" s="375"/>
      <c r="K24" s="375"/>
      <c r="L24" s="375"/>
      <c r="M24" s="375"/>
      <c r="N24" s="376"/>
      <c r="O24" s="210"/>
      <c r="P24" s="30"/>
      <c r="Q24" s="573"/>
      <c r="R24" s="375"/>
      <c r="S24" s="375"/>
      <c r="T24" s="375"/>
      <c r="U24" s="375"/>
      <c r="V24" s="375"/>
      <c r="W24" s="375"/>
      <c r="X24" s="375"/>
      <c r="Y24" s="375"/>
      <c r="Z24" s="375"/>
      <c r="AA24" s="375"/>
      <c r="AB24" s="375"/>
      <c r="AC24" s="376"/>
      <c r="AD24" s="210"/>
      <c r="AE24" s="30"/>
      <c r="AF24" s="573"/>
      <c r="AG24" s="375"/>
      <c r="AH24" s="375"/>
      <c r="AI24" s="375"/>
      <c r="AJ24" s="375"/>
      <c r="AK24" s="375"/>
      <c r="AL24" s="375"/>
      <c r="AM24" s="375"/>
      <c r="AN24" s="375"/>
      <c r="AO24" s="375"/>
      <c r="AP24" s="375"/>
      <c r="AQ24" s="375"/>
      <c r="AR24" s="376"/>
      <c r="AS24" s="210"/>
      <c r="AT24" s="30"/>
      <c r="AU24" s="573"/>
      <c r="AV24" s="375"/>
      <c r="AW24" s="375"/>
      <c r="AX24" s="375"/>
      <c r="AY24" s="375"/>
      <c r="AZ24" s="375"/>
      <c r="BA24" s="375"/>
      <c r="BB24" s="375"/>
      <c r="BC24" s="375"/>
      <c r="BD24" s="375"/>
      <c r="BE24" s="375"/>
      <c r="BF24" s="375"/>
      <c r="BG24" s="376"/>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74" t="str">
        <f>IF(Roster!$A$5=0,"","#"&amp;Roster!$A$5)</f>
        <v>#4</v>
      </c>
      <c r="C26" s="188"/>
      <c r="D26" s="188"/>
      <c r="E26" s="188"/>
      <c r="F26" s="188"/>
      <c r="G26" s="188"/>
      <c r="H26" s="188"/>
      <c r="I26" s="188"/>
      <c r="J26" s="188"/>
      <c r="K26" s="188"/>
      <c r="L26" s="188"/>
      <c r="M26" s="188"/>
      <c r="N26" s="188"/>
      <c r="O26" s="189"/>
      <c r="P26" s="30"/>
      <c r="Q26" s="574" t="str">
        <f>IF(Roster!$A$6=0,"","#"&amp;Roster!$A$6)</f>
        <v>#5</v>
      </c>
      <c r="R26" s="188"/>
      <c r="S26" s="188"/>
      <c r="T26" s="188"/>
      <c r="U26" s="188"/>
      <c r="V26" s="188"/>
      <c r="W26" s="188"/>
      <c r="X26" s="188"/>
      <c r="Y26" s="188"/>
      <c r="Z26" s="188"/>
      <c r="AA26" s="188"/>
      <c r="AB26" s="188"/>
      <c r="AC26" s="188"/>
      <c r="AD26" s="189"/>
      <c r="AE26" s="30"/>
      <c r="AF26" s="574" t="str">
        <f>IF(Roster!$A$7=0,"","#"&amp;Roster!$A$7)</f>
        <v>#6</v>
      </c>
      <c r="AG26" s="188"/>
      <c r="AH26" s="188"/>
      <c r="AI26" s="188"/>
      <c r="AJ26" s="188"/>
      <c r="AK26" s="188"/>
      <c r="AL26" s="188"/>
      <c r="AM26" s="188"/>
      <c r="AN26" s="188"/>
      <c r="AO26" s="188"/>
      <c r="AP26" s="188"/>
      <c r="AQ26" s="188"/>
      <c r="AR26" s="188"/>
      <c r="AS26" s="189"/>
      <c r="AT26" s="30"/>
      <c r="AU26" s="574"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75"/>
      <c r="C27" s="560" t="str">
        <f>IF(Roster!$B$5=0,"",Roster!$B$5)</f>
        <v>Mike Gobaro</v>
      </c>
      <c r="D27" s="484"/>
      <c r="E27" s="484"/>
      <c r="F27" s="484"/>
      <c r="G27" s="484"/>
      <c r="H27" s="484"/>
      <c r="I27" s="484"/>
      <c r="J27" s="484"/>
      <c r="K27" s="484"/>
      <c r="L27" s="484"/>
      <c r="M27" s="484"/>
      <c r="N27" s="485"/>
      <c r="O27" s="190"/>
      <c r="P27" s="30"/>
      <c r="Q27" s="575"/>
      <c r="R27" s="560" t="str">
        <f>IF(Roster!$B$6=0,"",Roster!$B$6)</f>
        <v>Goblin Paoli</v>
      </c>
      <c r="S27" s="484"/>
      <c r="T27" s="484"/>
      <c r="U27" s="484"/>
      <c r="V27" s="484"/>
      <c r="W27" s="484"/>
      <c r="X27" s="484"/>
      <c r="Y27" s="484"/>
      <c r="Z27" s="484"/>
      <c r="AA27" s="484"/>
      <c r="AB27" s="484"/>
      <c r="AC27" s="485"/>
      <c r="AD27" s="190"/>
      <c r="AE27" s="30"/>
      <c r="AF27" s="575"/>
      <c r="AG27" s="560" t="str">
        <f>IF(Roster!$B$7=0,"",Roster!$B$7)</f>
        <v>Gino Goblin</v>
      </c>
      <c r="AH27" s="484"/>
      <c r="AI27" s="484"/>
      <c r="AJ27" s="484"/>
      <c r="AK27" s="484"/>
      <c r="AL27" s="484"/>
      <c r="AM27" s="484"/>
      <c r="AN27" s="484"/>
      <c r="AO27" s="484"/>
      <c r="AP27" s="484"/>
      <c r="AQ27" s="484"/>
      <c r="AR27" s="485"/>
      <c r="AS27" s="190"/>
      <c r="AT27" s="30"/>
      <c r="AU27" s="575"/>
      <c r="AV27" s="560" t="str">
        <f>IF(Roster!$B$8=0,"",Roster!$B$8)</f>
        <v>Goblo Mengoli</v>
      </c>
      <c r="AW27" s="484"/>
      <c r="AX27" s="484"/>
      <c r="AY27" s="484"/>
      <c r="AZ27" s="484"/>
      <c r="BA27" s="484"/>
      <c r="BB27" s="484"/>
      <c r="BC27" s="484"/>
      <c r="BD27" s="484"/>
      <c r="BE27" s="484"/>
      <c r="BF27" s="484"/>
      <c r="BG27" s="485"/>
      <c r="BH27" s="190"/>
    </row>
    <row r="28" spans="1:60" s="31" customFormat="1" ht="11.25" customHeight="1">
      <c r="A28" s="30"/>
      <c r="B28" s="576"/>
      <c r="C28" s="577" t="str">
        <f>IF(Roster!$D$5=0,"",Roster!$D$5)</f>
        <v>Ooligan</v>
      </c>
      <c r="D28" s="484"/>
      <c r="E28" s="484"/>
      <c r="F28" s="484"/>
      <c r="G28" s="484"/>
      <c r="H28" s="484"/>
      <c r="I28" s="484"/>
      <c r="J28" s="484"/>
      <c r="K28" s="484"/>
      <c r="L28" s="484"/>
      <c r="M28" s="484"/>
      <c r="N28" s="485"/>
      <c r="O28" s="191"/>
      <c r="P28" s="30"/>
      <c r="Q28" s="576"/>
      <c r="R28" s="577" t="str">
        <f>IF(Roster!$D$6=0,"",Roster!$D$6)</f>
        <v>Pogoer</v>
      </c>
      <c r="S28" s="484"/>
      <c r="T28" s="484"/>
      <c r="U28" s="484"/>
      <c r="V28" s="484"/>
      <c r="W28" s="484"/>
      <c r="X28" s="484"/>
      <c r="Y28" s="484"/>
      <c r="Z28" s="484"/>
      <c r="AA28" s="484"/>
      <c r="AB28" s="484"/>
      <c r="AC28" s="485"/>
      <c r="AD28" s="191"/>
      <c r="AE28" s="30"/>
      <c r="AF28" s="576"/>
      <c r="AG28" s="577" t="str">
        <f>IF(Roster!$D$7=0,"",Roster!$D$7)</f>
        <v>Doom Diver</v>
      </c>
      <c r="AH28" s="484"/>
      <c r="AI28" s="484"/>
      <c r="AJ28" s="484"/>
      <c r="AK28" s="484"/>
      <c r="AL28" s="484"/>
      <c r="AM28" s="484"/>
      <c r="AN28" s="484"/>
      <c r="AO28" s="484"/>
      <c r="AP28" s="484"/>
      <c r="AQ28" s="484"/>
      <c r="AR28" s="485"/>
      <c r="AS28" s="191"/>
      <c r="AT28" s="30"/>
      <c r="AU28" s="576"/>
      <c r="AV28" s="577" t="str">
        <f>IF(Roster!$D$8=0,"",Roster!$D$8)</f>
        <v>Goblin</v>
      </c>
      <c r="AW28" s="484"/>
      <c r="AX28" s="484"/>
      <c r="AY28" s="484"/>
      <c r="AZ28" s="484"/>
      <c r="BA28" s="484"/>
      <c r="BB28" s="484"/>
      <c r="BC28" s="484"/>
      <c r="BD28" s="484"/>
      <c r="BE28" s="484"/>
      <c r="BF28" s="484"/>
      <c r="BG28" s="485"/>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6</v>
      </c>
      <c r="C30" s="195"/>
      <c r="D30" s="578"/>
      <c r="E30" s="579"/>
      <c r="F30" s="579"/>
      <c r="G30" s="579"/>
      <c r="H30" s="579"/>
      <c r="I30" s="579"/>
      <c r="J30" s="579"/>
      <c r="K30" s="579"/>
      <c r="L30" s="579"/>
      <c r="M30" s="579"/>
      <c r="N30" s="580"/>
      <c r="O30" s="190"/>
      <c r="P30" s="30"/>
      <c r="Q30" s="197">
        <f>IF(Roster!$K$6=0,"",Roster!$K$6)</f>
        <v>7</v>
      </c>
      <c r="R30" s="195"/>
      <c r="S30" s="578"/>
      <c r="T30" s="579"/>
      <c r="U30" s="579"/>
      <c r="V30" s="579"/>
      <c r="W30" s="579"/>
      <c r="X30" s="579"/>
      <c r="Y30" s="579"/>
      <c r="Z30" s="579"/>
      <c r="AA30" s="579"/>
      <c r="AB30" s="579"/>
      <c r="AC30" s="580"/>
      <c r="AD30" s="190"/>
      <c r="AE30" s="30"/>
      <c r="AF30" s="197">
        <f>IF(Roster!$K$7=0,"",Roster!$K$7)</f>
        <v>6</v>
      </c>
      <c r="AG30" s="195"/>
      <c r="AH30" s="578"/>
      <c r="AI30" s="579"/>
      <c r="AJ30" s="579"/>
      <c r="AK30" s="579"/>
      <c r="AL30" s="579"/>
      <c r="AM30" s="579"/>
      <c r="AN30" s="579"/>
      <c r="AO30" s="579"/>
      <c r="AP30" s="579"/>
      <c r="AQ30" s="579"/>
      <c r="AR30" s="580"/>
      <c r="AS30" s="190"/>
      <c r="AT30" s="30"/>
      <c r="AU30" s="197">
        <f>IF(Roster!$K$8=0,"",Roster!$K$8)</f>
        <v>6</v>
      </c>
      <c r="AV30" s="195"/>
      <c r="AW30" s="578"/>
      <c r="AX30" s="579"/>
      <c r="AY30" s="579"/>
      <c r="AZ30" s="579"/>
      <c r="BA30" s="579"/>
      <c r="BB30" s="579"/>
      <c r="BC30" s="579"/>
      <c r="BD30" s="579"/>
      <c r="BE30" s="579"/>
      <c r="BF30" s="579"/>
      <c r="BG30" s="580"/>
      <c r="BH30" s="190"/>
    </row>
    <row r="31" spans="1:60" s="31" customFormat="1" ht="11.25" customHeight="1">
      <c r="A31" s="30"/>
      <c r="B31" s="194" t="str">
        <f>IF(Roster!$L$1=0,"",Roster!$L$1)</f>
        <v>ST</v>
      </c>
      <c r="C31" s="195"/>
      <c r="D31" s="581"/>
      <c r="E31" s="582"/>
      <c r="F31" s="582"/>
      <c r="G31" s="582"/>
      <c r="H31" s="582"/>
      <c r="I31" s="582"/>
      <c r="J31" s="582"/>
      <c r="K31" s="582"/>
      <c r="L31" s="582"/>
      <c r="M31" s="582"/>
      <c r="N31" s="583"/>
      <c r="O31" s="190"/>
      <c r="P31" s="30"/>
      <c r="Q31" s="194" t="str">
        <f>IF(Roster!$L$1=0,"",Roster!$L$1)</f>
        <v>ST</v>
      </c>
      <c r="R31" s="195"/>
      <c r="S31" s="581"/>
      <c r="T31" s="582"/>
      <c r="U31" s="582"/>
      <c r="V31" s="582"/>
      <c r="W31" s="582"/>
      <c r="X31" s="582"/>
      <c r="Y31" s="582"/>
      <c r="Z31" s="582"/>
      <c r="AA31" s="582"/>
      <c r="AB31" s="582"/>
      <c r="AC31" s="583"/>
      <c r="AD31" s="190"/>
      <c r="AE31" s="30"/>
      <c r="AF31" s="194" t="str">
        <f>IF(Roster!$L$1=0,"",Roster!$L$1)</f>
        <v>ST</v>
      </c>
      <c r="AG31" s="195"/>
      <c r="AH31" s="581"/>
      <c r="AI31" s="582"/>
      <c r="AJ31" s="582"/>
      <c r="AK31" s="582"/>
      <c r="AL31" s="582"/>
      <c r="AM31" s="582"/>
      <c r="AN31" s="582"/>
      <c r="AO31" s="582"/>
      <c r="AP31" s="582"/>
      <c r="AQ31" s="582"/>
      <c r="AR31" s="583"/>
      <c r="AS31" s="190"/>
      <c r="AT31" s="30"/>
      <c r="AU31" s="194" t="str">
        <f>IF(Roster!$L$1=0,"",Roster!$L$1)</f>
        <v>ST</v>
      </c>
      <c r="AV31" s="195"/>
      <c r="AW31" s="581"/>
      <c r="AX31" s="582"/>
      <c r="AY31" s="582"/>
      <c r="AZ31" s="582"/>
      <c r="BA31" s="582"/>
      <c r="BB31" s="582"/>
      <c r="BC31" s="582"/>
      <c r="BD31" s="582"/>
      <c r="BE31" s="582"/>
      <c r="BF31" s="582"/>
      <c r="BG31" s="583"/>
      <c r="BH31" s="190"/>
    </row>
    <row r="32" spans="1:60" s="31" customFormat="1" ht="37.5" customHeight="1">
      <c r="A32" s="30"/>
      <c r="B32" s="197">
        <f>IF(Roster!$L$5=0,"",Roster!$L$5)</f>
        <v>2</v>
      </c>
      <c r="C32" s="195"/>
      <c r="D32" s="581"/>
      <c r="E32" s="582"/>
      <c r="F32" s="582"/>
      <c r="G32" s="582"/>
      <c r="H32" s="582"/>
      <c r="I32" s="582"/>
      <c r="J32" s="582"/>
      <c r="K32" s="582"/>
      <c r="L32" s="582"/>
      <c r="M32" s="582"/>
      <c r="N32" s="583"/>
      <c r="O32" s="190"/>
      <c r="P32" s="30"/>
      <c r="Q32" s="197">
        <f>IF(Roster!$L$6=0,"",Roster!$L$6)</f>
        <v>2</v>
      </c>
      <c r="R32" s="195"/>
      <c r="S32" s="581"/>
      <c r="T32" s="582"/>
      <c r="U32" s="582"/>
      <c r="V32" s="582"/>
      <c r="W32" s="582"/>
      <c r="X32" s="582"/>
      <c r="Y32" s="582"/>
      <c r="Z32" s="582"/>
      <c r="AA32" s="582"/>
      <c r="AB32" s="582"/>
      <c r="AC32" s="583"/>
      <c r="AD32" s="190"/>
      <c r="AE32" s="30"/>
      <c r="AF32" s="197">
        <f>IF(Roster!$L$7=0,"",Roster!$L$7)</f>
        <v>2</v>
      </c>
      <c r="AG32" s="195"/>
      <c r="AH32" s="581"/>
      <c r="AI32" s="582"/>
      <c r="AJ32" s="582"/>
      <c r="AK32" s="582"/>
      <c r="AL32" s="582"/>
      <c r="AM32" s="582"/>
      <c r="AN32" s="582"/>
      <c r="AO32" s="582"/>
      <c r="AP32" s="582"/>
      <c r="AQ32" s="582"/>
      <c r="AR32" s="583"/>
      <c r="AS32" s="190"/>
      <c r="AT32" s="30"/>
      <c r="AU32" s="197">
        <f>IF(Roster!$L$8=0,"",Roster!$L$8)</f>
        <v>2</v>
      </c>
      <c r="AV32" s="195"/>
      <c r="AW32" s="581"/>
      <c r="AX32" s="582"/>
      <c r="AY32" s="582"/>
      <c r="AZ32" s="582"/>
      <c r="BA32" s="582"/>
      <c r="BB32" s="582"/>
      <c r="BC32" s="582"/>
      <c r="BD32" s="582"/>
      <c r="BE32" s="582"/>
      <c r="BF32" s="582"/>
      <c r="BG32" s="583"/>
      <c r="BH32" s="190"/>
    </row>
    <row r="33" spans="1:60" s="31" customFormat="1" ht="11.25" customHeight="1">
      <c r="A33" s="30"/>
      <c r="B33" s="194" t="str">
        <f>IF(Roster!$M$1=0,"",Roster!$M$1)</f>
        <v>AG</v>
      </c>
      <c r="C33" s="195"/>
      <c r="D33" s="581"/>
      <c r="E33" s="582"/>
      <c r="F33" s="582"/>
      <c r="G33" s="582"/>
      <c r="H33" s="582"/>
      <c r="I33" s="582"/>
      <c r="J33" s="582"/>
      <c r="K33" s="582"/>
      <c r="L33" s="582"/>
      <c r="M33" s="582"/>
      <c r="N33" s="583"/>
      <c r="O33" s="190"/>
      <c r="P33" s="30"/>
      <c r="Q33" s="194" t="str">
        <f>IF(Roster!$M$1=0,"",Roster!$M$1)</f>
        <v>AG</v>
      </c>
      <c r="R33" s="195"/>
      <c r="S33" s="581"/>
      <c r="T33" s="582"/>
      <c r="U33" s="582"/>
      <c r="V33" s="582"/>
      <c r="W33" s="582"/>
      <c r="X33" s="582"/>
      <c r="Y33" s="582"/>
      <c r="Z33" s="582"/>
      <c r="AA33" s="582"/>
      <c r="AB33" s="582"/>
      <c r="AC33" s="583"/>
      <c r="AD33" s="190"/>
      <c r="AE33" s="30"/>
      <c r="AF33" s="194" t="str">
        <f>IF(Roster!$M$1=0,"",Roster!$M$1)</f>
        <v>AG</v>
      </c>
      <c r="AG33" s="195"/>
      <c r="AH33" s="581"/>
      <c r="AI33" s="582"/>
      <c r="AJ33" s="582"/>
      <c r="AK33" s="582"/>
      <c r="AL33" s="582"/>
      <c r="AM33" s="582"/>
      <c r="AN33" s="582"/>
      <c r="AO33" s="582"/>
      <c r="AP33" s="582"/>
      <c r="AQ33" s="582"/>
      <c r="AR33" s="583"/>
      <c r="AS33" s="190"/>
      <c r="AT33" s="30"/>
      <c r="AU33" s="194" t="str">
        <f>IF(Roster!$M$1=0,"",Roster!$M$1)</f>
        <v>AG</v>
      </c>
      <c r="AV33" s="195"/>
      <c r="AW33" s="581"/>
      <c r="AX33" s="582"/>
      <c r="AY33" s="582"/>
      <c r="AZ33" s="582"/>
      <c r="BA33" s="582"/>
      <c r="BB33" s="582"/>
      <c r="BC33" s="582"/>
      <c r="BD33" s="582"/>
      <c r="BE33" s="582"/>
      <c r="BF33" s="582"/>
      <c r="BG33" s="583"/>
      <c r="BH33" s="190"/>
    </row>
    <row r="34" spans="1:60" s="31" customFormat="1" ht="37.5" customHeight="1">
      <c r="A34" s="30"/>
      <c r="B34" s="197" t="str">
        <f>IF(Roster!$M$5=0&amp;"+","",Roster!$M$5)</f>
        <v>3+</v>
      </c>
      <c r="C34" s="195"/>
      <c r="D34" s="581"/>
      <c r="E34" s="582"/>
      <c r="F34" s="582"/>
      <c r="G34" s="582"/>
      <c r="H34" s="582"/>
      <c r="I34" s="582"/>
      <c r="J34" s="582"/>
      <c r="K34" s="582"/>
      <c r="L34" s="582"/>
      <c r="M34" s="582"/>
      <c r="N34" s="583"/>
      <c r="O34" s="190"/>
      <c r="P34" s="30"/>
      <c r="Q34" s="197" t="str">
        <f>IF(Roster!$M$6=0&amp;"+","",Roster!$M$6)</f>
        <v>3+</v>
      </c>
      <c r="R34" s="195"/>
      <c r="S34" s="581"/>
      <c r="T34" s="582"/>
      <c r="U34" s="582"/>
      <c r="V34" s="582"/>
      <c r="W34" s="582"/>
      <c r="X34" s="582"/>
      <c r="Y34" s="582"/>
      <c r="Z34" s="582"/>
      <c r="AA34" s="582"/>
      <c r="AB34" s="582"/>
      <c r="AC34" s="583"/>
      <c r="AD34" s="190"/>
      <c r="AE34" s="30"/>
      <c r="AF34" s="197" t="str">
        <f>IF(Roster!$M$7=0&amp;"+","",Roster!$M$7)</f>
        <v>3+</v>
      </c>
      <c r="AG34" s="195"/>
      <c r="AH34" s="581"/>
      <c r="AI34" s="582"/>
      <c r="AJ34" s="582"/>
      <c r="AK34" s="582"/>
      <c r="AL34" s="582"/>
      <c r="AM34" s="582"/>
      <c r="AN34" s="582"/>
      <c r="AO34" s="582"/>
      <c r="AP34" s="582"/>
      <c r="AQ34" s="582"/>
      <c r="AR34" s="583"/>
      <c r="AS34" s="190"/>
      <c r="AT34" s="30"/>
      <c r="AU34" s="197" t="str">
        <f>IF(Roster!$M$8=0&amp;"+","",Roster!$M$8)</f>
        <v>3+</v>
      </c>
      <c r="AV34" s="195"/>
      <c r="AW34" s="581"/>
      <c r="AX34" s="582"/>
      <c r="AY34" s="582"/>
      <c r="AZ34" s="582"/>
      <c r="BA34" s="582"/>
      <c r="BB34" s="582"/>
      <c r="BC34" s="582"/>
      <c r="BD34" s="582"/>
      <c r="BE34" s="582"/>
      <c r="BF34" s="582"/>
      <c r="BG34" s="583"/>
      <c r="BH34" s="190"/>
    </row>
    <row r="35" spans="1:60" s="31" customFormat="1" ht="11.25" customHeight="1">
      <c r="A35" s="30"/>
      <c r="B35" s="194" t="str">
        <f>IF(Roster!$N$1=0,"",Roster!$N$1)</f>
        <v>PA</v>
      </c>
      <c r="C35" s="195"/>
      <c r="D35" s="581"/>
      <c r="E35" s="582"/>
      <c r="F35" s="582"/>
      <c r="G35" s="582"/>
      <c r="H35" s="582"/>
      <c r="I35" s="582"/>
      <c r="J35" s="582"/>
      <c r="K35" s="582"/>
      <c r="L35" s="582"/>
      <c r="M35" s="582"/>
      <c r="N35" s="583"/>
      <c r="O35" s="199"/>
      <c r="P35" s="30"/>
      <c r="Q35" s="194" t="str">
        <f>IF(Roster!$N$1=0,"",Roster!$N$1)</f>
        <v>PA</v>
      </c>
      <c r="R35" s="195"/>
      <c r="S35" s="581"/>
      <c r="T35" s="582"/>
      <c r="U35" s="582"/>
      <c r="V35" s="582"/>
      <c r="W35" s="582"/>
      <c r="X35" s="582"/>
      <c r="Y35" s="582"/>
      <c r="Z35" s="582"/>
      <c r="AA35" s="582"/>
      <c r="AB35" s="582"/>
      <c r="AC35" s="583"/>
      <c r="AD35" s="199"/>
      <c r="AE35" s="30"/>
      <c r="AF35" s="194" t="str">
        <f>IF(Roster!$N$1=0,"",Roster!$N$1)</f>
        <v>PA</v>
      </c>
      <c r="AG35" s="195"/>
      <c r="AH35" s="581"/>
      <c r="AI35" s="582"/>
      <c r="AJ35" s="582"/>
      <c r="AK35" s="582"/>
      <c r="AL35" s="582"/>
      <c r="AM35" s="582"/>
      <c r="AN35" s="582"/>
      <c r="AO35" s="582"/>
      <c r="AP35" s="582"/>
      <c r="AQ35" s="582"/>
      <c r="AR35" s="583"/>
      <c r="AS35" s="199"/>
      <c r="AT35" s="30"/>
      <c r="AU35" s="194" t="str">
        <f>IF(Roster!$N$1=0,"",Roster!$N$1)</f>
        <v>PA</v>
      </c>
      <c r="AV35" s="195"/>
      <c r="AW35" s="581"/>
      <c r="AX35" s="582"/>
      <c r="AY35" s="582"/>
      <c r="AZ35" s="582"/>
      <c r="BA35" s="582"/>
      <c r="BB35" s="582"/>
      <c r="BC35" s="582"/>
      <c r="BD35" s="582"/>
      <c r="BE35" s="582"/>
      <c r="BF35" s="582"/>
      <c r="BG35" s="583"/>
      <c r="BH35" s="199"/>
    </row>
    <row r="36" spans="1:60" s="31" customFormat="1" ht="6" customHeight="1">
      <c r="A36" s="30"/>
      <c r="B36" s="571" t="str">
        <f>IF(Roster!$N$5=0&amp;"+","",Roster!$N$5)</f>
        <v>6+</v>
      </c>
      <c r="C36" s="195"/>
      <c r="D36" s="584"/>
      <c r="E36" s="585"/>
      <c r="F36" s="585"/>
      <c r="G36" s="585"/>
      <c r="H36" s="585"/>
      <c r="I36" s="585"/>
      <c r="J36" s="585"/>
      <c r="K36" s="585"/>
      <c r="L36" s="585"/>
      <c r="M36" s="585"/>
      <c r="N36" s="586"/>
      <c r="O36" s="201"/>
      <c r="P36" s="30"/>
      <c r="Q36" s="571" t="str">
        <f>IF(Roster!$N$6=0&amp;"+","",Roster!$N$6)</f>
        <v>5+</v>
      </c>
      <c r="R36" s="195"/>
      <c r="S36" s="584"/>
      <c r="T36" s="585"/>
      <c r="U36" s="585"/>
      <c r="V36" s="585"/>
      <c r="W36" s="585"/>
      <c r="X36" s="585"/>
      <c r="Y36" s="585"/>
      <c r="Z36" s="585"/>
      <c r="AA36" s="585"/>
      <c r="AB36" s="585"/>
      <c r="AC36" s="586"/>
      <c r="AD36" s="201"/>
      <c r="AE36" s="30"/>
      <c r="AF36" s="571" t="str">
        <f>IF(Roster!$N$7=0&amp;"+","",Roster!$N$7)</f>
        <v>6+</v>
      </c>
      <c r="AG36" s="195"/>
      <c r="AH36" s="584"/>
      <c r="AI36" s="585"/>
      <c r="AJ36" s="585"/>
      <c r="AK36" s="585"/>
      <c r="AL36" s="585"/>
      <c r="AM36" s="585"/>
      <c r="AN36" s="585"/>
      <c r="AO36" s="585"/>
      <c r="AP36" s="585"/>
      <c r="AQ36" s="585"/>
      <c r="AR36" s="586"/>
      <c r="AS36" s="201"/>
      <c r="AT36" s="30"/>
      <c r="AU36" s="571" t="str">
        <f>IF(Roster!$N$8=0&amp;"+","",Roster!$N$8)</f>
        <v>4+</v>
      </c>
      <c r="AV36" s="195"/>
      <c r="AW36" s="584"/>
      <c r="AX36" s="585"/>
      <c r="AY36" s="585"/>
      <c r="AZ36" s="585"/>
      <c r="BA36" s="585"/>
      <c r="BB36" s="585"/>
      <c r="BC36" s="585"/>
      <c r="BD36" s="585"/>
      <c r="BE36" s="585"/>
      <c r="BF36" s="585"/>
      <c r="BG36" s="586"/>
      <c r="BH36" s="201"/>
    </row>
    <row r="37" spans="1:60" s="31" customFormat="1" ht="4.5" customHeight="1">
      <c r="A37" s="30"/>
      <c r="B37" s="572"/>
      <c r="C37" s="193"/>
      <c r="D37" s="202"/>
      <c r="E37" s="200"/>
      <c r="F37" s="202"/>
      <c r="G37" s="200"/>
      <c r="H37" s="202"/>
      <c r="I37" s="200"/>
      <c r="J37" s="202"/>
      <c r="K37" s="200"/>
      <c r="L37" s="202"/>
      <c r="M37" s="200"/>
      <c r="N37" s="202"/>
      <c r="O37" s="201"/>
      <c r="P37" s="30"/>
      <c r="Q37" s="572"/>
      <c r="R37" s="193"/>
      <c r="S37" s="202"/>
      <c r="T37" s="200"/>
      <c r="U37" s="202"/>
      <c r="V37" s="200"/>
      <c r="W37" s="202"/>
      <c r="X37" s="200"/>
      <c r="Y37" s="202"/>
      <c r="Z37" s="200"/>
      <c r="AA37" s="202"/>
      <c r="AB37" s="200"/>
      <c r="AC37" s="202"/>
      <c r="AD37" s="201"/>
      <c r="AE37" s="30"/>
      <c r="AF37" s="572"/>
      <c r="AG37" s="193"/>
      <c r="AH37" s="202"/>
      <c r="AI37" s="200"/>
      <c r="AJ37" s="202"/>
      <c r="AK37" s="200"/>
      <c r="AL37" s="202"/>
      <c r="AM37" s="200"/>
      <c r="AN37" s="202"/>
      <c r="AO37" s="200"/>
      <c r="AP37" s="202"/>
      <c r="AQ37" s="200"/>
      <c r="AR37" s="202"/>
      <c r="AS37" s="201"/>
      <c r="AT37" s="30"/>
      <c r="AU37" s="572"/>
      <c r="AV37" s="193"/>
      <c r="AW37" s="202"/>
      <c r="AX37" s="200"/>
      <c r="AY37" s="202"/>
      <c r="AZ37" s="200"/>
      <c r="BA37" s="202"/>
      <c r="BB37" s="200"/>
      <c r="BC37" s="202"/>
      <c r="BD37" s="200"/>
      <c r="BE37" s="202"/>
      <c r="BF37" s="200"/>
      <c r="BG37" s="202"/>
      <c r="BH37" s="201"/>
    </row>
    <row r="38" spans="1:60" s="31" customFormat="1" ht="11.25" customHeight="1">
      <c r="A38" s="30"/>
      <c r="B38" s="57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7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7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7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72"/>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72"/>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72"/>
      <c r="AG39" s="196"/>
      <c r="AH39" s="235">
        <f>IF(Roster!$AD$7=0,"",Roster!$AD$7)</f>
        <v>1</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7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445"/>
      <c r="C40" s="196"/>
      <c r="D40" s="231"/>
      <c r="E40" s="230"/>
      <c r="F40" s="231"/>
      <c r="G40" s="230"/>
      <c r="H40" s="231"/>
      <c r="I40" s="230"/>
      <c r="J40" s="231"/>
      <c r="K40" s="230"/>
      <c r="L40" s="231"/>
      <c r="M40" s="230"/>
      <c r="N40" s="231"/>
      <c r="O40" s="201"/>
      <c r="P40" s="30"/>
      <c r="Q40" s="445"/>
      <c r="R40" s="196"/>
      <c r="S40" s="231"/>
      <c r="T40" s="230"/>
      <c r="U40" s="231"/>
      <c r="V40" s="230"/>
      <c r="W40" s="231"/>
      <c r="X40" s="230"/>
      <c r="Y40" s="231"/>
      <c r="Z40" s="230"/>
      <c r="AA40" s="231"/>
      <c r="AB40" s="230"/>
      <c r="AC40" s="231"/>
      <c r="AD40" s="201"/>
      <c r="AE40" s="30"/>
      <c r="AF40" s="445"/>
      <c r="AG40" s="196"/>
      <c r="AH40" s="231"/>
      <c r="AI40" s="230"/>
      <c r="AJ40" s="231"/>
      <c r="AK40" s="230"/>
      <c r="AL40" s="231"/>
      <c r="AM40" s="230"/>
      <c r="AN40" s="231"/>
      <c r="AO40" s="230"/>
      <c r="AP40" s="231"/>
      <c r="AQ40" s="230"/>
      <c r="AR40" s="231"/>
      <c r="AS40" s="201"/>
      <c r="AT40" s="30"/>
      <c r="AU40" s="445"/>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71" t="str">
        <f>IF(Roster!$O$5=0&amp;"+","",Roster!$O$5)</f>
        <v>8+</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71" t="str">
        <f>IF(Roster!$O$6=0&amp;"+","",Roster!$O$6)</f>
        <v>8+</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71" t="str">
        <f>IF(Roster!$O$7=0&amp;"+","",Roster!$O$7)</f>
        <v>8+</v>
      </c>
      <c r="AG42" s="196"/>
      <c r="AH42" s="235" t="str">
        <f>IF(Roster!$AE$7=0,"",Roster!$AE$7)</f>
        <v/>
      </c>
      <c r="AI42" s="230"/>
      <c r="AJ42" s="235" t="str">
        <f>IF(Roster!$AF$7=0,"",Roster!$AF$7)</f>
        <v/>
      </c>
      <c r="AK42" s="230"/>
      <c r="AL42" s="235" t="str">
        <f>IF(Roster!$AB$7=0,"",Roster!$AB$7)</f>
        <v/>
      </c>
      <c r="AM42" s="230"/>
      <c r="AN42" s="235" t="str">
        <f>IF(Roster!$AJ$7=0,"",Roster!$AJ$7)</f>
        <v/>
      </c>
      <c r="AO42" s="230"/>
      <c r="AP42" s="235">
        <f>IF(Roster!$AK$7=0,"",Roster!$AK$7)</f>
        <v>3</v>
      </c>
      <c r="AQ42" s="230"/>
      <c r="AR42" s="235" t="str">
        <f>IF(Roster!$AA$7=0,"",Roster!$AA$7)</f>
        <v/>
      </c>
      <c r="AS42" s="203"/>
      <c r="AT42" s="30"/>
      <c r="AU42" s="571"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72"/>
      <c r="C43" s="196"/>
      <c r="D43" s="230"/>
      <c r="E43" s="230"/>
      <c r="F43" s="230"/>
      <c r="G43" s="230"/>
      <c r="H43" s="230"/>
      <c r="I43" s="230"/>
      <c r="J43" s="230"/>
      <c r="K43" s="230"/>
      <c r="L43" s="230"/>
      <c r="M43" s="230"/>
      <c r="N43" s="233"/>
      <c r="O43" s="203"/>
      <c r="P43" s="30"/>
      <c r="Q43" s="572"/>
      <c r="R43" s="196"/>
      <c r="S43" s="230"/>
      <c r="T43" s="230"/>
      <c r="U43" s="230"/>
      <c r="V43" s="230"/>
      <c r="W43" s="230"/>
      <c r="X43" s="230"/>
      <c r="Y43" s="230"/>
      <c r="Z43" s="230"/>
      <c r="AA43" s="230"/>
      <c r="AB43" s="230"/>
      <c r="AC43" s="233"/>
      <c r="AD43" s="203"/>
      <c r="AE43" s="30"/>
      <c r="AF43" s="572"/>
      <c r="AG43" s="196"/>
      <c r="AH43" s="230"/>
      <c r="AI43" s="230"/>
      <c r="AJ43" s="230"/>
      <c r="AK43" s="230"/>
      <c r="AL43" s="230"/>
      <c r="AM43" s="230"/>
      <c r="AN43" s="230"/>
      <c r="AO43" s="230"/>
      <c r="AP43" s="230"/>
      <c r="AQ43" s="230"/>
      <c r="AR43" s="233"/>
      <c r="AS43" s="203"/>
      <c r="AT43" s="30"/>
      <c r="AU43" s="572"/>
      <c r="AV43" s="196"/>
      <c r="AW43" s="230"/>
      <c r="AX43" s="230"/>
      <c r="AY43" s="230"/>
      <c r="AZ43" s="230"/>
      <c r="BA43" s="230"/>
      <c r="BB43" s="230"/>
      <c r="BC43" s="230"/>
      <c r="BD43" s="230"/>
      <c r="BE43" s="230"/>
      <c r="BF43" s="230"/>
      <c r="BG43" s="233"/>
      <c r="BH43" s="203"/>
    </row>
    <row r="44" spans="1:60" s="31" customFormat="1" ht="11.25" customHeight="1">
      <c r="A44" s="30"/>
      <c r="B44" s="572"/>
      <c r="C44" s="196"/>
      <c r="D44" s="568" t="str">
        <f>IF(Roster!$K$25="Italiano","ABILITÀ &amp; TRATTI",(IF(Roster!$K$25="Español","HABILIDADES Y RASGOS","SKILLS &amp; TRAITS")))</f>
        <v>SKILLS &amp; TRAITS</v>
      </c>
      <c r="E44" s="569"/>
      <c r="F44" s="569"/>
      <c r="G44" s="569"/>
      <c r="H44" s="569"/>
      <c r="I44" s="569"/>
      <c r="J44" s="569"/>
      <c r="K44" s="569"/>
      <c r="L44" s="569"/>
      <c r="M44" s="569"/>
      <c r="N44" s="570"/>
      <c r="O44" s="203"/>
      <c r="P44" s="30"/>
      <c r="Q44" s="572"/>
      <c r="R44" s="196"/>
      <c r="S44" s="568" t="str">
        <f>IF(Roster!$K$25="Italiano","ABILITÀ &amp; TRATTI",(IF(Roster!$K$25="Español","HABILIDADES Y RASGOS","SKILLS &amp; TRAITS")))</f>
        <v>SKILLS &amp; TRAITS</v>
      </c>
      <c r="T44" s="569"/>
      <c r="U44" s="569"/>
      <c r="V44" s="569"/>
      <c r="W44" s="569"/>
      <c r="X44" s="569"/>
      <c r="Y44" s="569"/>
      <c r="Z44" s="569"/>
      <c r="AA44" s="569"/>
      <c r="AB44" s="569"/>
      <c r="AC44" s="570"/>
      <c r="AD44" s="203"/>
      <c r="AE44" s="30"/>
      <c r="AF44" s="572"/>
      <c r="AG44" s="196"/>
      <c r="AH44" s="568" t="str">
        <f>IF(Roster!$K$25="Italiano","ABILITÀ &amp; TRATTI",(IF(Roster!$K$25="Español","HABILIDADES Y RASGOS","SKILLS &amp; TRAITS")))</f>
        <v>SKILLS &amp; TRAITS</v>
      </c>
      <c r="AI44" s="569"/>
      <c r="AJ44" s="569"/>
      <c r="AK44" s="569"/>
      <c r="AL44" s="569"/>
      <c r="AM44" s="569"/>
      <c r="AN44" s="569"/>
      <c r="AO44" s="569"/>
      <c r="AP44" s="569"/>
      <c r="AQ44" s="569"/>
      <c r="AR44" s="570"/>
      <c r="AS44" s="203"/>
      <c r="AT44" s="30"/>
      <c r="AU44" s="572"/>
      <c r="AV44" s="196"/>
      <c r="AW44" s="568" t="str">
        <f>IF(Roster!$K$25="Italiano","ABILITÀ &amp; TRATTI",(IF(Roster!$K$25="Español","HABILIDADES Y RASGOS","SKILLS &amp; TRAITS")))</f>
        <v>SKILLS &amp; TRAITS</v>
      </c>
      <c r="AX44" s="569"/>
      <c r="AY44" s="569"/>
      <c r="AZ44" s="569"/>
      <c r="BA44" s="569"/>
      <c r="BB44" s="569"/>
      <c r="BC44" s="569"/>
      <c r="BD44" s="569"/>
      <c r="BE44" s="569"/>
      <c r="BF44" s="569"/>
      <c r="BG44" s="570"/>
      <c r="BH44" s="203"/>
    </row>
    <row r="45" spans="1:60" s="31" customFormat="1" ht="6.75" customHeight="1">
      <c r="A45" s="30"/>
      <c r="B45" s="445"/>
      <c r="C45" s="196"/>
      <c r="D45" s="561" t="str">
        <f>IF(Roster!$P$5=0&amp;AQ56,"",Roster!$P$5)</f>
        <v>Dirty Player (+1), Disturbing Presence, Dodge, Right Stuff, Stunty</v>
      </c>
      <c r="E45" s="541"/>
      <c r="F45" s="541"/>
      <c r="G45" s="541"/>
      <c r="H45" s="541"/>
      <c r="I45" s="541"/>
      <c r="J45" s="541"/>
      <c r="K45" s="541"/>
      <c r="L45" s="541"/>
      <c r="M45" s="541"/>
      <c r="N45" s="562"/>
      <c r="O45" s="203"/>
      <c r="P45" s="30"/>
      <c r="Q45" s="445"/>
      <c r="R45" s="196"/>
      <c r="S45" s="561" t="str">
        <f>IF(Roster!$P$6=0&amp;BF66,"",Roster!$P$6)</f>
        <v>Dodge, Pogo Stick, Stunty</v>
      </c>
      <c r="T45" s="541"/>
      <c r="U45" s="541"/>
      <c r="V45" s="541"/>
      <c r="W45" s="541"/>
      <c r="X45" s="541"/>
      <c r="Y45" s="541"/>
      <c r="Z45" s="541"/>
      <c r="AA45" s="541"/>
      <c r="AB45" s="541"/>
      <c r="AC45" s="562"/>
      <c r="AD45" s="203"/>
      <c r="AE45" s="30"/>
      <c r="AF45" s="445"/>
      <c r="AG45" s="196"/>
      <c r="AH45" s="561" t="str">
        <f>IF(Roster!$P$7=0&amp;BU76,"",Roster!$P$7)</f>
        <v>Right Stuff, Stunty, Swoop</v>
      </c>
      <c r="AI45" s="541"/>
      <c r="AJ45" s="541"/>
      <c r="AK45" s="541"/>
      <c r="AL45" s="541"/>
      <c r="AM45" s="541"/>
      <c r="AN45" s="541"/>
      <c r="AO45" s="541"/>
      <c r="AP45" s="541"/>
      <c r="AQ45" s="541"/>
      <c r="AR45" s="562"/>
      <c r="AS45" s="203"/>
      <c r="AT45" s="30"/>
      <c r="AU45" s="445"/>
      <c r="AV45" s="196"/>
      <c r="AW45" s="561" t="str">
        <f>IF(Roster!$P$8=0&amp;CJ86,"",Roster!$P$8)</f>
        <v>Dodge, Right Stuff, Stunty</v>
      </c>
      <c r="AX45" s="541"/>
      <c r="AY45" s="541"/>
      <c r="AZ45" s="541"/>
      <c r="BA45" s="541"/>
      <c r="BB45" s="541"/>
      <c r="BC45" s="541"/>
      <c r="BD45" s="541"/>
      <c r="BE45" s="541"/>
      <c r="BF45" s="541"/>
      <c r="BG45" s="562"/>
      <c r="BH45" s="203"/>
    </row>
    <row r="46" spans="1:60" s="31" customFormat="1" ht="11.25" customHeight="1">
      <c r="A46" s="30"/>
      <c r="B46" s="194" t="str">
        <f>IF(Roster!$AO$1=0,"",Roster!$AO$1)</f>
        <v>COST</v>
      </c>
      <c r="C46" s="195"/>
      <c r="D46" s="563"/>
      <c r="E46" s="564"/>
      <c r="F46" s="564"/>
      <c r="G46" s="564"/>
      <c r="H46" s="564"/>
      <c r="I46" s="564"/>
      <c r="J46" s="564"/>
      <c r="K46" s="564"/>
      <c r="L46" s="564"/>
      <c r="M46" s="564"/>
      <c r="N46" s="562"/>
      <c r="O46" s="206"/>
      <c r="P46" s="30"/>
      <c r="Q46" s="194" t="str">
        <f>IF(Roster!$AO$1=0,"",Roster!$AO$1)</f>
        <v>COST</v>
      </c>
      <c r="R46" s="195"/>
      <c r="S46" s="563"/>
      <c r="T46" s="564"/>
      <c r="U46" s="564"/>
      <c r="V46" s="564"/>
      <c r="W46" s="564"/>
      <c r="X46" s="564"/>
      <c r="Y46" s="564"/>
      <c r="Z46" s="564"/>
      <c r="AA46" s="564"/>
      <c r="AB46" s="564"/>
      <c r="AC46" s="562"/>
      <c r="AD46" s="206"/>
      <c r="AE46" s="30"/>
      <c r="AF46" s="194" t="str">
        <f>IF(Roster!$AO$1=0,"",Roster!$AO$1)</f>
        <v>COST</v>
      </c>
      <c r="AG46" s="195"/>
      <c r="AH46" s="563"/>
      <c r="AI46" s="564"/>
      <c r="AJ46" s="564"/>
      <c r="AK46" s="564"/>
      <c r="AL46" s="564"/>
      <c r="AM46" s="564"/>
      <c r="AN46" s="564"/>
      <c r="AO46" s="564"/>
      <c r="AP46" s="564"/>
      <c r="AQ46" s="564"/>
      <c r="AR46" s="562"/>
      <c r="AS46" s="206"/>
      <c r="AT46" s="30"/>
      <c r="AU46" s="194" t="str">
        <f>IF(Roster!$AO$1=0,"",Roster!$AO$1)</f>
        <v>COST</v>
      </c>
      <c r="AV46" s="195"/>
      <c r="AW46" s="563"/>
      <c r="AX46" s="564"/>
      <c r="AY46" s="564"/>
      <c r="AZ46" s="564"/>
      <c r="BA46" s="564"/>
      <c r="BB46" s="564"/>
      <c r="BC46" s="564"/>
      <c r="BD46" s="564"/>
      <c r="BE46" s="564"/>
      <c r="BF46" s="564"/>
      <c r="BG46" s="562"/>
      <c r="BH46" s="206"/>
    </row>
    <row r="47" spans="1:60" s="31" customFormat="1" ht="34.5" customHeight="1">
      <c r="A47" s="30"/>
      <c r="B47" s="208">
        <f>IF(Roster!$AO$5=0,"",Roster!$AO$5)</f>
        <v>65000</v>
      </c>
      <c r="C47" s="209"/>
      <c r="D47" s="565"/>
      <c r="E47" s="566"/>
      <c r="F47" s="566"/>
      <c r="G47" s="566"/>
      <c r="H47" s="566"/>
      <c r="I47" s="566"/>
      <c r="J47" s="566"/>
      <c r="K47" s="566"/>
      <c r="L47" s="566"/>
      <c r="M47" s="566"/>
      <c r="N47" s="567"/>
      <c r="O47" s="206"/>
      <c r="P47" s="30"/>
      <c r="Q47" s="208">
        <f>IF(Roster!$AO$6=0,"",Roster!$AO$6)</f>
        <v>75000</v>
      </c>
      <c r="R47" s="209"/>
      <c r="S47" s="565"/>
      <c r="T47" s="566"/>
      <c r="U47" s="566"/>
      <c r="V47" s="566"/>
      <c r="W47" s="566"/>
      <c r="X47" s="566"/>
      <c r="Y47" s="566"/>
      <c r="Z47" s="566"/>
      <c r="AA47" s="566"/>
      <c r="AB47" s="566"/>
      <c r="AC47" s="567"/>
      <c r="AD47" s="206"/>
      <c r="AE47" s="30"/>
      <c r="AF47" s="208">
        <f>IF(Roster!$AO$7=0,"",Roster!$AO$7)</f>
        <v>60000</v>
      </c>
      <c r="AG47" s="209"/>
      <c r="AH47" s="565"/>
      <c r="AI47" s="566"/>
      <c r="AJ47" s="566"/>
      <c r="AK47" s="566"/>
      <c r="AL47" s="566"/>
      <c r="AM47" s="566"/>
      <c r="AN47" s="566"/>
      <c r="AO47" s="566"/>
      <c r="AP47" s="566"/>
      <c r="AQ47" s="566"/>
      <c r="AR47" s="567"/>
      <c r="AS47" s="206"/>
      <c r="AT47" s="30"/>
      <c r="AU47" s="208">
        <f>IF(Roster!$AO$8=0,"",Roster!$AO$8)</f>
        <v>40000</v>
      </c>
      <c r="AV47" s="209"/>
      <c r="AW47" s="565"/>
      <c r="AX47" s="566"/>
      <c r="AY47" s="566"/>
      <c r="AZ47" s="566"/>
      <c r="BA47" s="566"/>
      <c r="BB47" s="566"/>
      <c r="BC47" s="566"/>
      <c r="BD47" s="566"/>
      <c r="BE47" s="566"/>
      <c r="BF47" s="566"/>
      <c r="BG47" s="567"/>
      <c r="BH47" s="206"/>
    </row>
    <row r="48" spans="1:60" s="31" customFormat="1" ht="4.5" customHeight="1">
      <c r="A48" s="30"/>
      <c r="B48" s="573"/>
      <c r="C48" s="375"/>
      <c r="D48" s="375"/>
      <c r="E48" s="375"/>
      <c r="F48" s="375"/>
      <c r="G48" s="375"/>
      <c r="H48" s="375"/>
      <c r="I48" s="375"/>
      <c r="J48" s="375"/>
      <c r="K48" s="375"/>
      <c r="L48" s="375"/>
      <c r="M48" s="375"/>
      <c r="N48" s="376"/>
      <c r="O48" s="210"/>
      <c r="P48" s="30"/>
      <c r="Q48" s="573"/>
      <c r="R48" s="375"/>
      <c r="S48" s="375"/>
      <c r="T48" s="375"/>
      <c r="U48" s="375"/>
      <c r="V48" s="375"/>
      <c r="W48" s="375"/>
      <c r="X48" s="375"/>
      <c r="Y48" s="375"/>
      <c r="Z48" s="375"/>
      <c r="AA48" s="375"/>
      <c r="AB48" s="375"/>
      <c r="AC48" s="376"/>
      <c r="AD48" s="210"/>
      <c r="AE48" s="30"/>
      <c r="AF48" s="573"/>
      <c r="AG48" s="375"/>
      <c r="AH48" s="375"/>
      <c r="AI48" s="375"/>
      <c r="AJ48" s="375"/>
      <c r="AK48" s="375"/>
      <c r="AL48" s="375"/>
      <c r="AM48" s="375"/>
      <c r="AN48" s="375"/>
      <c r="AO48" s="375"/>
      <c r="AP48" s="375"/>
      <c r="AQ48" s="375"/>
      <c r="AR48" s="376"/>
      <c r="AS48" s="210"/>
      <c r="AT48" s="30"/>
      <c r="AU48" s="573"/>
      <c r="AV48" s="375"/>
      <c r="AW48" s="375"/>
      <c r="AX48" s="375"/>
      <c r="AY48" s="375"/>
      <c r="AZ48" s="375"/>
      <c r="BA48" s="375"/>
      <c r="BB48" s="375"/>
      <c r="BC48" s="375"/>
      <c r="BD48" s="375"/>
      <c r="BE48" s="375"/>
      <c r="BF48" s="375"/>
      <c r="BG48" s="376"/>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74" t="str">
        <f>IF(Roster!$A$9=0,"","#"&amp;Roster!$A$9)</f>
        <v>#8</v>
      </c>
      <c r="C50" s="188"/>
      <c r="D50" s="188"/>
      <c r="E50" s="188"/>
      <c r="F50" s="188"/>
      <c r="G50" s="188"/>
      <c r="H50" s="188"/>
      <c r="I50" s="188"/>
      <c r="J50" s="188"/>
      <c r="K50" s="188"/>
      <c r="L50" s="188"/>
      <c r="M50" s="188"/>
      <c r="N50" s="188"/>
      <c r="O50" s="189"/>
      <c r="P50" s="30"/>
      <c r="Q50" s="574" t="str">
        <f>IF(Roster!$A$10=0,"","#"&amp;Roster!$A$10)</f>
        <v>#9</v>
      </c>
      <c r="R50" s="188"/>
      <c r="S50" s="188"/>
      <c r="T50" s="188"/>
      <c r="U50" s="188"/>
      <c r="V50" s="188"/>
      <c r="W50" s="188"/>
      <c r="X50" s="188"/>
      <c r="Y50" s="188"/>
      <c r="Z50" s="188"/>
      <c r="AA50" s="188"/>
      <c r="AB50" s="188"/>
      <c r="AC50" s="188"/>
      <c r="AD50" s="189"/>
      <c r="AE50" s="30"/>
      <c r="AF50" s="574" t="str">
        <f>IF(Roster!$A$11=0,"","#"&amp;Roster!$A$11)</f>
        <v>#10</v>
      </c>
      <c r="AG50" s="188"/>
      <c r="AH50" s="188"/>
      <c r="AI50" s="188"/>
      <c r="AJ50" s="188"/>
      <c r="AK50" s="188"/>
      <c r="AL50" s="188"/>
      <c r="AM50" s="188"/>
      <c r="AN50" s="188"/>
      <c r="AO50" s="188"/>
      <c r="AP50" s="188"/>
      <c r="AQ50" s="188"/>
      <c r="AR50" s="188"/>
      <c r="AS50" s="189"/>
      <c r="AT50" s="30"/>
      <c r="AU50" s="574"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75"/>
      <c r="C51" s="560" t="str">
        <f>IF(Roster!$B$9=0,"",Roster!$B$9)</f>
        <v>Goblino Barberis</v>
      </c>
      <c r="D51" s="484"/>
      <c r="E51" s="484"/>
      <c r="F51" s="484"/>
      <c r="G51" s="484"/>
      <c r="H51" s="484"/>
      <c r="I51" s="484"/>
      <c r="J51" s="484"/>
      <c r="K51" s="484"/>
      <c r="L51" s="484"/>
      <c r="M51" s="484"/>
      <c r="N51" s="485"/>
      <c r="O51" s="190"/>
      <c r="P51" s="30"/>
      <c r="Q51" s="575"/>
      <c r="R51" s="560" t="str">
        <f>IF(Roster!$B$10=0,"",Roster!$B$10)</f>
        <v>Peppino di Kapri</v>
      </c>
      <c r="S51" s="484"/>
      <c r="T51" s="484"/>
      <c r="U51" s="484"/>
      <c r="V51" s="484"/>
      <c r="W51" s="484"/>
      <c r="X51" s="484"/>
      <c r="Y51" s="484"/>
      <c r="Z51" s="484"/>
      <c r="AA51" s="484"/>
      <c r="AB51" s="484"/>
      <c r="AC51" s="485"/>
      <c r="AD51" s="190"/>
      <c r="AE51" s="30"/>
      <c r="AF51" s="575"/>
      <c r="AG51" s="560" t="str">
        <f>IF(Roster!$B$11=0,"",Roster!$B$11)</f>
        <v>Glossano</v>
      </c>
      <c r="AH51" s="484"/>
      <c r="AI51" s="484"/>
      <c r="AJ51" s="484"/>
      <c r="AK51" s="484"/>
      <c r="AL51" s="484"/>
      <c r="AM51" s="484"/>
      <c r="AN51" s="484"/>
      <c r="AO51" s="484"/>
      <c r="AP51" s="484"/>
      <c r="AQ51" s="484"/>
      <c r="AR51" s="485"/>
      <c r="AS51" s="190"/>
      <c r="AT51" s="30"/>
      <c r="AU51" s="575"/>
      <c r="AV51" s="560" t="str">
        <f>IF(Roster!$B$12=0,"",Roster!$B$12)</f>
        <v>Goblano Filogamo</v>
      </c>
      <c r="AW51" s="484"/>
      <c r="AX51" s="484"/>
      <c r="AY51" s="484"/>
      <c r="AZ51" s="484"/>
      <c r="BA51" s="484"/>
      <c r="BB51" s="484"/>
      <c r="BC51" s="484"/>
      <c r="BD51" s="484"/>
      <c r="BE51" s="484"/>
      <c r="BF51" s="484"/>
      <c r="BG51" s="485"/>
      <c r="BH51" s="190"/>
    </row>
    <row r="52" spans="1:60" s="31" customFormat="1" ht="11.25" customHeight="1">
      <c r="A52" s="30"/>
      <c r="B52" s="576"/>
      <c r="C52" s="577" t="str">
        <f>IF(Roster!$D$9=0,"",Roster!$D$9)</f>
        <v>Goblin</v>
      </c>
      <c r="D52" s="484"/>
      <c r="E52" s="484"/>
      <c r="F52" s="484"/>
      <c r="G52" s="484"/>
      <c r="H52" s="484"/>
      <c r="I52" s="484"/>
      <c r="J52" s="484"/>
      <c r="K52" s="484"/>
      <c r="L52" s="484"/>
      <c r="M52" s="484"/>
      <c r="N52" s="485"/>
      <c r="O52" s="191"/>
      <c r="P52" s="30"/>
      <c r="Q52" s="576"/>
      <c r="R52" s="577" t="str">
        <f>IF(Roster!$D$10=0,"",Roster!$D$10)</f>
        <v>Goblin</v>
      </c>
      <c r="S52" s="484"/>
      <c r="T52" s="484"/>
      <c r="U52" s="484"/>
      <c r="V52" s="484"/>
      <c r="W52" s="484"/>
      <c r="X52" s="484"/>
      <c r="Y52" s="484"/>
      <c r="Z52" s="484"/>
      <c r="AA52" s="484"/>
      <c r="AB52" s="484"/>
      <c r="AC52" s="485"/>
      <c r="AD52" s="191"/>
      <c r="AE52" s="30"/>
      <c r="AF52" s="576"/>
      <c r="AG52" s="577" t="str">
        <f>IF(Roster!$D$11=0,"",Roster!$D$11)</f>
        <v>Goblin</v>
      </c>
      <c r="AH52" s="484"/>
      <c r="AI52" s="484"/>
      <c r="AJ52" s="484"/>
      <c r="AK52" s="484"/>
      <c r="AL52" s="484"/>
      <c r="AM52" s="484"/>
      <c r="AN52" s="484"/>
      <c r="AO52" s="484"/>
      <c r="AP52" s="484"/>
      <c r="AQ52" s="484"/>
      <c r="AR52" s="485"/>
      <c r="AS52" s="191"/>
      <c r="AT52" s="30"/>
      <c r="AU52" s="576"/>
      <c r="AV52" s="577" t="str">
        <f>IF(Roster!$D$12=0,"",Roster!$D$12)</f>
        <v>Goblin</v>
      </c>
      <c r="AW52" s="484"/>
      <c r="AX52" s="484"/>
      <c r="AY52" s="484"/>
      <c r="AZ52" s="484"/>
      <c r="BA52" s="484"/>
      <c r="BB52" s="484"/>
      <c r="BC52" s="484"/>
      <c r="BD52" s="484"/>
      <c r="BE52" s="484"/>
      <c r="BF52" s="484"/>
      <c r="BG52" s="485"/>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78"/>
      <c r="E54" s="579"/>
      <c r="F54" s="579"/>
      <c r="G54" s="579"/>
      <c r="H54" s="579"/>
      <c r="I54" s="579"/>
      <c r="J54" s="579"/>
      <c r="K54" s="579"/>
      <c r="L54" s="579"/>
      <c r="M54" s="579"/>
      <c r="N54" s="580"/>
      <c r="O54" s="190"/>
      <c r="P54" s="30"/>
      <c r="Q54" s="197">
        <f>IF(Roster!$K$10=0,"",Roster!$K$10)</f>
        <v>6</v>
      </c>
      <c r="R54" s="195"/>
      <c r="S54" s="578"/>
      <c r="T54" s="579"/>
      <c r="U54" s="579"/>
      <c r="V54" s="579"/>
      <c r="W54" s="579"/>
      <c r="X54" s="579"/>
      <c r="Y54" s="579"/>
      <c r="Z54" s="579"/>
      <c r="AA54" s="579"/>
      <c r="AB54" s="579"/>
      <c r="AC54" s="580"/>
      <c r="AD54" s="190"/>
      <c r="AE54" s="30"/>
      <c r="AF54" s="197">
        <f>IF(Roster!$K$11=0,"",Roster!$K$11)</f>
        <v>6</v>
      </c>
      <c r="AG54" s="195"/>
      <c r="AH54" s="578"/>
      <c r="AI54" s="579"/>
      <c r="AJ54" s="579"/>
      <c r="AK54" s="579"/>
      <c r="AL54" s="579"/>
      <c r="AM54" s="579"/>
      <c r="AN54" s="579"/>
      <c r="AO54" s="579"/>
      <c r="AP54" s="579"/>
      <c r="AQ54" s="579"/>
      <c r="AR54" s="580"/>
      <c r="AS54" s="190"/>
      <c r="AT54" s="30"/>
      <c r="AU54" s="197">
        <f>IF(Roster!$K$12=0,"",Roster!$K$12)</f>
        <v>6</v>
      </c>
      <c r="AV54" s="195"/>
      <c r="AW54" s="578"/>
      <c r="AX54" s="579"/>
      <c r="AY54" s="579"/>
      <c r="AZ54" s="579"/>
      <c r="BA54" s="579"/>
      <c r="BB54" s="579"/>
      <c r="BC54" s="579"/>
      <c r="BD54" s="579"/>
      <c r="BE54" s="579"/>
      <c r="BF54" s="579"/>
      <c r="BG54" s="580"/>
      <c r="BH54" s="190"/>
    </row>
    <row r="55" spans="1:60" s="31" customFormat="1" ht="11.25" customHeight="1">
      <c r="A55" s="30"/>
      <c r="B55" s="194" t="str">
        <f>IF(Roster!$L$1=0,"",Roster!$L$1)</f>
        <v>ST</v>
      </c>
      <c r="C55" s="195"/>
      <c r="D55" s="581"/>
      <c r="E55" s="582"/>
      <c r="F55" s="582"/>
      <c r="G55" s="582"/>
      <c r="H55" s="582"/>
      <c r="I55" s="582"/>
      <c r="J55" s="582"/>
      <c r="K55" s="582"/>
      <c r="L55" s="582"/>
      <c r="M55" s="582"/>
      <c r="N55" s="583"/>
      <c r="O55" s="190"/>
      <c r="P55" s="30"/>
      <c r="Q55" s="194" t="str">
        <f>IF(Roster!$L$1=0,"",Roster!$L$1)</f>
        <v>ST</v>
      </c>
      <c r="R55" s="195"/>
      <c r="S55" s="581"/>
      <c r="T55" s="582"/>
      <c r="U55" s="582"/>
      <c r="V55" s="582"/>
      <c r="W55" s="582"/>
      <c r="X55" s="582"/>
      <c r="Y55" s="582"/>
      <c r="Z55" s="582"/>
      <c r="AA55" s="582"/>
      <c r="AB55" s="582"/>
      <c r="AC55" s="583"/>
      <c r="AD55" s="190"/>
      <c r="AE55" s="30"/>
      <c r="AF55" s="194" t="str">
        <f>IF(Roster!$L$1=0,"",Roster!$L$1)</f>
        <v>ST</v>
      </c>
      <c r="AG55" s="195"/>
      <c r="AH55" s="581"/>
      <c r="AI55" s="582"/>
      <c r="AJ55" s="582"/>
      <c r="AK55" s="582"/>
      <c r="AL55" s="582"/>
      <c r="AM55" s="582"/>
      <c r="AN55" s="582"/>
      <c r="AO55" s="582"/>
      <c r="AP55" s="582"/>
      <c r="AQ55" s="582"/>
      <c r="AR55" s="583"/>
      <c r="AS55" s="190"/>
      <c r="AT55" s="30"/>
      <c r="AU55" s="194" t="str">
        <f>IF(Roster!$L$1=0,"",Roster!$L$1)</f>
        <v>ST</v>
      </c>
      <c r="AV55" s="195"/>
      <c r="AW55" s="581"/>
      <c r="AX55" s="582"/>
      <c r="AY55" s="582"/>
      <c r="AZ55" s="582"/>
      <c r="BA55" s="582"/>
      <c r="BB55" s="582"/>
      <c r="BC55" s="582"/>
      <c r="BD55" s="582"/>
      <c r="BE55" s="582"/>
      <c r="BF55" s="582"/>
      <c r="BG55" s="583"/>
      <c r="BH55" s="190"/>
    </row>
    <row r="56" spans="1:60" s="31" customFormat="1" ht="37.5" customHeight="1">
      <c r="A56" s="30"/>
      <c r="B56" s="197">
        <f>IF(Roster!$L$9=0,"",Roster!$L$9)</f>
        <v>2</v>
      </c>
      <c r="C56" s="195"/>
      <c r="D56" s="581"/>
      <c r="E56" s="582"/>
      <c r="F56" s="582"/>
      <c r="G56" s="582"/>
      <c r="H56" s="582"/>
      <c r="I56" s="582"/>
      <c r="J56" s="582"/>
      <c r="K56" s="582"/>
      <c r="L56" s="582"/>
      <c r="M56" s="582"/>
      <c r="N56" s="583"/>
      <c r="O56" s="190"/>
      <c r="P56" s="30"/>
      <c r="Q56" s="197">
        <f>IF(Roster!$L$10=0,"",Roster!$L$10)</f>
        <v>2</v>
      </c>
      <c r="R56" s="195"/>
      <c r="S56" s="581"/>
      <c r="T56" s="582"/>
      <c r="U56" s="582"/>
      <c r="V56" s="582"/>
      <c r="W56" s="582"/>
      <c r="X56" s="582"/>
      <c r="Y56" s="582"/>
      <c r="Z56" s="582"/>
      <c r="AA56" s="582"/>
      <c r="AB56" s="582"/>
      <c r="AC56" s="583"/>
      <c r="AD56" s="190"/>
      <c r="AE56" s="30"/>
      <c r="AF56" s="197">
        <f>IF(Roster!$L$11=0,"",Roster!$L$11)</f>
        <v>2</v>
      </c>
      <c r="AG56" s="195"/>
      <c r="AH56" s="581"/>
      <c r="AI56" s="582"/>
      <c r="AJ56" s="582"/>
      <c r="AK56" s="582"/>
      <c r="AL56" s="582"/>
      <c r="AM56" s="582"/>
      <c r="AN56" s="582"/>
      <c r="AO56" s="582"/>
      <c r="AP56" s="582"/>
      <c r="AQ56" s="582"/>
      <c r="AR56" s="583"/>
      <c r="AS56" s="190"/>
      <c r="AT56" s="30"/>
      <c r="AU56" s="197">
        <f>IF(Roster!$L$12=0,"",Roster!$L$12)</f>
        <v>2</v>
      </c>
      <c r="AV56" s="195"/>
      <c r="AW56" s="581"/>
      <c r="AX56" s="582"/>
      <c r="AY56" s="582"/>
      <c r="AZ56" s="582"/>
      <c r="BA56" s="582"/>
      <c r="BB56" s="582"/>
      <c r="BC56" s="582"/>
      <c r="BD56" s="582"/>
      <c r="BE56" s="582"/>
      <c r="BF56" s="582"/>
      <c r="BG56" s="583"/>
      <c r="BH56" s="190"/>
    </row>
    <row r="57" spans="1:60" s="31" customFormat="1" ht="11.25" customHeight="1">
      <c r="A57" s="30"/>
      <c r="B57" s="194" t="str">
        <f>IF(Roster!$M$1=0,"",Roster!$M$1)</f>
        <v>AG</v>
      </c>
      <c r="C57" s="195"/>
      <c r="D57" s="581"/>
      <c r="E57" s="582"/>
      <c r="F57" s="582"/>
      <c r="G57" s="582"/>
      <c r="H57" s="582"/>
      <c r="I57" s="582"/>
      <c r="J57" s="582"/>
      <c r="K57" s="582"/>
      <c r="L57" s="582"/>
      <c r="M57" s="582"/>
      <c r="N57" s="583"/>
      <c r="O57" s="190"/>
      <c r="P57" s="30"/>
      <c r="Q57" s="194" t="str">
        <f>IF(Roster!$M$1=0,"",Roster!$M$1)</f>
        <v>AG</v>
      </c>
      <c r="R57" s="195"/>
      <c r="S57" s="581"/>
      <c r="T57" s="582"/>
      <c r="U57" s="582"/>
      <c r="V57" s="582"/>
      <c r="W57" s="582"/>
      <c r="X57" s="582"/>
      <c r="Y57" s="582"/>
      <c r="Z57" s="582"/>
      <c r="AA57" s="582"/>
      <c r="AB57" s="582"/>
      <c r="AC57" s="583"/>
      <c r="AD57" s="190"/>
      <c r="AE57" s="30"/>
      <c r="AF57" s="194" t="str">
        <f>IF(Roster!$M$1=0,"",Roster!$M$1)</f>
        <v>AG</v>
      </c>
      <c r="AG57" s="195"/>
      <c r="AH57" s="581"/>
      <c r="AI57" s="582"/>
      <c r="AJ57" s="582"/>
      <c r="AK57" s="582"/>
      <c r="AL57" s="582"/>
      <c r="AM57" s="582"/>
      <c r="AN57" s="582"/>
      <c r="AO57" s="582"/>
      <c r="AP57" s="582"/>
      <c r="AQ57" s="582"/>
      <c r="AR57" s="583"/>
      <c r="AS57" s="190"/>
      <c r="AT57" s="30"/>
      <c r="AU57" s="194" t="str">
        <f>IF(Roster!$M$1=0,"",Roster!$M$1)</f>
        <v>AG</v>
      </c>
      <c r="AV57" s="195"/>
      <c r="AW57" s="581"/>
      <c r="AX57" s="582"/>
      <c r="AY57" s="582"/>
      <c r="AZ57" s="582"/>
      <c r="BA57" s="582"/>
      <c r="BB57" s="582"/>
      <c r="BC57" s="582"/>
      <c r="BD57" s="582"/>
      <c r="BE57" s="582"/>
      <c r="BF57" s="582"/>
      <c r="BG57" s="583"/>
      <c r="BH57" s="190"/>
    </row>
    <row r="58" spans="1:60" s="31" customFormat="1" ht="37.5" customHeight="1">
      <c r="A58" s="30"/>
      <c r="B58" s="197" t="str">
        <f>IF(Roster!$M$9=0&amp;"+","",Roster!$M$9)</f>
        <v>3+</v>
      </c>
      <c r="C58" s="195"/>
      <c r="D58" s="581"/>
      <c r="E58" s="582"/>
      <c r="F58" s="582"/>
      <c r="G58" s="582"/>
      <c r="H58" s="582"/>
      <c r="I58" s="582"/>
      <c r="J58" s="582"/>
      <c r="K58" s="582"/>
      <c r="L58" s="582"/>
      <c r="M58" s="582"/>
      <c r="N58" s="583"/>
      <c r="O58" s="190"/>
      <c r="P58" s="30"/>
      <c r="Q58" s="197" t="str">
        <f>IF(Roster!$M$10=0&amp;"+","",Roster!$M$10)</f>
        <v>3+</v>
      </c>
      <c r="R58" s="195"/>
      <c r="S58" s="581"/>
      <c r="T58" s="582"/>
      <c r="U58" s="582"/>
      <c r="V58" s="582"/>
      <c r="W58" s="582"/>
      <c r="X58" s="582"/>
      <c r="Y58" s="582"/>
      <c r="Z58" s="582"/>
      <c r="AA58" s="582"/>
      <c r="AB58" s="582"/>
      <c r="AC58" s="583"/>
      <c r="AD58" s="190"/>
      <c r="AE58" s="30"/>
      <c r="AF58" s="197" t="str">
        <f>IF(Roster!$M$11=0&amp;"+","",Roster!$M$11)</f>
        <v>3+</v>
      </c>
      <c r="AG58" s="195"/>
      <c r="AH58" s="581"/>
      <c r="AI58" s="582"/>
      <c r="AJ58" s="582"/>
      <c r="AK58" s="582"/>
      <c r="AL58" s="582"/>
      <c r="AM58" s="582"/>
      <c r="AN58" s="582"/>
      <c r="AO58" s="582"/>
      <c r="AP58" s="582"/>
      <c r="AQ58" s="582"/>
      <c r="AR58" s="583"/>
      <c r="AS58" s="190"/>
      <c r="AT58" s="30"/>
      <c r="AU58" s="197" t="str">
        <f>IF(Roster!$M$12=0&amp;"+","",Roster!$M$12)</f>
        <v>3+</v>
      </c>
      <c r="AV58" s="195"/>
      <c r="AW58" s="581"/>
      <c r="AX58" s="582"/>
      <c r="AY58" s="582"/>
      <c r="AZ58" s="582"/>
      <c r="BA58" s="582"/>
      <c r="BB58" s="582"/>
      <c r="BC58" s="582"/>
      <c r="BD58" s="582"/>
      <c r="BE58" s="582"/>
      <c r="BF58" s="582"/>
      <c r="BG58" s="583"/>
      <c r="BH58" s="190"/>
    </row>
    <row r="59" spans="1:60" s="31" customFormat="1" ht="11.25" customHeight="1">
      <c r="A59" s="30"/>
      <c r="B59" s="194" t="str">
        <f>IF(Roster!$N$1=0,"",Roster!$N$1)</f>
        <v>PA</v>
      </c>
      <c r="C59" s="195"/>
      <c r="D59" s="581"/>
      <c r="E59" s="582"/>
      <c r="F59" s="582"/>
      <c r="G59" s="582"/>
      <c r="H59" s="582"/>
      <c r="I59" s="582"/>
      <c r="J59" s="582"/>
      <c r="K59" s="582"/>
      <c r="L59" s="582"/>
      <c r="M59" s="582"/>
      <c r="N59" s="583"/>
      <c r="O59" s="199"/>
      <c r="P59" s="30"/>
      <c r="Q59" s="194" t="str">
        <f>IF(Roster!$N$1=0,"",Roster!$N$1)</f>
        <v>PA</v>
      </c>
      <c r="R59" s="195"/>
      <c r="S59" s="581"/>
      <c r="T59" s="582"/>
      <c r="U59" s="582"/>
      <c r="V59" s="582"/>
      <c r="W59" s="582"/>
      <c r="X59" s="582"/>
      <c r="Y59" s="582"/>
      <c r="Z59" s="582"/>
      <c r="AA59" s="582"/>
      <c r="AB59" s="582"/>
      <c r="AC59" s="583"/>
      <c r="AD59" s="199"/>
      <c r="AE59" s="30"/>
      <c r="AF59" s="194" t="str">
        <f>IF(Roster!$N$1=0,"",Roster!$N$1)</f>
        <v>PA</v>
      </c>
      <c r="AG59" s="195"/>
      <c r="AH59" s="581"/>
      <c r="AI59" s="582"/>
      <c r="AJ59" s="582"/>
      <c r="AK59" s="582"/>
      <c r="AL59" s="582"/>
      <c r="AM59" s="582"/>
      <c r="AN59" s="582"/>
      <c r="AO59" s="582"/>
      <c r="AP59" s="582"/>
      <c r="AQ59" s="582"/>
      <c r="AR59" s="583"/>
      <c r="AS59" s="199"/>
      <c r="AT59" s="30"/>
      <c r="AU59" s="194" t="str">
        <f>IF(Roster!$N$1=0,"",Roster!$N$1)</f>
        <v>PA</v>
      </c>
      <c r="AV59" s="195"/>
      <c r="AW59" s="581"/>
      <c r="AX59" s="582"/>
      <c r="AY59" s="582"/>
      <c r="AZ59" s="582"/>
      <c r="BA59" s="582"/>
      <c r="BB59" s="582"/>
      <c r="BC59" s="582"/>
      <c r="BD59" s="582"/>
      <c r="BE59" s="582"/>
      <c r="BF59" s="582"/>
      <c r="BG59" s="583"/>
      <c r="BH59" s="199"/>
    </row>
    <row r="60" spans="1:60" s="31" customFormat="1" ht="6" customHeight="1">
      <c r="A60" s="30"/>
      <c r="B60" s="571" t="str">
        <f>IF(Roster!$N$9=0&amp;"+","",Roster!$N$9)</f>
        <v>4+</v>
      </c>
      <c r="C60" s="195"/>
      <c r="D60" s="584"/>
      <c r="E60" s="585"/>
      <c r="F60" s="585"/>
      <c r="G60" s="585"/>
      <c r="H60" s="585"/>
      <c r="I60" s="585"/>
      <c r="J60" s="585"/>
      <c r="K60" s="585"/>
      <c r="L60" s="585"/>
      <c r="M60" s="585"/>
      <c r="N60" s="586"/>
      <c r="O60" s="201"/>
      <c r="P60" s="30"/>
      <c r="Q60" s="571" t="str">
        <f>IF(Roster!$N$10=0&amp;"+","",Roster!$N$10)</f>
        <v>4+</v>
      </c>
      <c r="R60" s="195"/>
      <c r="S60" s="584"/>
      <c r="T60" s="585"/>
      <c r="U60" s="585"/>
      <c r="V60" s="585"/>
      <c r="W60" s="585"/>
      <c r="X60" s="585"/>
      <c r="Y60" s="585"/>
      <c r="Z60" s="585"/>
      <c r="AA60" s="585"/>
      <c r="AB60" s="585"/>
      <c r="AC60" s="586"/>
      <c r="AD60" s="201"/>
      <c r="AE60" s="30"/>
      <c r="AF60" s="571" t="str">
        <f>IF(Roster!$N$11=0&amp;"+","",Roster!$N$11)</f>
        <v>4+</v>
      </c>
      <c r="AG60" s="195"/>
      <c r="AH60" s="584"/>
      <c r="AI60" s="585"/>
      <c r="AJ60" s="585"/>
      <c r="AK60" s="585"/>
      <c r="AL60" s="585"/>
      <c r="AM60" s="585"/>
      <c r="AN60" s="585"/>
      <c r="AO60" s="585"/>
      <c r="AP60" s="585"/>
      <c r="AQ60" s="585"/>
      <c r="AR60" s="586"/>
      <c r="AS60" s="201"/>
      <c r="AT60" s="30"/>
      <c r="AU60" s="571" t="str">
        <f>IF(Roster!$N$12=0&amp;"+","",Roster!$N$12)</f>
        <v>4+</v>
      </c>
      <c r="AV60" s="195"/>
      <c r="AW60" s="584"/>
      <c r="AX60" s="585"/>
      <c r="AY60" s="585"/>
      <c r="AZ60" s="585"/>
      <c r="BA60" s="585"/>
      <c r="BB60" s="585"/>
      <c r="BC60" s="585"/>
      <c r="BD60" s="585"/>
      <c r="BE60" s="585"/>
      <c r="BF60" s="585"/>
      <c r="BG60" s="586"/>
      <c r="BH60" s="201"/>
    </row>
    <row r="61" spans="1:60" s="31" customFormat="1" ht="4.5" customHeight="1">
      <c r="A61" s="30"/>
      <c r="B61" s="572"/>
      <c r="C61" s="193"/>
      <c r="D61" s="202"/>
      <c r="E61" s="200"/>
      <c r="F61" s="202"/>
      <c r="G61" s="200"/>
      <c r="H61" s="202"/>
      <c r="I61" s="200"/>
      <c r="J61" s="202"/>
      <c r="K61" s="200"/>
      <c r="L61" s="202"/>
      <c r="M61" s="200"/>
      <c r="N61" s="202"/>
      <c r="O61" s="201"/>
      <c r="P61" s="30"/>
      <c r="Q61" s="572"/>
      <c r="R61" s="193"/>
      <c r="S61" s="202"/>
      <c r="T61" s="200"/>
      <c r="U61" s="202"/>
      <c r="V61" s="200"/>
      <c r="W61" s="202"/>
      <c r="X61" s="200"/>
      <c r="Y61" s="202"/>
      <c r="Z61" s="200"/>
      <c r="AA61" s="202"/>
      <c r="AB61" s="200"/>
      <c r="AC61" s="202"/>
      <c r="AD61" s="201"/>
      <c r="AE61" s="30"/>
      <c r="AF61" s="572"/>
      <c r="AG61" s="193"/>
      <c r="AH61" s="202"/>
      <c r="AI61" s="200"/>
      <c r="AJ61" s="202"/>
      <c r="AK61" s="200"/>
      <c r="AL61" s="202"/>
      <c r="AM61" s="200"/>
      <c r="AN61" s="202"/>
      <c r="AO61" s="200"/>
      <c r="AP61" s="202"/>
      <c r="AQ61" s="200"/>
      <c r="AR61" s="202"/>
      <c r="AS61" s="201"/>
      <c r="AT61" s="30"/>
      <c r="AU61" s="572"/>
      <c r="AV61" s="193"/>
      <c r="AW61" s="202"/>
      <c r="AX61" s="200"/>
      <c r="AY61" s="202"/>
      <c r="AZ61" s="200"/>
      <c r="BA61" s="202"/>
      <c r="BB61" s="200"/>
      <c r="BC61" s="202"/>
      <c r="BD61" s="200"/>
      <c r="BE61" s="202"/>
      <c r="BF61" s="200"/>
      <c r="BG61" s="202"/>
      <c r="BH61" s="201"/>
    </row>
    <row r="62" spans="1:60" s="31" customFormat="1" ht="11.25" customHeight="1">
      <c r="A62" s="30"/>
      <c r="B62" s="57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7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7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7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72"/>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7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72"/>
      <c r="AG63" s="196"/>
      <c r="AH63" s="235">
        <f>IF(Roster!$AD$11=0,"",Roster!$AD$11)</f>
        <v>1</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7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445"/>
      <c r="C64" s="196"/>
      <c r="D64" s="231"/>
      <c r="E64" s="230"/>
      <c r="F64" s="231"/>
      <c r="G64" s="230"/>
      <c r="H64" s="231"/>
      <c r="I64" s="230"/>
      <c r="J64" s="231"/>
      <c r="K64" s="230"/>
      <c r="L64" s="231"/>
      <c r="M64" s="230"/>
      <c r="N64" s="231"/>
      <c r="O64" s="201"/>
      <c r="P64" s="30"/>
      <c r="Q64" s="445"/>
      <c r="R64" s="196"/>
      <c r="S64" s="231"/>
      <c r="T64" s="230"/>
      <c r="U64" s="231"/>
      <c r="V64" s="230"/>
      <c r="W64" s="231"/>
      <c r="X64" s="230"/>
      <c r="Y64" s="231"/>
      <c r="Z64" s="230"/>
      <c r="AA64" s="231"/>
      <c r="AB64" s="230"/>
      <c r="AC64" s="231"/>
      <c r="AD64" s="201"/>
      <c r="AE64" s="30"/>
      <c r="AF64" s="445"/>
      <c r="AG64" s="196"/>
      <c r="AH64" s="231"/>
      <c r="AI64" s="230"/>
      <c r="AJ64" s="231"/>
      <c r="AK64" s="230"/>
      <c r="AL64" s="231"/>
      <c r="AM64" s="230"/>
      <c r="AN64" s="231"/>
      <c r="AO64" s="230"/>
      <c r="AP64" s="231"/>
      <c r="AQ64" s="230"/>
      <c r="AR64" s="231"/>
      <c r="AS64" s="201"/>
      <c r="AT64" s="30"/>
      <c r="AU64" s="445"/>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71" t="str">
        <f>IF(Roster!$O$9=0&amp;"+","",Roster!$O$9)</f>
        <v>8+</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71" t="str">
        <f>IF(Roster!$O$10=0&amp;"+","",Roster!$O$10)</f>
        <v>8+</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71"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f>IF(Roster!$AK$11=0,"",Roster!$AK$11)</f>
        <v>3</v>
      </c>
      <c r="AQ66" s="230"/>
      <c r="AR66" s="235" t="str">
        <f>IF(Roster!$AA$11=0,"",Roster!$AA$11)</f>
        <v/>
      </c>
      <c r="AS66" s="203"/>
      <c r="AT66" s="30"/>
      <c r="AU66" s="571" t="str">
        <f>IF(Roster!$O$12=0&amp;"+","",Roster!$O$12)</f>
        <v>8+</v>
      </c>
      <c r="AV66" s="196"/>
      <c r="AW66" s="235" t="str">
        <f>IF(Roster!$AE$12=0,"",Roster!$AE$12)</f>
        <v/>
      </c>
      <c r="AX66" s="230"/>
      <c r="AY66" s="235" t="str">
        <f>IF(Roster!$AF$12=0,"",Roster!$AF$12)</f>
        <v/>
      </c>
      <c r="AZ66" s="230"/>
      <c r="BA66" s="235" t="str">
        <f>IF(Roster!$AB$12=0,"",Roster!$AB$12)</f>
        <v/>
      </c>
      <c r="BB66" s="230"/>
      <c r="BC66" s="235">
        <f>IF(Roster!$AJ$12=0,"",Roster!$AJ$12)</f>
        <v>1</v>
      </c>
      <c r="BD66" s="230"/>
      <c r="BE66" s="235">
        <f>IF(Roster!$AK$12=0,"",Roster!$AK$12)</f>
        <v>4</v>
      </c>
      <c r="BF66" s="230"/>
      <c r="BG66" s="235" t="str">
        <f>IF(Roster!$AA$12=0,"",Roster!$AA$12)</f>
        <v/>
      </c>
      <c r="BH66" s="203"/>
    </row>
    <row r="67" spans="1:60" s="31" customFormat="1" ht="4.5" customHeight="1">
      <c r="A67" s="30"/>
      <c r="B67" s="572"/>
      <c r="C67" s="196"/>
      <c r="D67" s="230"/>
      <c r="E67" s="230"/>
      <c r="F67" s="230"/>
      <c r="G67" s="230"/>
      <c r="H67" s="230"/>
      <c r="I67" s="230"/>
      <c r="J67" s="230"/>
      <c r="K67" s="230"/>
      <c r="L67" s="230"/>
      <c r="M67" s="230"/>
      <c r="N67" s="233"/>
      <c r="O67" s="203"/>
      <c r="P67" s="30"/>
      <c r="Q67" s="572"/>
      <c r="R67" s="196"/>
      <c r="S67" s="230"/>
      <c r="T67" s="230"/>
      <c r="U67" s="230"/>
      <c r="V67" s="230"/>
      <c r="W67" s="230"/>
      <c r="X67" s="230"/>
      <c r="Y67" s="230"/>
      <c r="Z67" s="230"/>
      <c r="AA67" s="230"/>
      <c r="AB67" s="230"/>
      <c r="AC67" s="233"/>
      <c r="AD67" s="203"/>
      <c r="AE67" s="30"/>
      <c r="AF67" s="572"/>
      <c r="AG67" s="196"/>
      <c r="AH67" s="230"/>
      <c r="AI67" s="230"/>
      <c r="AJ67" s="230"/>
      <c r="AK67" s="230"/>
      <c r="AL67" s="230"/>
      <c r="AM67" s="230"/>
      <c r="AN67" s="230"/>
      <c r="AO67" s="230"/>
      <c r="AP67" s="230"/>
      <c r="AQ67" s="230"/>
      <c r="AR67" s="233"/>
      <c r="AS67" s="203"/>
      <c r="AT67" s="30"/>
      <c r="AU67" s="572"/>
      <c r="AV67" s="196"/>
      <c r="AW67" s="230"/>
      <c r="AX67" s="230"/>
      <c r="AY67" s="230"/>
      <c r="AZ67" s="230"/>
      <c r="BA67" s="230"/>
      <c r="BB67" s="230"/>
      <c r="BC67" s="230"/>
      <c r="BD67" s="230"/>
      <c r="BE67" s="230"/>
      <c r="BF67" s="230"/>
      <c r="BG67" s="233"/>
      <c r="BH67" s="203"/>
    </row>
    <row r="68" spans="1:60" s="31" customFormat="1" ht="11.25" customHeight="1">
      <c r="A68" s="30"/>
      <c r="B68" s="572"/>
      <c r="C68" s="196"/>
      <c r="D68" s="568" t="str">
        <f>IF(Roster!$K$25="Italiano","ABILITÀ &amp; TRATTI",(IF(Roster!$K$25="Español","HABILIDADES Y RASGOS","SKILLS &amp; TRAITS")))</f>
        <v>SKILLS &amp; TRAITS</v>
      </c>
      <c r="E68" s="569"/>
      <c r="F68" s="569"/>
      <c r="G68" s="569"/>
      <c r="H68" s="569"/>
      <c r="I68" s="569"/>
      <c r="J68" s="569"/>
      <c r="K68" s="569"/>
      <c r="L68" s="569"/>
      <c r="M68" s="569"/>
      <c r="N68" s="570"/>
      <c r="O68" s="203"/>
      <c r="P68" s="30"/>
      <c r="Q68" s="572"/>
      <c r="R68" s="196"/>
      <c r="S68" s="568" t="str">
        <f>IF(Roster!$K$25="Italiano","ABILITÀ &amp; TRATTI",(IF(Roster!$K$25="Español","HABILIDADES Y RASGOS","SKILLS &amp; TRAITS")))</f>
        <v>SKILLS &amp; TRAITS</v>
      </c>
      <c r="T68" s="569"/>
      <c r="U68" s="569"/>
      <c r="V68" s="569"/>
      <c r="W68" s="569"/>
      <c r="X68" s="569"/>
      <c r="Y68" s="569"/>
      <c r="Z68" s="569"/>
      <c r="AA68" s="569"/>
      <c r="AB68" s="569"/>
      <c r="AC68" s="570"/>
      <c r="AD68" s="203"/>
      <c r="AE68" s="30"/>
      <c r="AF68" s="572"/>
      <c r="AG68" s="196"/>
      <c r="AH68" s="568" t="str">
        <f>IF(Roster!$K$25="Italiano","ABILITÀ &amp; TRATTI",(IF(Roster!$K$25="Español","HABILIDADES Y RASGOS","SKILLS &amp; TRAITS")))</f>
        <v>SKILLS &amp; TRAITS</v>
      </c>
      <c r="AI68" s="569"/>
      <c r="AJ68" s="569"/>
      <c r="AK68" s="569"/>
      <c r="AL68" s="569"/>
      <c r="AM68" s="569"/>
      <c r="AN68" s="569"/>
      <c r="AO68" s="569"/>
      <c r="AP68" s="569"/>
      <c r="AQ68" s="569"/>
      <c r="AR68" s="570"/>
      <c r="AS68" s="203"/>
      <c r="AT68" s="30"/>
      <c r="AU68" s="572"/>
      <c r="AV68" s="196"/>
      <c r="AW68" s="568" t="str">
        <f>IF(Roster!$K$25="Italiano","ABILITÀ &amp; TRATTI",(IF(Roster!$K$25="Español","HABILIDADES Y RASGOS","SKILLS &amp; TRAITS")))</f>
        <v>SKILLS &amp; TRAITS</v>
      </c>
      <c r="AX68" s="569"/>
      <c r="AY68" s="569"/>
      <c r="AZ68" s="569"/>
      <c r="BA68" s="569"/>
      <c r="BB68" s="569"/>
      <c r="BC68" s="569"/>
      <c r="BD68" s="569"/>
      <c r="BE68" s="569"/>
      <c r="BF68" s="569"/>
      <c r="BG68" s="570"/>
      <c r="BH68" s="203"/>
    </row>
    <row r="69" spans="1:60" s="31" customFormat="1" ht="6.75" customHeight="1">
      <c r="A69" s="30"/>
      <c r="B69" s="445"/>
      <c r="C69" s="196"/>
      <c r="D69" s="561" t="str">
        <f>IF(Roster!$P$9=0&amp;AQ50,"",Roster!$P$9)</f>
        <v>Dodge, Right Stuff, Stunty</v>
      </c>
      <c r="E69" s="541"/>
      <c r="F69" s="541"/>
      <c r="G69" s="541"/>
      <c r="H69" s="541"/>
      <c r="I69" s="541"/>
      <c r="J69" s="541"/>
      <c r="K69" s="541"/>
      <c r="L69" s="541"/>
      <c r="M69" s="541"/>
      <c r="N69" s="562"/>
      <c r="O69" s="203"/>
      <c r="P69" s="30"/>
      <c r="Q69" s="445"/>
      <c r="R69" s="196"/>
      <c r="S69" s="561" t="str">
        <f>IF(Roster!$P$10=0&amp;BF50,"",Roster!$P$10)</f>
        <v>Dodge, Right Stuff, Stunty</v>
      </c>
      <c r="T69" s="541"/>
      <c r="U69" s="541"/>
      <c r="V69" s="541"/>
      <c r="W69" s="541"/>
      <c r="X69" s="541"/>
      <c r="Y69" s="541"/>
      <c r="Z69" s="541"/>
      <c r="AA69" s="541"/>
      <c r="AB69" s="541"/>
      <c r="AC69" s="562"/>
      <c r="AD69" s="203"/>
      <c r="AE69" s="30"/>
      <c r="AF69" s="445"/>
      <c r="AG69" s="196"/>
      <c r="AH69" s="561" t="str">
        <f>IF(Roster!$P$11=0&amp;BU50,"",Roster!$P$11)</f>
        <v>Dodge, Right Stuff, Stunty</v>
      </c>
      <c r="AI69" s="541"/>
      <c r="AJ69" s="541"/>
      <c r="AK69" s="541"/>
      <c r="AL69" s="541"/>
      <c r="AM69" s="541"/>
      <c r="AN69" s="541"/>
      <c r="AO69" s="541"/>
      <c r="AP69" s="541"/>
      <c r="AQ69" s="541"/>
      <c r="AR69" s="562"/>
      <c r="AS69" s="203"/>
      <c r="AT69" s="30"/>
      <c r="AU69" s="445"/>
      <c r="AV69" s="196"/>
      <c r="AW69" s="561" t="str">
        <f>IF(Roster!$P$12=0&amp;CJ50,"",Roster!$P$12)</f>
        <v>Dodge, Right Stuff, Stunty</v>
      </c>
      <c r="AX69" s="541"/>
      <c r="AY69" s="541"/>
      <c r="AZ69" s="541"/>
      <c r="BA69" s="541"/>
      <c r="BB69" s="541"/>
      <c r="BC69" s="541"/>
      <c r="BD69" s="541"/>
      <c r="BE69" s="541"/>
      <c r="BF69" s="541"/>
      <c r="BG69" s="562"/>
      <c r="BH69" s="203"/>
    </row>
    <row r="70" spans="1:60" s="31" customFormat="1" ht="11.25" customHeight="1">
      <c r="A70" s="30"/>
      <c r="B70" s="194" t="str">
        <f>IF(Roster!$AO$1=0,"",Roster!$AO$1)</f>
        <v>COST</v>
      </c>
      <c r="C70" s="195"/>
      <c r="D70" s="563"/>
      <c r="E70" s="564"/>
      <c r="F70" s="564"/>
      <c r="G70" s="564"/>
      <c r="H70" s="564"/>
      <c r="I70" s="564"/>
      <c r="J70" s="564"/>
      <c r="K70" s="564"/>
      <c r="L70" s="564"/>
      <c r="M70" s="564"/>
      <c r="N70" s="562"/>
      <c r="O70" s="206"/>
      <c r="P70" s="30"/>
      <c r="Q70" s="194" t="str">
        <f>IF(Roster!$AO$1=0,"",Roster!$AO$1)</f>
        <v>COST</v>
      </c>
      <c r="R70" s="195"/>
      <c r="S70" s="563"/>
      <c r="T70" s="564"/>
      <c r="U70" s="564"/>
      <c r="V70" s="564"/>
      <c r="W70" s="564"/>
      <c r="X70" s="564"/>
      <c r="Y70" s="564"/>
      <c r="Z70" s="564"/>
      <c r="AA70" s="564"/>
      <c r="AB70" s="564"/>
      <c r="AC70" s="562"/>
      <c r="AD70" s="206"/>
      <c r="AE70" s="30"/>
      <c r="AF70" s="194" t="str">
        <f>IF(Roster!$AO$1=0,"",Roster!$AO$1)</f>
        <v>COST</v>
      </c>
      <c r="AG70" s="195"/>
      <c r="AH70" s="563"/>
      <c r="AI70" s="564"/>
      <c r="AJ70" s="564"/>
      <c r="AK70" s="564"/>
      <c r="AL70" s="564"/>
      <c r="AM70" s="564"/>
      <c r="AN70" s="564"/>
      <c r="AO70" s="564"/>
      <c r="AP70" s="564"/>
      <c r="AQ70" s="564"/>
      <c r="AR70" s="562"/>
      <c r="AS70" s="206"/>
      <c r="AT70" s="30"/>
      <c r="AU70" s="194" t="str">
        <f>IF(Roster!$AO$1=0,"",Roster!$AO$1)</f>
        <v>COST</v>
      </c>
      <c r="AV70" s="195"/>
      <c r="AW70" s="563"/>
      <c r="AX70" s="564"/>
      <c r="AY70" s="564"/>
      <c r="AZ70" s="564"/>
      <c r="BA70" s="564"/>
      <c r="BB70" s="564"/>
      <c r="BC70" s="564"/>
      <c r="BD70" s="564"/>
      <c r="BE70" s="564"/>
      <c r="BF70" s="564"/>
      <c r="BG70" s="562"/>
      <c r="BH70" s="206"/>
    </row>
    <row r="71" spans="1:60" s="31" customFormat="1" ht="34.5" customHeight="1">
      <c r="A71" s="30"/>
      <c r="B71" s="208">
        <f>IF(Roster!$AO$9=0,"",Roster!$AO$9)</f>
        <v>40000</v>
      </c>
      <c r="C71" s="209"/>
      <c r="D71" s="565"/>
      <c r="E71" s="566"/>
      <c r="F71" s="566"/>
      <c r="G71" s="566"/>
      <c r="H71" s="566"/>
      <c r="I71" s="566"/>
      <c r="J71" s="566"/>
      <c r="K71" s="566"/>
      <c r="L71" s="566"/>
      <c r="M71" s="566"/>
      <c r="N71" s="567"/>
      <c r="O71" s="206"/>
      <c r="P71" s="30"/>
      <c r="Q71" s="208">
        <f>IF(Roster!$AO$10=0,"",Roster!$AO$10)</f>
        <v>40000</v>
      </c>
      <c r="R71" s="209"/>
      <c r="S71" s="565"/>
      <c r="T71" s="566"/>
      <c r="U71" s="566"/>
      <c r="V71" s="566"/>
      <c r="W71" s="566"/>
      <c r="X71" s="566"/>
      <c r="Y71" s="566"/>
      <c r="Z71" s="566"/>
      <c r="AA71" s="566"/>
      <c r="AB71" s="566"/>
      <c r="AC71" s="567"/>
      <c r="AD71" s="206"/>
      <c r="AE71" s="30"/>
      <c r="AF71" s="208">
        <f>IF(Roster!$AO$11=0,"",Roster!$AO$11)</f>
        <v>40000</v>
      </c>
      <c r="AG71" s="209"/>
      <c r="AH71" s="565"/>
      <c r="AI71" s="566"/>
      <c r="AJ71" s="566"/>
      <c r="AK71" s="566"/>
      <c r="AL71" s="566"/>
      <c r="AM71" s="566"/>
      <c r="AN71" s="566"/>
      <c r="AO71" s="566"/>
      <c r="AP71" s="566"/>
      <c r="AQ71" s="566"/>
      <c r="AR71" s="567"/>
      <c r="AS71" s="206"/>
      <c r="AT71" s="30"/>
      <c r="AU71" s="208">
        <f>IF(Roster!$AO$12=0,"",Roster!$AO$12)</f>
        <v>40000</v>
      </c>
      <c r="AV71" s="209"/>
      <c r="AW71" s="565"/>
      <c r="AX71" s="566"/>
      <c r="AY71" s="566"/>
      <c r="AZ71" s="566"/>
      <c r="BA71" s="566"/>
      <c r="BB71" s="566"/>
      <c r="BC71" s="566"/>
      <c r="BD71" s="566"/>
      <c r="BE71" s="566"/>
      <c r="BF71" s="566"/>
      <c r="BG71" s="567"/>
      <c r="BH71" s="206"/>
    </row>
    <row r="72" spans="1:60" s="31" customFormat="1" ht="4.5" customHeight="1">
      <c r="A72" s="30"/>
      <c r="B72" s="573"/>
      <c r="C72" s="375"/>
      <c r="D72" s="375"/>
      <c r="E72" s="375"/>
      <c r="F72" s="375"/>
      <c r="G72" s="375"/>
      <c r="H72" s="375"/>
      <c r="I72" s="375"/>
      <c r="J72" s="375"/>
      <c r="K72" s="375"/>
      <c r="L72" s="375"/>
      <c r="M72" s="375"/>
      <c r="N72" s="376"/>
      <c r="O72" s="210"/>
      <c r="P72" s="30"/>
      <c r="Q72" s="573"/>
      <c r="R72" s="375"/>
      <c r="S72" s="375"/>
      <c r="T72" s="375"/>
      <c r="U72" s="375"/>
      <c r="V72" s="375"/>
      <c r="W72" s="375"/>
      <c r="X72" s="375"/>
      <c r="Y72" s="375"/>
      <c r="Z72" s="375"/>
      <c r="AA72" s="375"/>
      <c r="AB72" s="375"/>
      <c r="AC72" s="376"/>
      <c r="AD72" s="210"/>
      <c r="AE72" s="30"/>
      <c r="AF72" s="573"/>
      <c r="AG72" s="375"/>
      <c r="AH72" s="375"/>
      <c r="AI72" s="375"/>
      <c r="AJ72" s="375"/>
      <c r="AK72" s="375"/>
      <c r="AL72" s="375"/>
      <c r="AM72" s="375"/>
      <c r="AN72" s="375"/>
      <c r="AO72" s="375"/>
      <c r="AP72" s="375"/>
      <c r="AQ72" s="375"/>
      <c r="AR72" s="376"/>
      <c r="AS72" s="210"/>
      <c r="AT72" s="30"/>
      <c r="AU72" s="573"/>
      <c r="AV72" s="375"/>
      <c r="AW72" s="375"/>
      <c r="AX72" s="375"/>
      <c r="AY72" s="375"/>
      <c r="AZ72" s="375"/>
      <c r="BA72" s="375"/>
      <c r="BB72" s="375"/>
      <c r="BC72" s="375"/>
      <c r="BD72" s="375"/>
      <c r="BE72" s="375"/>
      <c r="BF72" s="375"/>
      <c r="BG72" s="376"/>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74" t="str">
        <f>IF(Roster!$A$13=0,"","#"&amp;Roster!$A$13)</f>
        <v>#12</v>
      </c>
      <c r="C74" s="188"/>
      <c r="D74" s="188"/>
      <c r="E74" s="188"/>
      <c r="F74" s="188"/>
      <c r="G74" s="188"/>
      <c r="H74" s="188"/>
      <c r="I74" s="188"/>
      <c r="J74" s="188"/>
      <c r="K74" s="188"/>
      <c r="L74" s="188"/>
      <c r="M74" s="188"/>
      <c r="N74" s="188"/>
      <c r="O74" s="189"/>
      <c r="P74" s="30"/>
      <c r="Q74" s="574" t="str">
        <f>IF(Roster!$A$14=0,"","#"&amp;Roster!$A$14)</f>
        <v>#13</v>
      </c>
      <c r="R74" s="188"/>
      <c r="S74" s="188"/>
      <c r="T74" s="188"/>
      <c r="U74" s="188"/>
      <c r="V74" s="188"/>
      <c r="W74" s="188"/>
      <c r="X74" s="188"/>
      <c r="Y74" s="188"/>
      <c r="Z74" s="188"/>
      <c r="AA74" s="188"/>
      <c r="AB74" s="188"/>
      <c r="AC74" s="188"/>
      <c r="AD74" s="189"/>
      <c r="AE74" s="30"/>
      <c r="AF74" s="574" t="str">
        <f>IF(Roster!$A$15=0,"","#"&amp;Roster!$A$15)</f>
        <v>#14</v>
      </c>
      <c r="AG74" s="188"/>
      <c r="AH74" s="188"/>
      <c r="AI74" s="188"/>
      <c r="AJ74" s="188"/>
      <c r="AK74" s="188"/>
      <c r="AL74" s="188"/>
      <c r="AM74" s="188"/>
      <c r="AN74" s="188"/>
      <c r="AO74" s="188"/>
      <c r="AP74" s="188"/>
      <c r="AQ74" s="188"/>
      <c r="AR74" s="188"/>
      <c r="AS74" s="189"/>
      <c r="AT74" s="30"/>
      <c r="AU74" s="574"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75"/>
      <c r="C75" s="560" t="str">
        <f>IF(Roster!$B$13=0,"",Roster!$B$13)</f>
        <v>Gobbo Costa</v>
      </c>
      <c r="D75" s="484"/>
      <c r="E75" s="484"/>
      <c r="F75" s="484"/>
      <c r="G75" s="484"/>
      <c r="H75" s="484"/>
      <c r="I75" s="484"/>
      <c r="J75" s="484"/>
      <c r="K75" s="484"/>
      <c r="L75" s="484"/>
      <c r="M75" s="484"/>
      <c r="N75" s="485"/>
      <c r="O75" s="190"/>
      <c r="P75" s="30"/>
      <c r="Q75" s="575"/>
      <c r="R75" s="560" t="str">
        <f>IF(Roster!$B$14=0,"",Roster!$B$14)</f>
        <v>Andy Goblotto</v>
      </c>
      <c r="S75" s="484"/>
      <c r="T75" s="484"/>
      <c r="U75" s="484"/>
      <c r="V75" s="484"/>
      <c r="W75" s="484"/>
      <c r="X75" s="484"/>
      <c r="Y75" s="484"/>
      <c r="Z75" s="484"/>
      <c r="AA75" s="484"/>
      <c r="AB75" s="484"/>
      <c r="AC75" s="485"/>
      <c r="AD75" s="190"/>
      <c r="AE75" s="30"/>
      <c r="AF75" s="575"/>
      <c r="AG75" s="560" t="str">
        <f>IF(Roster!$B$15=0,"",Roster!$B$15)</f>
        <v>Herr Hippie</v>
      </c>
      <c r="AH75" s="484"/>
      <c r="AI75" s="484"/>
      <c r="AJ75" s="484"/>
      <c r="AK75" s="484"/>
      <c r="AL75" s="484"/>
      <c r="AM75" s="484"/>
      <c r="AN75" s="484"/>
      <c r="AO75" s="484"/>
      <c r="AP75" s="484"/>
      <c r="AQ75" s="484"/>
      <c r="AR75" s="485"/>
      <c r="AS75" s="190"/>
      <c r="AT75" s="30"/>
      <c r="AU75" s="575"/>
      <c r="AV75" s="560" t="str">
        <f>IF(Roster!$B$16=0,"",Roster!$B$16)</f>
        <v>Adriano Celemork</v>
      </c>
      <c r="AW75" s="484"/>
      <c r="AX75" s="484"/>
      <c r="AY75" s="484"/>
      <c r="AZ75" s="484"/>
      <c r="BA75" s="484"/>
      <c r="BB75" s="484"/>
      <c r="BC75" s="484"/>
      <c r="BD75" s="484"/>
      <c r="BE75" s="484"/>
      <c r="BF75" s="484"/>
      <c r="BG75" s="485"/>
      <c r="BH75" s="190"/>
    </row>
    <row r="76" spans="1:60" s="31" customFormat="1" ht="11.25" customHeight="1">
      <c r="A76" s="30"/>
      <c r="B76" s="576"/>
      <c r="C76" s="577" t="str">
        <f>IF(Roster!$D$13=0,"",Roster!$D$13)</f>
        <v>Goblin</v>
      </c>
      <c r="D76" s="484"/>
      <c r="E76" s="484"/>
      <c r="F76" s="484"/>
      <c r="G76" s="484"/>
      <c r="H76" s="484"/>
      <c r="I76" s="484"/>
      <c r="J76" s="484"/>
      <c r="K76" s="484"/>
      <c r="L76" s="484"/>
      <c r="M76" s="484"/>
      <c r="N76" s="485"/>
      <c r="O76" s="191"/>
      <c r="P76" s="30"/>
      <c r="Q76" s="576"/>
      <c r="R76" s="577" t="str">
        <f>IF(Roster!$D$14=0,"",Roster!$D$14)</f>
        <v>Goblin</v>
      </c>
      <c r="S76" s="484"/>
      <c r="T76" s="484"/>
      <c r="U76" s="484"/>
      <c r="V76" s="484"/>
      <c r="W76" s="484"/>
      <c r="X76" s="484"/>
      <c r="Y76" s="484"/>
      <c r="Z76" s="484"/>
      <c r="AA76" s="484"/>
      <c r="AB76" s="484"/>
      <c r="AC76" s="485"/>
      <c r="AD76" s="191"/>
      <c r="AE76" s="30"/>
      <c r="AF76" s="576"/>
      <c r="AG76" s="577" t="str">
        <f>IF(Roster!$D$15=0,"",Roster!$D$15)</f>
        <v>Goblin</v>
      </c>
      <c r="AH76" s="484"/>
      <c r="AI76" s="484"/>
      <c r="AJ76" s="484"/>
      <c r="AK76" s="484"/>
      <c r="AL76" s="484"/>
      <c r="AM76" s="484"/>
      <c r="AN76" s="484"/>
      <c r="AO76" s="484"/>
      <c r="AP76" s="484"/>
      <c r="AQ76" s="484"/>
      <c r="AR76" s="485"/>
      <c r="AS76" s="191"/>
      <c r="AT76" s="30"/>
      <c r="AU76" s="576"/>
      <c r="AV76" s="577" t="str">
        <f>IF(Roster!$D$16=0,"",Roster!$D$16)</f>
        <v xml:space="preserve">Troll </v>
      </c>
      <c r="AW76" s="484"/>
      <c r="AX76" s="484"/>
      <c r="AY76" s="484"/>
      <c r="AZ76" s="484"/>
      <c r="BA76" s="484"/>
      <c r="BB76" s="484"/>
      <c r="BC76" s="484"/>
      <c r="BD76" s="484"/>
      <c r="BE76" s="484"/>
      <c r="BF76" s="484"/>
      <c r="BG76" s="485"/>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78"/>
      <c r="E78" s="579"/>
      <c r="F78" s="579"/>
      <c r="G78" s="579"/>
      <c r="H78" s="579"/>
      <c r="I78" s="579"/>
      <c r="J78" s="579"/>
      <c r="K78" s="579"/>
      <c r="L78" s="579"/>
      <c r="M78" s="579"/>
      <c r="N78" s="580"/>
      <c r="O78" s="190"/>
      <c r="P78" s="30"/>
      <c r="Q78" s="197">
        <f>IF(Roster!$K$14=0,"",Roster!$K$14)</f>
        <v>6</v>
      </c>
      <c r="R78" s="195"/>
      <c r="S78" s="578"/>
      <c r="T78" s="579"/>
      <c r="U78" s="579"/>
      <c r="V78" s="579"/>
      <c r="W78" s="579"/>
      <c r="X78" s="579"/>
      <c r="Y78" s="579"/>
      <c r="Z78" s="579"/>
      <c r="AA78" s="579"/>
      <c r="AB78" s="579"/>
      <c r="AC78" s="580"/>
      <c r="AD78" s="190"/>
      <c r="AE78" s="30"/>
      <c r="AF78" s="197">
        <f>IF(Roster!$K$15=0,"",Roster!$K$15)</f>
        <v>6</v>
      </c>
      <c r="AG78" s="195"/>
      <c r="AH78" s="578"/>
      <c r="AI78" s="579"/>
      <c r="AJ78" s="579"/>
      <c r="AK78" s="579"/>
      <c r="AL78" s="579"/>
      <c r="AM78" s="579"/>
      <c r="AN78" s="579"/>
      <c r="AO78" s="579"/>
      <c r="AP78" s="579"/>
      <c r="AQ78" s="579"/>
      <c r="AR78" s="580"/>
      <c r="AS78" s="190"/>
      <c r="AT78" s="30"/>
      <c r="AU78" s="197">
        <f>IF(Roster!$K$16=0,"",Roster!$K$16)</f>
        <v>4</v>
      </c>
      <c r="AV78" s="195"/>
      <c r="AW78" s="578"/>
      <c r="AX78" s="579"/>
      <c r="AY78" s="579"/>
      <c r="AZ78" s="579"/>
      <c r="BA78" s="579"/>
      <c r="BB78" s="579"/>
      <c r="BC78" s="579"/>
      <c r="BD78" s="579"/>
      <c r="BE78" s="579"/>
      <c r="BF78" s="579"/>
      <c r="BG78" s="580"/>
      <c r="BH78" s="190"/>
    </row>
    <row r="79" spans="1:60" s="31" customFormat="1" ht="11.25" customHeight="1">
      <c r="A79" s="30"/>
      <c r="B79" s="194" t="str">
        <f>IF(Roster!$L$1=0,"",Roster!$L$1)</f>
        <v>ST</v>
      </c>
      <c r="C79" s="195"/>
      <c r="D79" s="581"/>
      <c r="E79" s="582"/>
      <c r="F79" s="582"/>
      <c r="G79" s="582"/>
      <c r="H79" s="582"/>
      <c r="I79" s="582"/>
      <c r="J79" s="582"/>
      <c r="K79" s="582"/>
      <c r="L79" s="582"/>
      <c r="M79" s="582"/>
      <c r="N79" s="583"/>
      <c r="O79" s="190"/>
      <c r="P79" s="30"/>
      <c r="Q79" s="194" t="str">
        <f>IF(Roster!$L$1=0,"",Roster!$L$1)</f>
        <v>ST</v>
      </c>
      <c r="R79" s="195"/>
      <c r="S79" s="581"/>
      <c r="T79" s="582"/>
      <c r="U79" s="582"/>
      <c r="V79" s="582"/>
      <c r="W79" s="582"/>
      <c r="X79" s="582"/>
      <c r="Y79" s="582"/>
      <c r="Z79" s="582"/>
      <c r="AA79" s="582"/>
      <c r="AB79" s="582"/>
      <c r="AC79" s="583"/>
      <c r="AD79" s="190"/>
      <c r="AE79" s="30"/>
      <c r="AF79" s="194" t="str">
        <f>IF(Roster!$L$1=0,"",Roster!$L$1)</f>
        <v>ST</v>
      </c>
      <c r="AG79" s="195"/>
      <c r="AH79" s="581"/>
      <c r="AI79" s="582"/>
      <c r="AJ79" s="582"/>
      <c r="AK79" s="582"/>
      <c r="AL79" s="582"/>
      <c r="AM79" s="582"/>
      <c r="AN79" s="582"/>
      <c r="AO79" s="582"/>
      <c r="AP79" s="582"/>
      <c r="AQ79" s="582"/>
      <c r="AR79" s="583"/>
      <c r="AS79" s="190"/>
      <c r="AT79" s="30"/>
      <c r="AU79" s="194" t="str">
        <f>IF(Roster!$L$1=0,"",Roster!$L$1)</f>
        <v>ST</v>
      </c>
      <c r="AV79" s="195"/>
      <c r="AW79" s="581"/>
      <c r="AX79" s="582"/>
      <c r="AY79" s="582"/>
      <c r="AZ79" s="582"/>
      <c r="BA79" s="582"/>
      <c r="BB79" s="582"/>
      <c r="BC79" s="582"/>
      <c r="BD79" s="582"/>
      <c r="BE79" s="582"/>
      <c r="BF79" s="582"/>
      <c r="BG79" s="583"/>
      <c r="BH79" s="190"/>
    </row>
    <row r="80" spans="1:60" s="31" customFormat="1" ht="37.5" customHeight="1">
      <c r="A80" s="30"/>
      <c r="B80" s="197">
        <f>IF(Roster!$L$13=0,"",Roster!$L$13)</f>
        <v>2</v>
      </c>
      <c r="C80" s="195"/>
      <c r="D80" s="581"/>
      <c r="E80" s="582"/>
      <c r="F80" s="582"/>
      <c r="G80" s="582"/>
      <c r="H80" s="582"/>
      <c r="I80" s="582"/>
      <c r="J80" s="582"/>
      <c r="K80" s="582"/>
      <c r="L80" s="582"/>
      <c r="M80" s="582"/>
      <c r="N80" s="583"/>
      <c r="O80" s="190"/>
      <c r="P80" s="30"/>
      <c r="Q80" s="197">
        <f>IF(Roster!$L$14=0,"",Roster!$L$14)</f>
        <v>2</v>
      </c>
      <c r="R80" s="195"/>
      <c r="S80" s="581"/>
      <c r="T80" s="582"/>
      <c r="U80" s="582"/>
      <c r="V80" s="582"/>
      <c r="W80" s="582"/>
      <c r="X80" s="582"/>
      <c r="Y80" s="582"/>
      <c r="Z80" s="582"/>
      <c r="AA80" s="582"/>
      <c r="AB80" s="582"/>
      <c r="AC80" s="583"/>
      <c r="AD80" s="190"/>
      <c r="AE80" s="30"/>
      <c r="AF80" s="197">
        <f>IF(Roster!$L$15=0,"",Roster!$L$15)</f>
        <v>2</v>
      </c>
      <c r="AG80" s="195"/>
      <c r="AH80" s="581"/>
      <c r="AI80" s="582"/>
      <c r="AJ80" s="582"/>
      <c r="AK80" s="582"/>
      <c r="AL80" s="582"/>
      <c r="AM80" s="582"/>
      <c r="AN80" s="582"/>
      <c r="AO80" s="582"/>
      <c r="AP80" s="582"/>
      <c r="AQ80" s="582"/>
      <c r="AR80" s="583"/>
      <c r="AS80" s="190"/>
      <c r="AT80" s="30"/>
      <c r="AU80" s="197">
        <f>IF(Roster!$L$16=0,"",Roster!$L$16)</f>
        <v>5</v>
      </c>
      <c r="AV80" s="195"/>
      <c r="AW80" s="581"/>
      <c r="AX80" s="582"/>
      <c r="AY80" s="582"/>
      <c r="AZ80" s="582"/>
      <c r="BA80" s="582"/>
      <c r="BB80" s="582"/>
      <c r="BC80" s="582"/>
      <c r="BD80" s="582"/>
      <c r="BE80" s="582"/>
      <c r="BF80" s="582"/>
      <c r="BG80" s="583"/>
      <c r="BH80" s="190"/>
    </row>
    <row r="81" spans="1:60" s="31" customFormat="1" ht="11.25" customHeight="1">
      <c r="A81" s="30"/>
      <c r="B81" s="194" t="str">
        <f>IF(Roster!$M$1=0,"",Roster!$M$1)</f>
        <v>AG</v>
      </c>
      <c r="C81" s="195"/>
      <c r="D81" s="581"/>
      <c r="E81" s="582"/>
      <c r="F81" s="582"/>
      <c r="G81" s="582"/>
      <c r="H81" s="582"/>
      <c r="I81" s="582"/>
      <c r="J81" s="582"/>
      <c r="K81" s="582"/>
      <c r="L81" s="582"/>
      <c r="M81" s="582"/>
      <c r="N81" s="583"/>
      <c r="O81" s="190"/>
      <c r="P81" s="30"/>
      <c r="Q81" s="194" t="str">
        <f>IF(Roster!$M$1=0,"",Roster!$M$1)</f>
        <v>AG</v>
      </c>
      <c r="R81" s="195"/>
      <c r="S81" s="581"/>
      <c r="T81" s="582"/>
      <c r="U81" s="582"/>
      <c r="V81" s="582"/>
      <c r="W81" s="582"/>
      <c r="X81" s="582"/>
      <c r="Y81" s="582"/>
      <c r="Z81" s="582"/>
      <c r="AA81" s="582"/>
      <c r="AB81" s="582"/>
      <c r="AC81" s="583"/>
      <c r="AD81" s="190"/>
      <c r="AE81" s="30"/>
      <c r="AF81" s="194" t="str">
        <f>IF(Roster!$M$1=0,"",Roster!$M$1)</f>
        <v>AG</v>
      </c>
      <c r="AG81" s="195"/>
      <c r="AH81" s="581"/>
      <c r="AI81" s="582"/>
      <c r="AJ81" s="582"/>
      <c r="AK81" s="582"/>
      <c r="AL81" s="582"/>
      <c r="AM81" s="582"/>
      <c r="AN81" s="582"/>
      <c r="AO81" s="582"/>
      <c r="AP81" s="582"/>
      <c r="AQ81" s="582"/>
      <c r="AR81" s="583"/>
      <c r="AS81" s="190"/>
      <c r="AT81" s="30"/>
      <c r="AU81" s="194" t="str">
        <f>IF(Roster!$M$1=0,"",Roster!$M$1)</f>
        <v>AG</v>
      </c>
      <c r="AV81" s="195"/>
      <c r="AW81" s="581"/>
      <c r="AX81" s="582"/>
      <c r="AY81" s="582"/>
      <c r="AZ81" s="582"/>
      <c r="BA81" s="582"/>
      <c r="BB81" s="582"/>
      <c r="BC81" s="582"/>
      <c r="BD81" s="582"/>
      <c r="BE81" s="582"/>
      <c r="BF81" s="582"/>
      <c r="BG81" s="583"/>
      <c r="BH81" s="190"/>
    </row>
    <row r="82" spans="1:60" s="31" customFormat="1" ht="37.5" customHeight="1">
      <c r="A82" s="30"/>
      <c r="B82" s="197" t="str">
        <f>IF(Roster!$M$13=0&amp;"+","",Roster!$M$13)</f>
        <v>3+</v>
      </c>
      <c r="C82" s="195"/>
      <c r="D82" s="581"/>
      <c r="E82" s="582"/>
      <c r="F82" s="582"/>
      <c r="G82" s="582"/>
      <c r="H82" s="582"/>
      <c r="I82" s="582"/>
      <c r="J82" s="582"/>
      <c r="K82" s="582"/>
      <c r="L82" s="582"/>
      <c r="M82" s="582"/>
      <c r="N82" s="583"/>
      <c r="O82" s="190"/>
      <c r="P82" s="30"/>
      <c r="Q82" s="197" t="str">
        <f>IF(Roster!$M$14=0&amp;"+","",Roster!$M$14)</f>
        <v>3+</v>
      </c>
      <c r="R82" s="195"/>
      <c r="S82" s="581"/>
      <c r="T82" s="582"/>
      <c r="U82" s="582"/>
      <c r="V82" s="582"/>
      <c r="W82" s="582"/>
      <c r="X82" s="582"/>
      <c r="Y82" s="582"/>
      <c r="Z82" s="582"/>
      <c r="AA82" s="582"/>
      <c r="AB82" s="582"/>
      <c r="AC82" s="583"/>
      <c r="AD82" s="190"/>
      <c r="AE82" s="30"/>
      <c r="AF82" s="197" t="str">
        <f>IF(Roster!$M$15=0&amp;"+","",Roster!$M$15)</f>
        <v>3+</v>
      </c>
      <c r="AG82" s="195"/>
      <c r="AH82" s="581"/>
      <c r="AI82" s="582"/>
      <c r="AJ82" s="582"/>
      <c r="AK82" s="582"/>
      <c r="AL82" s="582"/>
      <c r="AM82" s="582"/>
      <c r="AN82" s="582"/>
      <c r="AO82" s="582"/>
      <c r="AP82" s="582"/>
      <c r="AQ82" s="582"/>
      <c r="AR82" s="583"/>
      <c r="AS82" s="190"/>
      <c r="AT82" s="30"/>
      <c r="AU82" s="197" t="str">
        <f>IF(Roster!$M$16=0&amp;"+","",Roster!$M$16)</f>
        <v>5+</v>
      </c>
      <c r="AV82" s="195"/>
      <c r="AW82" s="581"/>
      <c r="AX82" s="582"/>
      <c r="AY82" s="582"/>
      <c r="AZ82" s="582"/>
      <c r="BA82" s="582"/>
      <c r="BB82" s="582"/>
      <c r="BC82" s="582"/>
      <c r="BD82" s="582"/>
      <c r="BE82" s="582"/>
      <c r="BF82" s="582"/>
      <c r="BG82" s="583"/>
      <c r="BH82" s="190"/>
    </row>
    <row r="83" spans="1:60" s="31" customFormat="1" ht="11.25" customHeight="1">
      <c r="A83" s="30"/>
      <c r="B83" s="194" t="str">
        <f>IF(Roster!$N$1=0,"",Roster!$N$1)</f>
        <v>PA</v>
      </c>
      <c r="C83" s="195"/>
      <c r="D83" s="581"/>
      <c r="E83" s="582"/>
      <c r="F83" s="582"/>
      <c r="G83" s="582"/>
      <c r="H83" s="582"/>
      <c r="I83" s="582"/>
      <c r="J83" s="582"/>
      <c r="K83" s="582"/>
      <c r="L83" s="582"/>
      <c r="M83" s="582"/>
      <c r="N83" s="583"/>
      <c r="O83" s="199"/>
      <c r="P83" s="30"/>
      <c r="Q83" s="194" t="str">
        <f>IF(Roster!$N$1=0,"",Roster!$N$1)</f>
        <v>PA</v>
      </c>
      <c r="R83" s="195"/>
      <c r="S83" s="581"/>
      <c r="T83" s="582"/>
      <c r="U83" s="582"/>
      <c r="V83" s="582"/>
      <c r="W83" s="582"/>
      <c r="X83" s="582"/>
      <c r="Y83" s="582"/>
      <c r="Z83" s="582"/>
      <c r="AA83" s="582"/>
      <c r="AB83" s="582"/>
      <c r="AC83" s="583"/>
      <c r="AD83" s="199"/>
      <c r="AE83" s="30"/>
      <c r="AF83" s="194" t="str">
        <f>IF(Roster!$N$1=0,"",Roster!$N$1)</f>
        <v>PA</v>
      </c>
      <c r="AG83" s="195"/>
      <c r="AH83" s="581"/>
      <c r="AI83" s="582"/>
      <c r="AJ83" s="582"/>
      <c r="AK83" s="582"/>
      <c r="AL83" s="582"/>
      <c r="AM83" s="582"/>
      <c r="AN83" s="582"/>
      <c r="AO83" s="582"/>
      <c r="AP83" s="582"/>
      <c r="AQ83" s="582"/>
      <c r="AR83" s="583"/>
      <c r="AS83" s="199"/>
      <c r="AT83" s="30"/>
      <c r="AU83" s="194" t="str">
        <f>IF(Roster!$N$1=0,"",Roster!$N$1)</f>
        <v>PA</v>
      </c>
      <c r="AV83" s="195"/>
      <c r="AW83" s="581"/>
      <c r="AX83" s="582"/>
      <c r="AY83" s="582"/>
      <c r="AZ83" s="582"/>
      <c r="BA83" s="582"/>
      <c r="BB83" s="582"/>
      <c r="BC83" s="582"/>
      <c r="BD83" s="582"/>
      <c r="BE83" s="582"/>
      <c r="BF83" s="582"/>
      <c r="BG83" s="583"/>
      <c r="BH83" s="199"/>
    </row>
    <row r="84" spans="1:60" s="31" customFormat="1" ht="6" customHeight="1">
      <c r="A84" s="30"/>
      <c r="B84" s="571" t="str">
        <f>IF(Roster!$N$13=0&amp;"+","",Roster!$N$13)</f>
        <v>4+</v>
      </c>
      <c r="C84" s="195"/>
      <c r="D84" s="584"/>
      <c r="E84" s="585"/>
      <c r="F84" s="585"/>
      <c r="G84" s="585"/>
      <c r="H84" s="585"/>
      <c r="I84" s="585"/>
      <c r="J84" s="585"/>
      <c r="K84" s="585"/>
      <c r="L84" s="585"/>
      <c r="M84" s="585"/>
      <c r="N84" s="586"/>
      <c r="O84" s="201"/>
      <c r="P84" s="30"/>
      <c r="Q84" s="571" t="str">
        <f>IF(Roster!$N$14=0&amp;"+","",Roster!$N$14)</f>
        <v>4+</v>
      </c>
      <c r="R84" s="195"/>
      <c r="S84" s="584"/>
      <c r="T84" s="585"/>
      <c r="U84" s="585"/>
      <c r="V84" s="585"/>
      <c r="W84" s="585"/>
      <c r="X84" s="585"/>
      <c r="Y84" s="585"/>
      <c r="Z84" s="585"/>
      <c r="AA84" s="585"/>
      <c r="AB84" s="585"/>
      <c r="AC84" s="586"/>
      <c r="AD84" s="201"/>
      <c r="AE84" s="30"/>
      <c r="AF84" s="571" t="str">
        <f>IF(Roster!$N$15=0&amp;"+","",Roster!$N$15)</f>
        <v>4+</v>
      </c>
      <c r="AG84" s="195"/>
      <c r="AH84" s="584"/>
      <c r="AI84" s="585"/>
      <c r="AJ84" s="585"/>
      <c r="AK84" s="585"/>
      <c r="AL84" s="585"/>
      <c r="AM84" s="585"/>
      <c r="AN84" s="585"/>
      <c r="AO84" s="585"/>
      <c r="AP84" s="585"/>
      <c r="AQ84" s="585"/>
      <c r="AR84" s="586"/>
      <c r="AS84" s="201"/>
      <c r="AT84" s="30"/>
      <c r="AU84" s="571" t="str">
        <f>IF(Roster!$N$16=0&amp;"+","",Roster!$N$16)</f>
        <v>5+</v>
      </c>
      <c r="AV84" s="195"/>
      <c r="AW84" s="584"/>
      <c r="AX84" s="585"/>
      <c r="AY84" s="585"/>
      <c r="AZ84" s="585"/>
      <c r="BA84" s="585"/>
      <c r="BB84" s="585"/>
      <c r="BC84" s="585"/>
      <c r="BD84" s="585"/>
      <c r="BE84" s="585"/>
      <c r="BF84" s="585"/>
      <c r="BG84" s="586"/>
      <c r="BH84" s="201"/>
    </row>
    <row r="85" spans="1:60" s="31" customFormat="1" ht="4.5" customHeight="1">
      <c r="A85" s="30"/>
      <c r="B85" s="572"/>
      <c r="C85" s="193"/>
      <c r="D85" s="202"/>
      <c r="E85" s="200"/>
      <c r="F85" s="202"/>
      <c r="G85" s="200"/>
      <c r="H85" s="202"/>
      <c r="I85" s="200"/>
      <c r="J85" s="202"/>
      <c r="K85" s="200"/>
      <c r="L85" s="202"/>
      <c r="M85" s="200"/>
      <c r="N85" s="202"/>
      <c r="O85" s="201"/>
      <c r="P85" s="30"/>
      <c r="Q85" s="572"/>
      <c r="R85" s="193"/>
      <c r="S85" s="202"/>
      <c r="T85" s="200"/>
      <c r="U85" s="202"/>
      <c r="V85" s="200"/>
      <c r="W85" s="202"/>
      <c r="X85" s="200"/>
      <c r="Y85" s="202"/>
      <c r="Z85" s="200"/>
      <c r="AA85" s="202"/>
      <c r="AB85" s="200"/>
      <c r="AC85" s="202"/>
      <c r="AD85" s="201"/>
      <c r="AE85" s="30"/>
      <c r="AF85" s="572"/>
      <c r="AG85" s="193"/>
      <c r="AH85" s="202"/>
      <c r="AI85" s="200"/>
      <c r="AJ85" s="202"/>
      <c r="AK85" s="200"/>
      <c r="AL85" s="202"/>
      <c r="AM85" s="200"/>
      <c r="AN85" s="202"/>
      <c r="AO85" s="200"/>
      <c r="AP85" s="202"/>
      <c r="AQ85" s="200"/>
      <c r="AR85" s="202"/>
      <c r="AS85" s="201"/>
      <c r="AT85" s="30"/>
      <c r="AU85" s="572"/>
      <c r="AV85" s="193"/>
      <c r="AW85" s="202"/>
      <c r="AX85" s="200"/>
      <c r="AY85" s="202"/>
      <c r="AZ85" s="200"/>
      <c r="BA85" s="202"/>
      <c r="BB85" s="200"/>
      <c r="BC85" s="202"/>
      <c r="BD85" s="200"/>
      <c r="BE85" s="202"/>
      <c r="BF85" s="200"/>
      <c r="BG85" s="202"/>
      <c r="BH85" s="201"/>
    </row>
    <row r="86" spans="1:60" s="31" customFormat="1" ht="11.25" customHeight="1">
      <c r="A86" s="30"/>
      <c r="B86" s="57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7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7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7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7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72"/>
      <c r="R87" s="196"/>
      <c r="S87" s="235">
        <f>IF(Roster!$AD$14=0,"",Roster!$AD$14)</f>
        <v>1</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7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72"/>
      <c r="AV87" s="196"/>
      <c r="AW87" s="235" t="str">
        <f>IF(Roster!$AD$16=0,"",Roster!$AD$16)</f>
        <v/>
      </c>
      <c r="AX87" s="230"/>
      <c r="AY87" s="235">
        <f>IF((SUM(BA87,BC87,BE87))=0,"",(SUM(BA87,BC87,BE87)))</f>
        <v>2</v>
      </c>
      <c r="AZ87" s="230"/>
      <c r="BA87" s="235" t="str">
        <f>IF(Roster!$AG$16=0,"",Roster!$AG$16)</f>
        <v/>
      </c>
      <c r="BB87" s="230"/>
      <c r="BC87" s="235">
        <f>IF(Roster!$AH$16=0,"",Roster!$AH$16)</f>
        <v>2</v>
      </c>
      <c r="BD87" s="230"/>
      <c r="BE87" s="235" t="str">
        <f>IF(Roster!$AI$16=0,"",Roster!$AI$16)</f>
        <v/>
      </c>
      <c r="BF87" s="230"/>
      <c r="BG87" s="235" t="str">
        <f>IF(Roster!$AC$16=0,"",Roster!$AC$16)</f>
        <v/>
      </c>
      <c r="BH87" s="201"/>
    </row>
    <row r="88" spans="1:60" s="31" customFormat="1" ht="4.5" customHeight="1">
      <c r="A88" s="30"/>
      <c r="B88" s="445"/>
      <c r="C88" s="196"/>
      <c r="D88" s="231"/>
      <c r="E88" s="230"/>
      <c r="F88" s="231"/>
      <c r="G88" s="230"/>
      <c r="H88" s="231"/>
      <c r="I88" s="230"/>
      <c r="J88" s="231"/>
      <c r="K88" s="230"/>
      <c r="L88" s="231"/>
      <c r="M88" s="230"/>
      <c r="N88" s="231"/>
      <c r="O88" s="201"/>
      <c r="P88" s="30"/>
      <c r="Q88" s="445"/>
      <c r="R88" s="196"/>
      <c r="S88" s="231"/>
      <c r="T88" s="230"/>
      <c r="U88" s="231"/>
      <c r="V88" s="230"/>
      <c r="W88" s="231"/>
      <c r="X88" s="230"/>
      <c r="Y88" s="231"/>
      <c r="Z88" s="230"/>
      <c r="AA88" s="231"/>
      <c r="AB88" s="230"/>
      <c r="AC88" s="231"/>
      <c r="AD88" s="201"/>
      <c r="AE88" s="30"/>
      <c r="AF88" s="445"/>
      <c r="AG88" s="196"/>
      <c r="AH88" s="231"/>
      <c r="AI88" s="230"/>
      <c r="AJ88" s="231"/>
      <c r="AK88" s="230"/>
      <c r="AL88" s="231"/>
      <c r="AM88" s="230"/>
      <c r="AN88" s="231"/>
      <c r="AO88" s="230"/>
      <c r="AP88" s="231"/>
      <c r="AQ88" s="230"/>
      <c r="AR88" s="231"/>
      <c r="AS88" s="201"/>
      <c r="AT88" s="30"/>
      <c r="AU88" s="445"/>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71"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71" t="str">
        <f>IF(Roster!$O$14=0&amp;"+","",Roster!$O$14)</f>
        <v>8+</v>
      </c>
      <c r="R90" s="196"/>
      <c r="S90" s="235" t="str">
        <f>IF(Roster!$AE$14=0,"",Roster!$AE$14)</f>
        <v/>
      </c>
      <c r="T90" s="230"/>
      <c r="U90" s="235" t="str">
        <f>IF(Roster!$AF$14=0,"",Roster!$AF$14)</f>
        <v/>
      </c>
      <c r="V90" s="230"/>
      <c r="W90" s="235" t="str">
        <f>IF(Roster!$AB$14=0,"",Roster!$AB$14)</f>
        <v/>
      </c>
      <c r="X90" s="230"/>
      <c r="Y90" s="235" t="str">
        <f>IF(Roster!$AJ$14=0,"",Roster!$AJ$14)</f>
        <v/>
      </c>
      <c r="Z90" s="230"/>
      <c r="AA90" s="235">
        <f>IF(Roster!$AK$14=0,"",Roster!$AK$14)</f>
        <v>3</v>
      </c>
      <c r="AB90" s="230"/>
      <c r="AC90" s="235" t="str">
        <f>IF(Roster!$AA$14=0,"",Roster!$AA$14)</f>
        <v/>
      </c>
      <c r="AD90" s="203"/>
      <c r="AE90" s="30"/>
      <c r="AF90" s="571" t="str">
        <f>IF(Roster!$O$15=0&amp;"+","",Roster!$O$15)</f>
        <v>8+</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71" t="str">
        <f>IF(Roster!$O$16=0&amp;"+","",Roster!$O$16)</f>
        <v>10+</v>
      </c>
      <c r="AV90" s="196"/>
      <c r="AW90" s="235" t="str">
        <f>IF(Roster!$AE$16=0,"",Roster!$AE$16)</f>
        <v/>
      </c>
      <c r="AX90" s="230"/>
      <c r="AY90" s="235" t="str">
        <f>IF(Roster!$AF$16=0,"",Roster!$AF$16)</f>
        <v/>
      </c>
      <c r="AZ90" s="230"/>
      <c r="BA90" s="235" t="str">
        <f>IF(Roster!$AB$16=0,"",Roster!$AB$16)</f>
        <v/>
      </c>
      <c r="BB90" s="230"/>
      <c r="BC90" s="235" t="str">
        <f>IF(Roster!$AJ$16=0,"",Roster!$AJ$16)</f>
        <v/>
      </c>
      <c r="BD90" s="230"/>
      <c r="BE90" s="235">
        <f>IF(Roster!$AK$16=0,"",Roster!$AK$16)</f>
        <v>4</v>
      </c>
      <c r="BF90" s="230"/>
      <c r="BG90" s="235" t="str">
        <f>IF(Roster!$AA$16=0,"",Roster!$AA$16)</f>
        <v/>
      </c>
      <c r="BH90" s="203"/>
    </row>
    <row r="91" spans="1:60" s="31" customFormat="1" ht="4.5" customHeight="1">
      <c r="A91" s="30"/>
      <c r="B91" s="572"/>
      <c r="C91" s="196"/>
      <c r="D91" s="230"/>
      <c r="E91" s="230"/>
      <c r="F91" s="230"/>
      <c r="G91" s="230"/>
      <c r="H91" s="230"/>
      <c r="I91" s="230"/>
      <c r="J91" s="230"/>
      <c r="K91" s="230"/>
      <c r="L91" s="230"/>
      <c r="M91" s="230"/>
      <c r="N91" s="233"/>
      <c r="O91" s="203"/>
      <c r="P91" s="30"/>
      <c r="Q91" s="572"/>
      <c r="R91" s="196"/>
      <c r="S91" s="230"/>
      <c r="T91" s="230"/>
      <c r="U91" s="230"/>
      <c r="V91" s="230"/>
      <c r="W91" s="230"/>
      <c r="X91" s="230"/>
      <c r="Y91" s="230"/>
      <c r="Z91" s="230"/>
      <c r="AA91" s="230"/>
      <c r="AB91" s="230"/>
      <c r="AC91" s="233"/>
      <c r="AD91" s="203"/>
      <c r="AE91" s="30"/>
      <c r="AF91" s="572"/>
      <c r="AG91" s="196"/>
      <c r="AH91" s="230"/>
      <c r="AI91" s="230"/>
      <c r="AJ91" s="230"/>
      <c r="AK91" s="230"/>
      <c r="AL91" s="230"/>
      <c r="AM91" s="230"/>
      <c r="AN91" s="230"/>
      <c r="AO91" s="230"/>
      <c r="AP91" s="230"/>
      <c r="AQ91" s="230"/>
      <c r="AR91" s="233"/>
      <c r="AS91" s="203"/>
      <c r="AT91" s="30"/>
      <c r="AU91" s="572"/>
      <c r="AV91" s="196"/>
      <c r="AW91" s="230"/>
      <c r="AX91" s="230"/>
      <c r="AY91" s="230"/>
      <c r="AZ91" s="230"/>
      <c r="BA91" s="230"/>
      <c r="BB91" s="230"/>
      <c r="BC91" s="230"/>
      <c r="BD91" s="230"/>
      <c r="BE91" s="230"/>
      <c r="BF91" s="230"/>
      <c r="BG91" s="233"/>
      <c r="BH91" s="203"/>
    </row>
    <row r="92" spans="1:60" s="31" customFormat="1" ht="11.25" customHeight="1">
      <c r="A92" s="30"/>
      <c r="B92" s="572"/>
      <c r="C92" s="196"/>
      <c r="D92" s="568" t="str">
        <f>IF(Roster!$K$25="Italiano","ABILITÀ &amp; TRATTI",(IF(Roster!$K$25="Español","HABILIDADES Y RASGOS","SKILLS &amp; TRAITS")))</f>
        <v>SKILLS &amp; TRAITS</v>
      </c>
      <c r="E92" s="569"/>
      <c r="F92" s="569"/>
      <c r="G92" s="569"/>
      <c r="H92" s="569"/>
      <c r="I92" s="569"/>
      <c r="J92" s="569"/>
      <c r="K92" s="569"/>
      <c r="L92" s="569"/>
      <c r="M92" s="569"/>
      <c r="N92" s="570"/>
      <c r="O92" s="203"/>
      <c r="P92" s="30"/>
      <c r="Q92" s="572"/>
      <c r="R92" s="196"/>
      <c r="S92" s="568" t="str">
        <f>IF(Roster!$K$25="Italiano","ABILITÀ &amp; TRATTI",(IF(Roster!$K$25="Español","HABILIDADES Y RASGOS","SKILLS &amp; TRAITS")))</f>
        <v>SKILLS &amp; TRAITS</v>
      </c>
      <c r="T92" s="569"/>
      <c r="U92" s="569"/>
      <c r="V92" s="569"/>
      <c r="W92" s="569"/>
      <c r="X92" s="569"/>
      <c r="Y92" s="569"/>
      <c r="Z92" s="569"/>
      <c r="AA92" s="569"/>
      <c r="AB92" s="569"/>
      <c r="AC92" s="570"/>
      <c r="AD92" s="203"/>
      <c r="AE92" s="30"/>
      <c r="AF92" s="572"/>
      <c r="AG92" s="196"/>
      <c r="AH92" s="568" t="str">
        <f>IF(Roster!$K$25="Italiano","ABILITÀ &amp; TRATTI",(IF(Roster!$K$25="Español","HABILIDADES Y RASGOS","SKILLS &amp; TRAITS")))</f>
        <v>SKILLS &amp; TRAITS</v>
      </c>
      <c r="AI92" s="569"/>
      <c r="AJ92" s="569"/>
      <c r="AK92" s="569"/>
      <c r="AL92" s="569"/>
      <c r="AM92" s="569"/>
      <c r="AN92" s="569"/>
      <c r="AO92" s="569"/>
      <c r="AP92" s="569"/>
      <c r="AQ92" s="569"/>
      <c r="AR92" s="570"/>
      <c r="AS92" s="203"/>
      <c r="AT92" s="30"/>
      <c r="AU92" s="572"/>
      <c r="AV92" s="196"/>
      <c r="AW92" s="568" t="str">
        <f>IF(Roster!$K$25="Italiano","ABILITÀ &amp; TRATTI",(IF(Roster!$K$25="Español","HABILIDADES Y RASGOS","SKILLS &amp; TRAITS")))</f>
        <v>SKILLS &amp; TRAITS</v>
      </c>
      <c r="AX92" s="569"/>
      <c r="AY92" s="569"/>
      <c r="AZ92" s="569"/>
      <c r="BA92" s="569"/>
      <c r="BB92" s="569"/>
      <c r="BC92" s="569"/>
      <c r="BD92" s="569"/>
      <c r="BE92" s="569"/>
      <c r="BF92" s="569"/>
      <c r="BG92" s="570"/>
      <c r="BH92" s="203"/>
    </row>
    <row r="93" spans="1:60" s="31" customFormat="1" ht="6.75" customHeight="1">
      <c r="A93" s="30"/>
      <c r="B93" s="445"/>
      <c r="C93" s="196"/>
      <c r="D93" s="561" t="str">
        <f>IF(Roster!$P$13=0&amp;AQ74,"",Roster!$P$13)</f>
        <v>Dodge, Right Stuff, Stunty</v>
      </c>
      <c r="E93" s="541"/>
      <c r="F93" s="541"/>
      <c r="G93" s="541"/>
      <c r="H93" s="541"/>
      <c r="I93" s="541"/>
      <c r="J93" s="541"/>
      <c r="K93" s="541"/>
      <c r="L93" s="541"/>
      <c r="M93" s="541"/>
      <c r="N93" s="562"/>
      <c r="O93" s="203"/>
      <c r="P93" s="30"/>
      <c r="Q93" s="445"/>
      <c r="R93" s="196"/>
      <c r="S93" s="561" t="str">
        <f>IF(Roster!$P$14=0&amp;BF74,"",Roster!$P$14)</f>
        <v>Dodge, Right Stuff, Stunty</v>
      </c>
      <c r="T93" s="541"/>
      <c r="U93" s="541"/>
      <c r="V93" s="541"/>
      <c r="W93" s="541"/>
      <c r="X93" s="541"/>
      <c r="Y93" s="541"/>
      <c r="Z93" s="541"/>
      <c r="AA93" s="541"/>
      <c r="AB93" s="541"/>
      <c r="AC93" s="562"/>
      <c r="AD93" s="203"/>
      <c r="AE93" s="30"/>
      <c r="AF93" s="445"/>
      <c r="AG93" s="196"/>
      <c r="AH93" s="561" t="str">
        <f>IF(Roster!$P$15=0&amp;BU74,"",Roster!$P$15)</f>
        <v>Dodge, Right Stuff, Stunty</v>
      </c>
      <c r="AI93" s="541"/>
      <c r="AJ93" s="541"/>
      <c r="AK93" s="541"/>
      <c r="AL93" s="541"/>
      <c r="AM93" s="541"/>
      <c r="AN93" s="541"/>
      <c r="AO93" s="541"/>
      <c r="AP93" s="541"/>
      <c r="AQ93" s="541"/>
      <c r="AR93" s="562"/>
      <c r="AS93" s="203"/>
      <c r="AT93" s="30"/>
      <c r="AU93" s="445"/>
      <c r="AV93" s="196"/>
      <c r="AW93" s="561" t="str">
        <f>IF(Roster!$P$16=0&amp;CJ74,"",Roster!$P$16)</f>
        <v>Always Hungry, Loner (3+), Mighty Blow (+1), Projectile Vomit, Really Stupid, Regeneration, Throw Team-mate</v>
      </c>
      <c r="AX93" s="541"/>
      <c r="AY93" s="541"/>
      <c r="AZ93" s="541"/>
      <c r="BA93" s="541"/>
      <c r="BB93" s="541"/>
      <c r="BC93" s="541"/>
      <c r="BD93" s="541"/>
      <c r="BE93" s="541"/>
      <c r="BF93" s="541"/>
      <c r="BG93" s="562"/>
      <c r="BH93" s="203"/>
    </row>
    <row r="94" spans="1:60" s="31" customFormat="1" ht="11.25" customHeight="1">
      <c r="A94" s="30"/>
      <c r="B94" s="194" t="str">
        <f>IF(Roster!$AO$1=0,"",Roster!$AO$1)</f>
        <v>COST</v>
      </c>
      <c r="C94" s="195"/>
      <c r="D94" s="563"/>
      <c r="E94" s="564"/>
      <c r="F94" s="564"/>
      <c r="G94" s="564"/>
      <c r="H94" s="564"/>
      <c r="I94" s="564"/>
      <c r="J94" s="564"/>
      <c r="K94" s="564"/>
      <c r="L94" s="564"/>
      <c r="M94" s="564"/>
      <c r="N94" s="562"/>
      <c r="O94" s="206"/>
      <c r="P94" s="30"/>
      <c r="Q94" s="194" t="str">
        <f>IF(Roster!$AO$1=0,"",Roster!$AO$1)</f>
        <v>COST</v>
      </c>
      <c r="R94" s="195"/>
      <c r="S94" s="563"/>
      <c r="T94" s="564"/>
      <c r="U94" s="564"/>
      <c r="V94" s="564"/>
      <c r="W94" s="564"/>
      <c r="X94" s="564"/>
      <c r="Y94" s="564"/>
      <c r="Z94" s="564"/>
      <c r="AA94" s="564"/>
      <c r="AB94" s="564"/>
      <c r="AC94" s="562"/>
      <c r="AD94" s="206"/>
      <c r="AE94" s="30"/>
      <c r="AF94" s="194" t="str">
        <f>IF(Roster!$AO$1=0,"",Roster!$AO$1)</f>
        <v>COST</v>
      </c>
      <c r="AG94" s="195"/>
      <c r="AH94" s="563"/>
      <c r="AI94" s="564"/>
      <c r="AJ94" s="564"/>
      <c r="AK94" s="564"/>
      <c r="AL94" s="564"/>
      <c r="AM94" s="564"/>
      <c r="AN94" s="564"/>
      <c r="AO94" s="564"/>
      <c r="AP94" s="564"/>
      <c r="AQ94" s="564"/>
      <c r="AR94" s="562"/>
      <c r="AS94" s="206"/>
      <c r="AT94" s="30"/>
      <c r="AU94" s="194" t="str">
        <f>IF(Roster!$AO$1=0,"",Roster!$AO$1)</f>
        <v>COST</v>
      </c>
      <c r="AV94" s="195"/>
      <c r="AW94" s="563"/>
      <c r="AX94" s="564"/>
      <c r="AY94" s="564"/>
      <c r="AZ94" s="564"/>
      <c r="BA94" s="564"/>
      <c r="BB94" s="564"/>
      <c r="BC94" s="564"/>
      <c r="BD94" s="564"/>
      <c r="BE94" s="564"/>
      <c r="BF94" s="564"/>
      <c r="BG94" s="562"/>
      <c r="BH94" s="206"/>
    </row>
    <row r="95" spans="1:60" s="31" customFormat="1" ht="34.5" customHeight="1">
      <c r="A95" s="30"/>
      <c r="B95" s="208">
        <f>IF(Roster!$AO$13=0,"",Roster!$AO$13)</f>
        <v>40000</v>
      </c>
      <c r="C95" s="209"/>
      <c r="D95" s="565"/>
      <c r="E95" s="566"/>
      <c r="F95" s="566"/>
      <c r="G95" s="566"/>
      <c r="H95" s="566"/>
      <c r="I95" s="566"/>
      <c r="J95" s="566"/>
      <c r="K95" s="566"/>
      <c r="L95" s="566"/>
      <c r="M95" s="566"/>
      <c r="N95" s="567"/>
      <c r="O95" s="206"/>
      <c r="P95" s="30"/>
      <c r="Q95" s="208">
        <f>IF(Roster!$AO$14=0,"",Roster!$AO$14)</f>
        <v>40000</v>
      </c>
      <c r="R95" s="209"/>
      <c r="S95" s="565"/>
      <c r="T95" s="566"/>
      <c r="U95" s="566"/>
      <c r="V95" s="566"/>
      <c r="W95" s="566"/>
      <c r="X95" s="566"/>
      <c r="Y95" s="566"/>
      <c r="Z95" s="566"/>
      <c r="AA95" s="566"/>
      <c r="AB95" s="566"/>
      <c r="AC95" s="567"/>
      <c r="AD95" s="206"/>
      <c r="AE95" s="30"/>
      <c r="AF95" s="208">
        <f>IF(Roster!$AO$15=0,"",Roster!$AO$15)</f>
        <v>40000</v>
      </c>
      <c r="AG95" s="209"/>
      <c r="AH95" s="565"/>
      <c r="AI95" s="566"/>
      <c r="AJ95" s="566"/>
      <c r="AK95" s="566"/>
      <c r="AL95" s="566"/>
      <c r="AM95" s="566"/>
      <c r="AN95" s="566"/>
      <c r="AO95" s="566"/>
      <c r="AP95" s="566"/>
      <c r="AQ95" s="566"/>
      <c r="AR95" s="567"/>
      <c r="AS95" s="206"/>
      <c r="AT95" s="30"/>
      <c r="AU95" s="208">
        <f>IF(Roster!$AO$16=0,"",Roster!$AO$16)</f>
        <v>115000</v>
      </c>
      <c r="AV95" s="209"/>
      <c r="AW95" s="565"/>
      <c r="AX95" s="566"/>
      <c r="AY95" s="566"/>
      <c r="AZ95" s="566"/>
      <c r="BA95" s="566"/>
      <c r="BB95" s="566"/>
      <c r="BC95" s="566"/>
      <c r="BD95" s="566"/>
      <c r="BE95" s="566"/>
      <c r="BF95" s="566"/>
      <c r="BG95" s="567"/>
      <c r="BH95" s="206"/>
    </row>
    <row r="96" spans="1:60" s="31" customFormat="1" ht="4.5" customHeight="1">
      <c r="A96" s="30"/>
      <c r="B96" s="573"/>
      <c r="C96" s="375"/>
      <c r="D96" s="375"/>
      <c r="E96" s="375"/>
      <c r="F96" s="375"/>
      <c r="G96" s="375"/>
      <c r="H96" s="375"/>
      <c r="I96" s="375"/>
      <c r="J96" s="375"/>
      <c r="K96" s="375"/>
      <c r="L96" s="375"/>
      <c r="M96" s="375"/>
      <c r="N96" s="376"/>
      <c r="O96" s="210"/>
      <c r="P96" s="30"/>
      <c r="Q96" s="573"/>
      <c r="R96" s="375"/>
      <c r="S96" s="375"/>
      <c r="T96" s="375"/>
      <c r="U96" s="375"/>
      <c r="V96" s="375"/>
      <c r="W96" s="375"/>
      <c r="X96" s="375"/>
      <c r="Y96" s="375"/>
      <c r="Z96" s="375"/>
      <c r="AA96" s="375"/>
      <c r="AB96" s="375"/>
      <c r="AC96" s="376"/>
      <c r="AD96" s="210"/>
      <c r="AE96" s="30"/>
      <c r="AF96" s="573"/>
      <c r="AG96" s="375"/>
      <c r="AH96" s="375"/>
      <c r="AI96" s="375"/>
      <c r="AJ96" s="375"/>
      <c r="AK96" s="375"/>
      <c r="AL96" s="375"/>
      <c r="AM96" s="375"/>
      <c r="AN96" s="375"/>
      <c r="AO96" s="375"/>
      <c r="AP96" s="375"/>
      <c r="AQ96" s="375"/>
      <c r="AR96" s="376"/>
      <c r="AS96" s="210"/>
      <c r="AT96" s="30"/>
      <c r="AU96" s="573"/>
      <c r="AV96" s="375"/>
      <c r="AW96" s="375"/>
      <c r="AX96" s="375"/>
      <c r="AY96" s="375"/>
      <c r="AZ96" s="375"/>
      <c r="BA96" s="375"/>
      <c r="BB96" s="375"/>
      <c r="BC96" s="375"/>
      <c r="BD96" s="375"/>
      <c r="BE96" s="375"/>
      <c r="BF96" s="375"/>
      <c r="BG96" s="376"/>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74" t="str">
        <f>IF(Roster!$A$17=0,"","#"&amp;Roster!$A$17)</f>
        <v>#16</v>
      </c>
      <c r="C98" s="188"/>
      <c r="D98" s="188"/>
      <c r="E98" s="188"/>
      <c r="F98" s="188"/>
      <c r="G98" s="188"/>
      <c r="H98" s="188"/>
      <c r="I98" s="188"/>
      <c r="J98" s="188"/>
      <c r="K98" s="188"/>
      <c r="L98" s="188"/>
      <c r="M98" s="188"/>
      <c r="N98" s="188"/>
      <c r="O98" s="189"/>
      <c r="P98" s="30"/>
      <c r="Q98" s="574"/>
      <c r="R98" s="188"/>
      <c r="S98" s="188"/>
      <c r="T98" s="188"/>
      <c r="U98" s="188"/>
      <c r="V98" s="188"/>
      <c r="W98" s="188"/>
      <c r="X98" s="188"/>
      <c r="Y98" s="188"/>
      <c r="Z98" s="188"/>
      <c r="AA98" s="188"/>
      <c r="AB98" s="188"/>
      <c r="AC98" s="188"/>
      <c r="AD98" s="189"/>
      <c r="AE98" s="202"/>
      <c r="AF98" s="574"/>
      <c r="AG98" s="188"/>
      <c r="AH98" s="188"/>
      <c r="AI98" s="188"/>
      <c r="AJ98" s="188"/>
      <c r="AK98" s="188"/>
      <c r="AL98" s="188"/>
      <c r="AM98" s="188"/>
      <c r="AN98" s="188"/>
      <c r="AO98" s="188"/>
      <c r="AP98" s="188"/>
      <c r="AQ98" s="188"/>
      <c r="AR98" s="188"/>
      <c r="AS98" s="189"/>
      <c r="AT98" s="202"/>
      <c r="AU98" s="574"/>
      <c r="AV98" s="188"/>
      <c r="AW98" s="188"/>
      <c r="AX98" s="188"/>
      <c r="AY98" s="188"/>
      <c r="AZ98" s="188"/>
      <c r="BA98" s="188"/>
      <c r="BB98" s="188"/>
      <c r="BC98" s="188"/>
      <c r="BD98" s="188"/>
      <c r="BE98" s="188"/>
      <c r="BF98" s="188"/>
      <c r="BG98" s="188"/>
      <c r="BH98" s="189"/>
      <c r="BI98" s="211"/>
    </row>
    <row r="99" spans="1:61" ht="15" customHeight="1">
      <c r="A99" s="30"/>
      <c r="B99" s="575"/>
      <c r="C99" s="560" t="str">
        <f>IF(Roster!$B$17=0,"",Roster!$B$17)</f>
        <v>Gork Morandi</v>
      </c>
      <c r="D99" s="484"/>
      <c r="E99" s="484"/>
      <c r="F99" s="484"/>
      <c r="G99" s="484"/>
      <c r="H99" s="484"/>
      <c r="I99" s="484"/>
      <c r="J99" s="484"/>
      <c r="K99" s="484"/>
      <c r="L99" s="484"/>
      <c r="M99" s="484"/>
      <c r="N99" s="485"/>
      <c r="O99" s="190"/>
      <c r="P99" s="30"/>
      <c r="Q99" s="575"/>
      <c r="R99" s="577" t="str">
        <f>IF(Roster!$B$18=0,"","("&amp;Roster!$B$18&amp;")")</f>
        <v>(Star Player &amp; Mercenary)</v>
      </c>
      <c r="S99" s="484"/>
      <c r="T99" s="484"/>
      <c r="U99" s="484"/>
      <c r="V99" s="484"/>
      <c r="W99" s="484"/>
      <c r="X99" s="484"/>
      <c r="Y99" s="484"/>
      <c r="Z99" s="484"/>
      <c r="AA99" s="484"/>
      <c r="AB99" s="484"/>
      <c r="AC99" s="485"/>
      <c r="AD99" s="190"/>
      <c r="AE99" s="202"/>
      <c r="AF99" s="575"/>
      <c r="AG99" s="577" t="str">
        <f>IF(Roster!$B$18=0,"","("&amp;Roster!$B$18&amp;")")</f>
        <v>(Star Player &amp; Mercenary)</v>
      </c>
      <c r="AH99" s="484"/>
      <c r="AI99" s="484"/>
      <c r="AJ99" s="484"/>
      <c r="AK99" s="484"/>
      <c r="AL99" s="484"/>
      <c r="AM99" s="484"/>
      <c r="AN99" s="484"/>
      <c r="AO99" s="484"/>
      <c r="AP99" s="484"/>
      <c r="AQ99" s="484"/>
      <c r="AR99" s="485"/>
      <c r="AS99" s="190"/>
      <c r="AT99" s="202"/>
      <c r="AU99" s="575"/>
      <c r="AV99" s="577" t="str">
        <f>IF(Roster!$B$20=0,"","("&amp;Roster!$B$20&amp;")")</f>
        <v>(Mercenary)</v>
      </c>
      <c r="AW99" s="484"/>
      <c r="AX99" s="484"/>
      <c r="AY99" s="484"/>
      <c r="AZ99" s="484"/>
      <c r="BA99" s="484"/>
      <c r="BB99" s="484"/>
      <c r="BC99" s="484"/>
      <c r="BD99" s="484"/>
      <c r="BE99" s="484"/>
      <c r="BF99" s="484"/>
      <c r="BG99" s="485"/>
      <c r="BH99" s="190"/>
      <c r="BI99" s="211"/>
    </row>
    <row r="100" spans="1:61" ht="11.25" customHeight="1">
      <c r="A100" s="30"/>
      <c r="B100" s="576"/>
      <c r="C100" s="577" t="str">
        <f>IF(Roster!$D$17=0,"",Roster!$D$17)</f>
        <v xml:space="preserve">Troll </v>
      </c>
      <c r="D100" s="484"/>
      <c r="E100" s="484"/>
      <c r="F100" s="484"/>
      <c r="G100" s="484"/>
      <c r="H100" s="484"/>
      <c r="I100" s="484"/>
      <c r="J100" s="484"/>
      <c r="K100" s="484"/>
      <c r="L100" s="484"/>
      <c r="M100" s="484"/>
      <c r="N100" s="485"/>
      <c r="O100" s="191"/>
      <c r="P100" s="30"/>
      <c r="Q100" s="576"/>
      <c r="R100" s="607" t="str">
        <f>IF(Roster!$D$18=0,"",Roster!$D$18)</f>
        <v/>
      </c>
      <c r="S100" s="548"/>
      <c r="T100" s="548"/>
      <c r="U100" s="548"/>
      <c r="V100" s="548"/>
      <c r="W100" s="548"/>
      <c r="X100" s="548"/>
      <c r="Y100" s="548"/>
      <c r="Z100" s="548"/>
      <c r="AA100" s="548"/>
      <c r="AB100" s="548"/>
      <c r="AC100" s="549"/>
      <c r="AD100" s="191"/>
      <c r="AE100" s="202"/>
      <c r="AF100" s="576"/>
      <c r="AG100" s="607" t="str">
        <f>IF(Roster!$D$19=0,"",Roster!$D$19)</f>
        <v/>
      </c>
      <c r="AH100" s="548"/>
      <c r="AI100" s="548"/>
      <c r="AJ100" s="548"/>
      <c r="AK100" s="548"/>
      <c r="AL100" s="548"/>
      <c r="AM100" s="548"/>
      <c r="AN100" s="548"/>
      <c r="AO100" s="548"/>
      <c r="AP100" s="548"/>
      <c r="AQ100" s="548"/>
      <c r="AR100" s="549"/>
      <c r="AS100" s="191"/>
      <c r="AT100" s="202"/>
      <c r="AU100" s="576"/>
      <c r="AV100" s="607" t="str">
        <f>IF(Roster!$D$20=0,"",Roster!$D$20)</f>
        <v/>
      </c>
      <c r="AW100" s="548"/>
      <c r="AX100" s="548"/>
      <c r="AY100" s="548"/>
      <c r="AZ100" s="548"/>
      <c r="BA100" s="548"/>
      <c r="BB100" s="548"/>
      <c r="BC100" s="548"/>
      <c r="BD100" s="548"/>
      <c r="BE100" s="548"/>
      <c r="BF100" s="548"/>
      <c r="BG100" s="549"/>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0"/>
      <c r="S101" s="396"/>
      <c r="T101" s="396"/>
      <c r="U101" s="396"/>
      <c r="V101" s="396"/>
      <c r="W101" s="396"/>
      <c r="X101" s="396"/>
      <c r="Y101" s="396"/>
      <c r="Z101" s="396"/>
      <c r="AA101" s="396"/>
      <c r="AB101" s="396"/>
      <c r="AC101" s="551"/>
      <c r="AD101" s="190"/>
      <c r="AE101" s="202"/>
      <c r="AF101" s="194" t="str">
        <f>IF(Roster!$K$1=0,"",Roster!$K$1)</f>
        <v>MA</v>
      </c>
      <c r="AG101" s="550"/>
      <c r="AH101" s="396"/>
      <c r="AI101" s="396"/>
      <c r="AJ101" s="396"/>
      <c r="AK101" s="396"/>
      <c r="AL101" s="396"/>
      <c r="AM101" s="396"/>
      <c r="AN101" s="396"/>
      <c r="AO101" s="396"/>
      <c r="AP101" s="396"/>
      <c r="AQ101" s="396"/>
      <c r="AR101" s="551"/>
      <c r="AS101" s="190"/>
      <c r="AT101" s="202"/>
      <c r="AU101" s="194" t="str">
        <f>IF(Roster!$K$1=0,"",Roster!$K$1)</f>
        <v>MA</v>
      </c>
      <c r="AV101" s="550"/>
      <c r="AW101" s="396"/>
      <c r="AX101" s="396"/>
      <c r="AY101" s="396"/>
      <c r="AZ101" s="396"/>
      <c r="BA101" s="396"/>
      <c r="BB101" s="396"/>
      <c r="BC101" s="396"/>
      <c r="BD101" s="396"/>
      <c r="BE101" s="396"/>
      <c r="BF101" s="396"/>
      <c r="BG101" s="551"/>
      <c r="BH101" s="190"/>
      <c r="BI101" s="211"/>
    </row>
    <row r="102" spans="1:61" ht="37.5" customHeight="1">
      <c r="A102" s="30"/>
      <c r="B102" s="197">
        <f>IF(Roster!$K$17=0,"",Roster!$K$17)</f>
        <v>4</v>
      </c>
      <c r="C102" s="195"/>
      <c r="D102" s="578"/>
      <c r="E102" s="579"/>
      <c r="F102" s="579"/>
      <c r="G102" s="579"/>
      <c r="H102" s="579"/>
      <c r="I102" s="579"/>
      <c r="J102" s="579"/>
      <c r="K102" s="579"/>
      <c r="L102" s="579"/>
      <c r="M102" s="579"/>
      <c r="N102" s="580"/>
      <c r="O102" s="190"/>
      <c r="P102" s="30"/>
      <c r="Q102" s="197" t="str">
        <f>IF(Roster!$K$18=0,"",Roster!$K$18)</f>
        <v/>
      </c>
      <c r="R102" s="552"/>
      <c r="S102" s="553"/>
      <c r="T102" s="553"/>
      <c r="U102" s="553"/>
      <c r="V102" s="553"/>
      <c r="W102" s="553"/>
      <c r="X102" s="553"/>
      <c r="Y102" s="553"/>
      <c r="Z102" s="553"/>
      <c r="AA102" s="553"/>
      <c r="AB102" s="553"/>
      <c r="AC102" s="371"/>
      <c r="AD102" s="588"/>
      <c r="AE102" s="202"/>
      <c r="AF102" s="197" t="str">
        <f>IF(Roster!$K$19=0,"",Roster!$K$19)</f>
        <v/>
      </c>
      <c r="AG102" s="552"/>
      <c r="AH102" s="553"/>
      <c r="AI102" s="553"/>
      <c r="AJ102" s="553"/>
      <c r="AK102" s="553"/>
      <c r="AL102" s="553"/>
      <c r="AM102" s="553"/>
      <c r="AN102" s="553"/>
      <c r="AO102" s="553"/>
      <c r="AP102" s="553"/>
      <c r="AQ102" s="553"/>
      <c r="AR102" s="371"/>
      <c r="AS102" s="588"/>
      <c r="AT102" s="202"/>
      <c r="AU102" s="197" t="str">
        <f>IF(Roster!$K$20=0,"",Roster!$K$20)</f>
        <v/>
      </c>
      <c r="AV102" s="552"/>
      <c r="AW102" s="553"/>
      <c r="AX102" s="553"/>
      <c r="AY102" s="553"/>
      <c r="AZ102" s="553"/>
      <c r="BA102" s="553"/>
      <c r="BB102" s="553"/>
      <c r="BC102" s="553"/>
      <c r="BD102" s="553"/>
      <c r="BE102" s="553"/>
      <c r="BF102" s="553"/>
      <c r="BG102" s="371"/>
      <c r="BH102" s="588"/>
      <c r="BI102" s="211"/>
    </row>
    <row r="103" spans="1:61" ht="11.25" customHeight="1">
      <c r="A103" s="30"/>
      <c r="B103" s="194" t="str">
        <f>IF(Roster!$L$1=0,"",Roster!$L$1)</f>
        <v>ST</v>
      </c>
      <c r="C103" s="195"/>
      <c r="D103" s="581"/>
      <c r="E103" s="582"/>
      <c r="F103" s="582"/>
      <c r="G103" s="582"/>
      <c r="H103" s="582"/>
      <c r="I103" s="582"/>
      <c r="J103" s="582"/>
      <c r="K103" s="582"/>
      <c r="L103" s="582"/>
      <c r="M103" s="582"/>
      <c r="N103" s="583"/>
      <c r="O103" s="190"/>
      <c r="P103" s="30"/>
      <c r="Q103" s="194" t="str">
        <f>IF(Roster!$L$1=0,"",Roster!$L$1)</f>
        <v>ST</v>
      </c>
      <c r="R103" s="591"/>
      <c r="S103" s="608" t="str">
        <f>IF(Roster!$K$25="Español","REGLA ESPECIAL","SPECIAL RULE")</f>
        <v>SPECIAL RULE</v>
      </c>
      <c r="T103" s="372"/>
      <c r="U103" s="372"/>
      <c r="V103" s="372"/>
      <c r="W103" s="372"/>
      <c r="X103" s="372"/>
      <c r="Y103" s="372"/>
      <c r="Z103" s="372"/>
      <c r="AA103" s="372"/>
      <c r="AB103" s="372"/>
      <c r="AC103" s="609"/>
      <c r="AD103" s="589"/>
      <c r="AE103" s="202"/>
      <c r="AF103" s="194" t="str">
        <f>IF(Roster!$L$1=0,"",Roster!$L$1)</f>
        <v>ST</v>
      </c>
      <c r="AG103" s="591"/>
      <c r="AH103" s="608" t="str">
        <f>IF(Roster!$K$25="Español","REGLA ESPECIAL","SPECIAL RULE")</f>
        <v>SPECIAL RULE</v>
      </c>
      <c r="AI103" s="372"/>
      <c r="AJ103" s="372"/>
      <c r="AK103" s="372"/>
      <c r="AL103" s="372"/>
      <c r="AM103" s="372"/>
      <c r="AN103" s="372"/>
      <c r="AO103" s="372"/>
      <c r="AP103" s="372"/>
      <c r="AQ103" s="372"/>
      <c r="AR103" s="609"/>
      <c r="AS103" s="589"/>
      <c r="AT103" s="202"/>
      <c r="AU103" s="194" t="str">
        <f>IF(Roster!$L$1=0,"",Roster!$L$1)</f>
        <v>ST</v>
      </c>
      <c r="AV103" s="591"/>
      <c r="AW103" s="608" t="str">
        <f>IF(Roster!$K$25="Italiano","REGOLE SPECIALI",(IF(Roster!$K$25="Español","REGLA ESPECIAL","SPECIAL RULE")))</f>
        <v>SPECIAL RULE</v>
      </c>
      <c r="AX103" s="372"/>
      <c r="AY103" s="372"/>
      <c r="AZ103" s="372"/>
      <c r="BA103" s="372"/>
      <c r="BB103" s="372"/>
      <c r="BC103" s="372"/>
      <c r="BD103" s="372"/>
      <c r="BE103" s="372"/>
      <c r="BF103" s="372"/>
      <c r="BG103" s="609"/>
      <c r="BH103" s="589"/>
      <c r="BI103" s="211"/>
    </row>
    <row r="104" spans="1:61" ht="37.5" customHeight="1">
      <c r="A104" s="30"/>
      <c r="B104" s="197">
        <f>IF(Roster!$L$17=0,"",Roster!$L$17)</f>
        <v>5</v>
      </c>
      <c r="C104" s="195"/>
      <c r="D104" s="581"/>
      <c r="E104" s="582"/>
      <c r="F104" s="582"/>
      <c r="G104" s="582"/>
      <c r="H104" s="582"/>
      <c r="I104" s="582"/>
      <c r="J104" s="582"/>
      <c r="K104" s="582"/>
      <c r="L104" s="582"/>
      <c r="M104" s="582"/>
      <c r="N104" s="583"/>
      <c r="O104" s="190"/>
      <c r="P104" s="30"/>
      <c r="Q104" s="197" t="str">
        <f>IF(Roster!$L$18=0,"",Roster!$L$18)</f>
        <v/>
      </c>
      <c r="R104" s="499"/>
      <c r="S104" s="592" t="str">
        <f>IF(Roster!$AA$18=0,"",Roster!$AA$18)</f>
        <v/>
      </c>
      <c r="T104" s="593"/>
      <c r="U104" s="593"/>
      <c r="V104" s="593"/>
      <c r="W104" s="593"/>
      <c r="X104" s="593"/>
      <c r="Y104" s="593"/>
      <c r="Z104" s="593"/>
      <c r="AA104" s="593"/>
      <c r="AB104" s="593"/>
      <c r="AC104" s="594"/>
      <c r="AD104" s="589"/>
      <c r="AE104" s="202"/>
      <c r="AF104" s="197" t="str">
        <f>IF(Roster!$L$19=0,"",Roster!$L$19)</f>
        <v/>
      </c>
      <c r="AG104" s="499"/>
      <c r="AH104" s="592" t="str">
        <f>IF(Roster!$AA$19=0,"",Roster!$AA$19)</f>
        <v/>
      </c>
      <c r="AI104" s="593"/>
      <c r="AJ104" s="593"/>
      <c r="AK104" s="593"/>
      <c r="AL104" s="593"/>
      <c r="AM104" s="593"/>
      <c r="AN104" s="593"/>
      <c r="AO104" s="593"/>
      <c r="AP104" s="593"/>
      <c r="AQ104" s="593"/>
      <c r="AR104" s="594"/>
      <c r="AS104" s="589"/>
      <c r="AT104" s="202"/>
      <c r="AU104" s="197" t="str">
        <f>IF(Roster!$L$20=0,"",Roster!$L$20)</f>
        <v/>
      </c>
      <c r="AV104" s="499"/>
      <c r="AW104" s="592" t="str">
        <f>IF(Roster!$AA$20=0,"",Roster!$AA$20)</f>
        <v/>
      </c>
      <c r="AX104" s="593"/>
      <c r="AY104" s="593"/>
      <c r="AZ104" s="593"/>
      <c r="BA104" s="593"/>
      <c r="BB104" s="593"/>
      <c r="BC104" s="593"/>
      <c r="BD104" s="593"/>
      <c r="BE104" s="593"/>
      <c r="BF104" s="593"/>
      <c r="BG104" s="594"/>
      <c r="BH104" s="589"/>
      <c r="BI104" s="211"/>
    </row>
    <row r="105" spans="1:61" ht="11.25" customHeight="1">
      <c r="A105" s="30"/>
      <c r="B105" s="194" t="str">
        <f>IF(Roster!$M$1=0,"",Roster!$M$1)</f>
        <v>AG</v>
      </c>
      <c r="C105" s="195"/>
      <c r="D105" s="581"/>
      <c r="E105" s="582"/>
      <c r="F105" s="582"/>
      <c r="G105" s="582"/>
      <c r="H105" s="582"/>
      <c r="I105" s="582"/>
      <c r="J105" s="582"/>
      <c r="K105" s="582"/>
      <c r="L105" s="582"/>
      <c r="M105" s="582"/>
      <c r="N105" s="583"/>
      <c r="O105" s="190"/>
      <c r="P105" s="30"/>
      <c r="Q105" s="194" t="str">
        <f>IF(Roster!$M$1=0,"",Roster!$M$1)</f>
        <v>AG</v>
      </c>
      <c r="R105" s="499"/>
      <c r="S105" s="595"/>
      <c r="T105" s="596"/>
      <c r="U105" s="596"/>
      <c r="V105" s="596"/>
      <c r="W105" s="596"/>
      <c r="X105" s="596"/>
      <c r="Y105" s="596"/>
      <c r="Z105" s="596"/>
      <c r="AA105" s="596"/>
      <c r="AB105" s="596"/>
      <c r="AC105" s="597"/>
      <c r="AD105" s="589"/>
      <c r="AE105" s="202"/>
      <c r="AF105" s="194" t="str">
        <f>IF(Roster!$M$1=0,"",Roster!$M$1)</f>
        <v>AG</v>
      </c>
      <c r="AG105" s="499"/>
      <c r="AH105" s="595"/>
      <c r="AI105" s="596"/>
      <c r="AJ105" s="596"/>
      <c r="AK105" s="596"/>
      <c r="AL105" s="596"/>
      <c r="AM105" s="596"/>
      <c r="AN105" s="596"/>
      <c r="AO105" s="596"/>
      <c r="AP105" s="596"/>
      <c r="AQ105" s="596"/>
      <c r="AR105" s="597"/>
      <c r="AS105" s="589"/>
      <c r="AT105" s="202"/>
      <c r="AU105" s="194" t="str">
        <f>IF(Roster!$M$1=0,"",Roster!$M$1)</f>
        <v>AG</v>
      </c>
      <c r="AV105" s="499"/>
      <c r="AW105" s="595"/>
      <c r="AX105" s="596"/>
      <c r="AY105" s="596"/>
      <c r="AZ105" s="596"/>
      <c r="BA105" s="596"/>
      <c r="BB105" s="596"/>
      <c r="BC105" s="596"/>
      <c r="BD105" s="596"/>
      <c r="BE105" s="596"/>
      <c r="BF105" s="596"/>
      <c r="BG105" s="597"/>
      <c r="BH105" s="589"/>
      <c r="BI105" s="211"/>
    </row>
    <row r="106" spans="1:61" ht="37.5" customHeight="1">
      <c r="A106" s="30"/>
      <c r="B106" s="197" t="str">
        <f>IF(Roster!$M$17=0&amp;"+","",Roster!$M$17)</f>
        <v>5+</v>
      </c>
      <c r="C106" s="195"/>
      <c r="D106" s="581"/>
      <c r="E106" s="582"/>
      <c r="F106" s="582"/>
      <c r="G106" s="582"/>
      <c r="H106" s="582"/>
      <c r="I106" s="582"/>
      <c r="J106" s="582"/>
      <c r="K106" s="582"/>
      <c r="L106" s="582"/>
      <c r="M106" s="582"/>
      <c r="N106" s="583"/>
      <c r="O106" s="190"/>
      <c r="P106" s="30"/>
      <c r="Q106" s="197" t="str">
        <f>IF(Roster!$M$18=0,"",Roster!$M$18)</f>
        <v/>
      </c>
      <c r="R106" s="499"/>
      <c r="S106" s="595"/>
      <c r="T106" s="596"/>
      <c r="U106" s="596"/>
      <c r="V106" s="596"/>
      <c r="W106" s="596"/>
      <c r="X106" s="596"/>
      <c r="Y106" s="596"/>
      <c r="Z106" s="596"/>
      <c r="AA106" s="596"/>
      <c r="AB106" s="596"/>
      <c r="AC106" s="597"/>
      <c r="AD106" s="589"/>
      <c r="AE106" s="202"/>
      <c r="AF106" s="197" t="str">
        <f>IF(Roster!$M$19=0,"",Roster!$M$19)</f>
        <v/>
      </c>
      <c r="AG106" s="499"/>
      <c r="AH106" s="595"/>
      <c r="AI106" s="596"/>
      <c r="AJ106" s="596"/>
      <c r="AK106" s="596"/>
      <c r="AL106" s="596"/>
      <c r="AM106" s="596"/>
      <c r="AN106" s="596"/>
      <c r="AO106" s="596"/>
      <c r="AP106" s="596"/>
      <c r="AQ106" s="596"/>
      <c r="AR106" s="597"/>
      <c r="AS106" s="589"/>
      <c r="AT106" s="202"/>
      <c r="AU106" s="197" t="str">
        <f>IF(Roster!$M$20=0,"",Roster!$M$20)</f>
        <v/>
      </c>
      <c r="AV106" s="499"/>
      <c r="AW106" s="595"/>
      <c r="AX106" s="596"/>
      <c r="AY106" s="596"/>
      <c r="AZ106" s="596"/>
      <c r="BA106" s="596"/>
      <c r="BB106" s="596"/>
      <c r="BC106" s="596"/>
      <c r="BD106" s="596"/>
      <c r="BE106" s="596"/>
      <c r="BF106" s="596"/>
      <c r="BG106" s="597"/>
      <c r="BH106" s="589"/>
      <c r="BI106" s="211"/>
    </row>
    <row r="107" spans="1:61" ht="11.25" customHeight="1">
      <c r="A107" s="30"/>
      <c r="B107" s="194" t="str">
        <f>IF(Roster!$N$1=0,"",Roster!$N$1)</f>
        <v>PA</v>
      </c>
      <c r="C107" s="195"/>
      <c r="D107" s="581"/>
      <c r="E107" s="582"/>
      <c r="F107" s="582"/>
      <c r="G107" s="582"/>
      <c r="H107" s="582"/>
      <c r="I107" s="582"/>
      <c r="J107" s="582"/>
      <c r="K107" s="582"/>
      <c r="L107" s="582"/>
      <c r="M107" s="582"/>
      <c r="N107" s="583"/>
      <c r="O107" s="199"/>
      <c r="P107" s="30"/>
      <c r="Q107" s="194" t="str">
        <f>IF(Roster!$N$1=0,"",Roster!$N$1)</f>
        <v>PA</v>
      </c>
      <c r="R107" s="499"/>
      <c r="S107" s="595"/>
      <c r="T107" s="596"/>
      <c r="U107" s="596"/>
      <c r="V107" s="596"/>
      <c r="W107" s="596"/>
      <c r="X107" s="596"/>
      <c r="Y107" s="596"/>
      <c r="Z107" s="596"/>
      <c r="AA107" s="596"/>
      <c r="AB107" s="596"/>
      <c r="AC107" s="597"/>
      <c r="AD107" s="589"/>
      <c r="AE107" s="202"/>
      <c r="AF107" s="194" t="str">
        <f>IF(Roster!$N$1=0,"",Roster!$N$1)</f>
        <v>PA</v>
      </c>
      <c r="AG107" s="499"/>
      <c r="AH107" s="595"/>
      <c r="AI107" s="596"/>
      <c r="AJ107" s="596"/>
      <c r="AK107" s="596"/>
      <c r="AL107" s="596"/>
      <c r="AM107" s="596"/>
      <c r="AN107" s="596"/>
      <c r="AO107" s="596"/>
      <c r="AP107" s="596"/>
      <c r="AQ107" s="596"/>
      <c r="AR107" s="597"/>
      <c r="AS107" s="589"/>
      <c r="AT107" s="202"/>
      <c r="AU107" s="194" t="str">
        <f>IF(Roster!$N$1=0,"",Roster!$N$1)</f>
        <v>PA</v>
      </c>
      <c r="AV107" s="499"/>
      <c r="AW107" s="595"/>
      <c r="AX107" s="596"/>
      <c r="AY107" s="596"/>
      <c r="AZ107" s="596"/>
      <c r="BA107" s="596"/>
      <c r="BB107" s="596"/>
      <c r="BC107" s="596"/>
      <c r="BD107" s="596"/>
      <c r="BE107" s="596"/>
      <c r="BF107" s="596"/>
      <c r="BG107" s="597"/>
      <c r="BH107" s="589"/>
      <c r="BI107" s="211"/>
    </row>
    <row r="108" spans="1:61" ht="6" customHeight="1">
      <c r="A108" s="30"/>
      <c r="B108" s="571" t="str">
        <f>IF(Roster!$N$17=0&amp;"+","",Roster!$N$17)</f>
        <v>5+</v>
      </c>
      <c r="C108" s="195"/>
      <c r="D108" s="584"/>
      <c r="E108" s="585"/>
      <c r="F108" s="585"/>
      <c r="G108" s="585"/>
      <c r="H108" s="585"/>
      <c r="I108" s="585"/>
      <c r="J108" s="585"/>
      <c r="K108" s="585"/>
      <c r="L108" s="585"/>
      <c r="M108" s="585"/>
      <c r="N108" s="586"/>
      <c r="O108" s="201"/>
      <c r="P108" s="30"/>
      <c r="Q108" s="571" t="str">
        <f>IF(Roster!$N$18=0,"",Roster!$N$18)</f>
        <v/>
      </c>
      <c r="R108" s="499"/>
      <c r="S108" s="595"/>
      <c r="T108" s="596"/>
      <c r="U108" s="596"/>
      <c r="V108" s="596"/>
      <c r="W108" s="596"/>
      <c r="X108" s="596"/>
      <c r="Y108" s="596"/>
      <c r="Z108" s="596"/>
      <c r="AA108" s="596"/>
      <c r="AB108" s="596"/>
      <c r="AC108" s="597"/>
      <c r="AD108" s="589"/>
      <c r="AE108" s="202"/>
      <c r="AF108" s="571" t="str">
        <f>IF(Roster!$N$19=0,"",Roster!$N$19)</f>
        <v/>
      </c>
      <c r="AG108" s="499"/>
      <c r="AH108" s="595"/>
      <c r="AI108" s="596"/>
      <c r="AJ108" s="596"/>
      <c r="AK108" s="596"/>
      <c r="AL108" s="596"/>
      <c r="AM108" s="596"/>
      <c r="AN108" s="596"/>
      <c r="AO108" s="596"/>
      <c r="AP108" s="596"/>
      <c r="AQ108" s="596"/>
      <c r="AR108" s="597"/>
      <c r="AS108" s="589"/>
      <c r="AT108" s="202"/>
      <c r="AU108" s="571" t="str">
        <f>IF(Roster!$N$20=0,"",Roster!$N$20)</f>
        <v/>
      </c>
      <c r="AV108" s="499"/>
      <c r="AW108" s="595"/>
      <c r="AX108" s="596"/>
      <c r="AY108" s="596"/>
      <c r="AZ108" s="596"/>
      <c r="BA108" s="596"/>
      <c r="BB108" s="596"/>
      <c r="BC108" s="596"/>
      <c r="BD108" s="596"/>
      <c r="BE108" s="596"/>
      <c r="BF108" s="596"/>
      <c r="BG108" s="597"/>
      <c r="BH108" s="589"/>
      <c r="BI108" s="211"/>
    </row>
    <row r="109" spans="1:61" ht="4.5" customHeight="1">
      <c r="A109" s="30"/>
      <c r="B109" s="572"/>
      <c r="C109" s="193"/>
      <c r="D109" s="202"/>
      <c r="E109" s="200"/>
      <c r="F109" s="202"/>
      <c r="G109" s="200"/>
      <c r="H109" s="202"/>
      <c r="I109" s="200"/>
      <c r="J109" s="202"/>
      <c r="K109" s="200"/>
      <c r="L109" s="202"/>
      <c r="M109" s="200"/>
      <c r="N109" s="202"/>
      <c r="O109" s="201"/>
      <c r="P109" s="30"/>
      <c r="Q109" s="572"/>
      <c r="R109" s="499"/>
      <c r="S109" s="595"/>
      <c r="T109" s="596"/>
      <c r="U109" s="596"/>
      <c r="V109" s="596"/>
      <c r="W109" s="596"/>
      <c r="X109" s="596"/>
      <c r="Y109" s="596"/>
      <c r="Z109" s="596"/>
      <c r="AA109" s="596"/>
      <c r="AB109" s="596"/>
      <c r="AC109" s="597"/>
      <c r="AD109" s="589"/>
      <c r="AE109" s="202"/>
      <c r="AF109" s="572"/>
      <c r="AG109" s="499"/>
      <c r="AH109" s="595"/>
      <c r="AI109" s="596"/>
      <c r="AJ109" s="596"/>
      <c r="AK109" s="596"/>
      <c r="AL109" s="596"/>
      <c r="AM109" s="596"/>
      <c r="AN109" s="596"/>
      <c r="AO109" s="596"/>
      <c r="AP109" s="596"/>
      <c r="AQ109" s="596"/>
      <c r="AR109" s="597"/>
      <c r="AS109" s="589"/>
      <c r="AT109" s="202"/>
      <c r="AU109" s="572"/>
      <c r="AV109" s="499"/>
      <c r="AW109" s="595"/>
      <c r="AX109" s="596"/>
      <c r="AY109" s="596"/>
      <c r="AZ109" s="596"/>
      <c r="BA109" s="596"/>
      <c r="BB109" s="596"/>
      <c r="BC109" s="596"/>
      <c r="BD109" s="596"/>
      <c r="BE109" s="596"/>
      <c r="BF109" s="596"/>
      <c r="BG109" s="597"/>
      <c r="BH109" s="589"/>
      <c r="BI109" s="211"/>
    </row>
    <row r="110" spans="1:61" ht="11.25" customHeight="1">
      <c r="A110" s="30"/>
      <c r="B110" s="57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72"/>
      <c r="R110" s="499"/>
      <c r="S110" s="595"/>
      <c r="T110" s="596"/>
      <c r="U110" s="596"/>
      <c r="V110" s="596"/>
      <c r="W110" s="596"/>
      <c r="X110" s="596"/>
      <c r="Y110" s="596"/>
      <c r="Z110" s="596"/>
      <c r="AA110" s="596"/>
      <c r="AB110" s="596"/>
      <c r="AC110" s="597"/>
      <c r="AD110" s="589"/>
      <c r="AE110" s="202"/>
      <c r="AF110" s="572"/>
      <c r="AG110" s="499"/>
      <c r="AH110" s="595"/>
      <c r="AI110" s="596"/>
      <c r="AJ110" s="596"/>
      <c r="AK110" s="596"/>
      <c r="AL110" s="596"/>
      <c r="AM110" s="596"/>
      <c r="AN110" s="596"/>
      <c r="AO110" s="596"/>
      <c r="AP110" s="596"/>
      <c r="AQ110" s="596"/>
      <c r="AR110" s="597"/>
      <c r="AS110" s="589"/>
      <c r="AT110" s="202"/>
      <c r="AU110" s="572"/>
      <c r="AV110" s="499"/>
      <c r="AW110" s="595"/>
      <c r="AX110" s="596"/>
      <c r="AY110" s="596"/>
      <c r="AZ110" s="596"/>
      <c r="BA110" s="596"/>
      <c r="BB110" s="596"/>
      <c r="BC110" s="596"/>
      <c r="BD110" s="596"/>
      <c r="BE110" s="596"/>
      <c r="BF110" s="596"/>
      <c r="BG110" s="597"/>
      <c r="BH110" s="589"/>
      <c r="BI110" s="211"/>
    </row>
    <row r="111" spans="1:61" ht="15" customHeight="1">
      <c r="A111" s="30"/>
      <c r="B111" s="572"/>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72"/>
      <c r="R111" s="499"/>
      <c r="S111" s="598"/>
      <c r="T111" s="599"/>
      <c r="U111" s="599"/>
      <c r="V111" s="599"/>
      <c r="W111" s="599"/>
      <c r="X111" s="599"/>
      <c r="Y111" s="599"/>
      <c r="Z111" s="599"/>
      <c r="AA111" s="599"/>
      <c r="AB111" s="599"/>
      <c r="AC111" s="600"/>
      <c r="AD111" s="589"/>
      <c r="AE111" s="202"/>
      <c r="AF111" s="572"/>
      <c r="AG111" s="499"/>
      <c r="AH111" s="598"/>
      <c r="AI111" s="599"/>
      <c r="AJ111" s="599"/>
      <c r="AK111" s="599"/>
      <c r="AL111" s="599"/>
      <c r="AM111" s="599"/>
      <c r="AN111" s="599"/>
      <c r="AO111" s="599"/>
      <c r="AP111" s="599"/>
      <c r="AQ111" s="599"/>
      <c r="AR111" s="600"/>
      <c r="AS111" s="589"/>
      <c r="AT111" s="202"/>
      <c r="AU111" s="572"/>
      <c r="AV111" s="499"/>
      <c r="AW111" s="598"/>
      <c r="AX111" s="599"/>
      <c r="AY111" s="599"/>
      <c r="AZ111" s="599"/>
      <c r="BA111" s="599"/>
      <c r="BB111" s="599"/>
      <c r="BC111" s="599"/>
      <c r="BD111" s="599"/>
      <c r="BE111" s="599"/>
      <c r="BF111" s="599"/>
      <c r="BG111" s="600"/>
      <c r="BH111" s="589"/>
      <c r="BI111" s="211"/>
    </row>
    <row r="112" spans="1:61" ht="4.5" customHeight="1">
      <c r="A112" s="30"/>
      <c r="B112" s="445"/>
      <c r="C112" s="196"/>
      <c r="D112" s="231"/>
      <c r="E112" s="230"/>
      <c r="F112" s="231"/>
      <c r="G112" s="230"/>
      <c r="H112" s="231"/>
      <c r="I112" s="230"/>
      <c r="J112" s="231"/>
      <c r="K112" s="230"/>
      <c r="L112" s="231"/>
      <c r="M112" s="230"/>
      <c r="N112" s="231"/>
      <c r="O112" s="201"/>
      <c r="P112" s="30"/>
      <c r="Q112" s="445"/>
      <c r="R112" s="499"/>
      <c r="S112" s="601"/>
      <c r="T112" s="361"/>
      <c r="U112" s="361"/>
      <c r="V112" s="361"/>
      <c r="W112" s="361"/>
      <c r="X112" s="361"/>
      <c r="Y112" s="361"/>
      <c r="Z112" s="361"/>
      <c r="AA112" s="361"/>
      <c r="AB112" s="361"/>
      <c r="AC112" s="364"/>
      <c r="AD112" s="589"/>
      <c r="AE112" s="202"/>
      <c r="AF112" s="445"/>
      <c r="AG112" s="499"/>
      <c r="AH112" s="601"/>
      <c r="AI112" s="361"/>
      <c r="AJ112" s="361"/>
      <c r="AK112" s="361"/>
      <c r="AL112" s="361"/>
      <c r="AM112" s="361"/>
      <c r="AN112" s="361"/>
      <c r="AO112" s="361"/>
      <c r="AP112" s="361"/>
      <c r="AQ112" s="361"/>
      <c r="AR112" s="364"/>
      <c r="AS112" s="589"/>
      <c r="AT112" s="202"/>
      <c r="AU112" s="445"/>
      <c r="AV112" s="499"/>
      <c r="AW112" s="601"/>
      <c r="AX112" s="361"/>
      <c r="AY112" s="361"/>
      <c r="AZ112" s="361"/>
      <c r="BA112" s="361"/>
      <c r="BB112" s="361"/>
      <c r="BC112" s="361"/>
      <c r="BD112" s="361"/>
      <c r="BE112" s="361"/>
      <c r="BF112" s="361"/>
      <c r="BG112" s="364"/>
      <c r="BH112" s="589"/>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9"/>
      <c r="S113" s="602" t="str">
        <f>IF(Roster!$K$25="Español","HABILIDADES Y RASGOS","SKILLS &amp; TRAITS")</f>
        <v>SKILLS &amp; TRAITS</v>
      </c>
      <c r="T113" s="484"/>
      <c r="U113" s="484"/>
      <c r="V113" s="484"/>
      <c r="W113" s="484"/>
      <c r="X113" s="484"/>
      <c r="Y113" s="484"/>
      <c r="Z113" s="484"/>
      <c r="AA113" s="484"/>
      <c r="AB113" s="484"/>
      <c r="AC113" s="603"/>
      <c r="AD113" s="589"/>
      <c r="AE113" s="202"/>
      <c r="AF113" s="194" t="str">
        <f>IF(Roster!$O$1=0,"",Roster!$O$1)</f>
        <v>AV</v>
      </c>
      <c r="AG113" s="499"/>
      <c r="AH113" s="602" t="str">
        <f>IF(Roster!$K$25="Español","HABILIDADES Y RASGOS","SKILLS &amp; TRAITS")</f>
        <v>SKILLS &amp; TRAITS</v>
      </c>
      <c r="AI113" s="484"/>
      <c r="AJ113" s="484"/>
      <c r="AK113" s="484"/>
      <c r="AL113" s="484"/>
      <c r="AM113" s="484"/>
      <c r="AN113" s="484"/>
      <c r="AO113" s="484"/>
      <c r="AP113" s="484"/>
      <c r="AQ113" s="484"/>
      <c r="AR113" s="603"/>
      <c r="AS113" s="589"/>
      <c r="AT113" s="202"/>
      <c r="AU113" s="194" t="str">
        <f>IF(Roster!$O$1=0,"",Roster!$O$1)</f>
        <v>AV</v>
      </c>
      <c r="AV113" s="499"/>
      <c r="AW113" s="602" t="str">
        <f>IF(Roster!$K$25="Italiano","ABILITÀ &amp; TRATTI",(IF(Roster!$K$25="Español","HABILIDADES Y RASGOS","SKILLS &amp; TRAITS")))</f>
        <v>SKILLS &amp; TRAITS</v>
      </c>
      <c r="AX113" s="484"/>
      <c r="AY113" s="484"/>
      <c r="AZ113" s="484"/>
      <c r="BA113" s="484"/>
      <c r="BB113" s="484"/>
      <c r="BC113" s="484"/>
      <c r="BD113" s="484"/>
      <c r="BE113" s="484"/>
      <c r="BF113" s="484"/>
      <c r="BG113" s="603"/>
      <c r="BH113" s="589"/>
      <c r="BI113" s="211"/>
    </row>
    <row r="114" spans="1:61" ht="15" customHeight="1">
      <c r="A114" s="30"/>
      <c r="B114" s="571" t="str">
        <f>IF(Roster!$O$17=0&amp;"+","",Roster!$O$17)</f>
        <v>10+</v>
      </c>
      <c r="C114" s="196"/>
      <c r="D114" s="235" t="str">
        <f>IF(Roster!$AE$17=0,"",Roster!$AE$17)</f>
        <v/>
      </c>
      <c r="E114" s="230"/>
      <c r="F114" s="235" t="str">
        <f>IF(Roster!$AF$17=0,"",Roster!$AF$17)</f>
        <v/>
      </c>
      <c r="G114" s="230"/>
      <c r="H114" s="235" t="str">
        <f>IF(Roster!$AB$17=0,"",Roster!$AB$17)</f>
        <v/>
      </c>
      <c r="I114" s="230"/>
      <c r="J114" s="235">
        <f>IF(Roster!$AJ$17=0,"",Roster!$AJ$17)</f>
        <v>1</v>
      </c>
      <c r="K114" s="230"/>
      <c r="L114" s="235">
        <f>IF(Roster!$AK$17=0,"",Roster!$AK$17)</f>
        <v>4</v>
      </c>
      <c r="M114" s="230"/>
      <c r="N114" s="235" t="str">
        <f>IF(Roster!$AA$17=0,"",Roster!$AA$17)</f>
        <v/>
      </c>
      <c r="O114" s="203"/>
      <c r="P114" s="30"/>
      <c r="Q114" s="571" t="str">
        <f>IF(Roster!$O$18=0,"",Roster!$O$18)</f>
        <v/>
      </c>
      <c r="R114" s="499"/>
      <c r="S114" s="592" t="str">
        <f>IF(Roster!$P$18=0,"",Roster!$P$18)</f>
        <v/>
      </c>
      <c r="T114" s="593"/>
      <c r="U114" s="593"/>
      <c r="V114" s="593"/>
      <c r="W114" s="593"/>
      <c r="X114" s="593"/>
      <c r="Y114" s="593"/>
      <c r="Z114" s="593"/>
      <c r="AA114" s="593"/>
      <c r="AB114" s="593"/>
      <c r="AC114" s="594"/>
      <c r="AD114" s="589"/>
      <c r="AE114" s="202"/>
      <c r="AF114" s="571" t="str">
        <f>IF(Roster!$O$19=0,"",Roster!$O$19)</f>
        <v/>
      </c>
      <c r="AG114" s="499"/>
      <c r="AH114" s="592" t="str">
        <f>IF(Roster!$P$19=0,"",Roster!$P$19)</f>
        <v/>
      </c>
      <c r="AI114" s="593"/>
      <c r="AJ114" s="593"/>
      <c r="AK114" s="593"/>
      <c r="AL114" s="593"/>
      <c r="AM114" s="593"/>
      <c r="AN114" s="593"/>
      <c r="AO114" s="593"/>
      <c r="AP114" s="593"/>
      <c r="AQ114" s="593"/>
      <c r="AR114" s="594"/>
      <c r="AS114" s="589"/>
      <c r="AT114" s="202"/>
      <c r="AU114" s="571" t="str">
        <f>IF(Roster!$O$20=0,"",Roster!$O$20)</f>
        <v/>
      </c>
      <c r="AV114" s="499"/>
      <c r="AW114" s="592" t="str">
        <f>IF(Roster!$P$20=0,"",Roster!$P$20)</f>
        <v/>
      </c>
      <c r="AX114" s="593"/>
      <c r="AY114" s="593"/>
      <c r="AZ114" s="593"/>
      <c r="BA114" s="593"/>
      <c r="BB114" s="593"/>
      <c r="BC114" s="593"/>
      <c r="BD114" s="593"/>
      <c r="BE114" s="593"/>
      <c r="BF114" s="593"/>
      <c r="BG114" s="594"/>
      <c r="BH114" s="589"/>
      <c r="BI114" s="211"/>
    </row>
    <row r="115" spans="1:61" ht="4.5" customHeight="1">
      <c r="A115" s="30"/>
      <c r="B115" s="572"/>
      <c r="C115" s="196"/>
      <c r="D115" s="230"/>
      <c r="E115" s="230"/>
      <c r="F115" s="230"/>
      <c r="G115" s="230"/>
      <c r="H115" s="230"/>
      <c r="I115" s="230"/>
      <c r="J115" s="230"/>
      <c r="K115" s="230"/>
      <c r="L115" s="230"/>
      <c r="M115" s="230"/>
      <c r="N115" s="233"/>
      <c r="O115" s="203"/>
      <c r="P115" s="30"/>
      <c r="Q115" s="572"/>
      <c r="R115" s="499"/>
      <c r="S115" s="595"/>
      <c r="T115" s="596"/>
      <c r="U115" s="596"/>
      <c r="V115" s="596"/>
      <c r="W115" s="596"/>
      <c r="X115" s="596"/>
      <c r="Y115" s="596"/>
      <c r="Z115" s="596"/>
      <c r="AA115" s="596"/>
      <c r="AB115" s="596"/>
      <c r="AC115" s="597"/>
      <c r="AD115" s="589"/>
      <c r="AE115" s="202"/>
      <c r="AF115" s="572"/>
      <c r="AG115" s="499"/>
      <c r="AH115" s="595"/>
      <c r="AI115" s="596"/>
      <c r="AJ115" s="596"/>
      <c r="AK115" s="596"/>
      <c r="AL115" s="596"/>
      <c r="AM115" s="596"/>
      <c r="AN115" s="596"/>
      <c r="AO115" s="596"/>
      <c r="AP115" s="596"/>
      <c r="AQ115" s="596"/>
      <c r="AR115" s="597"/>
      <c r="AS115" s="589"/>
      <c r="AT115" s="202"/>
      <c r="AU115" s="572"/>
      <c r="AV115" s="499"/>
      <c r="AW115" s="595"/>
      <c r="AX115" s="596"/>
      <c r="AY115" s="596"/>
      <c r="AZ115" s="596"/>
      <c r="BA115" s="596"/>
      <c r="BB115" s="596"/>
      <c r="BC115" s="596"/>
      <c r="BD115" s="596"/>
      <c r="BE115" s="596"/>
      <c r="BF115" s="596"/>
      <c r="BG115" s="597"/>
      <c r="BH115" s="589"/>
      <c r="BI115" s="211"/>
    </row>
    <row r="116" spans="1:61" ht="11.25" customHeight="1">
      <c r="A116" s="30"/>
      <c r="B116" s="572"/>
      <c r="C116" s="196"/>
      <c r="D116" s="568" t="str">
        <f>IF(Roster!$K$25="Italiano","ABILITÀ &amp; TRATTI",(IF(Roster!$K$25="Español","HABILIDADES Y RASGOS","SKILLS &amp; TRAITS")))</f>
        <v>SKILLS &amp; TRAITS</v>
      </c>
      <c r="E116" s="569"/>
      <c r="F116" s="569"/>
      <c r="G116" s="569"/>
      <c r="H116" s="569"/>
      <c r="I116" s="569"/>
      <c r="J116" s="569"/>
      <c r="K116" s="569"/>
      <c r="L116" s="569"/>
      <c r="M116" s="569"/>
      <c r="N116" s="570"/>
      <c r="O116" s="203"/>
      <c r="P116" s="30"/>
      <c r="Q116" s="572"/>
      <c r="R116" s="499"/>
      <c r="S116" s="595"/>
      <c r="T116" s="596"/>
      <c r="U116" s="596"/>
      <c r="V116" s="596"/>
      <c r="W116" s="596"/>
      <c r="X116" s="596"/>
      <c r="Y116" s="596"/>
      <c r="Z116" s="596"/>
      <c r="AA116" s="596"/>
      <c r="AB116" s="596"/>
      <c r="AC116" s="597"/>
      <c r="AD116" s="589"/>
      <c r="AE116" s="202"/>
      <c r="AF116" s="572"/>
      <c r="AG116" s="499"/>
      <c r="AH116" s="595"/>
      <c r="AI116" s="596"/>
      <c r="AJ116" s="596"/>
      <c r="AK116" s="596"/>
      <c r="AL116" s="596"/>
      <c r="AM116" s="596"/>
      <c r="AN116" s="596"/>
      <c r="AO116" s="596"/>
      <c r="AP116" s="596"/>
      <c r="AQ116" s="596"/>
      <c r="AR116" s="597"/>
      <c r="AS116" s="589"/>
      <c r="AT116" s="202"/>
      <c r="AU116" s="572"/>
      <c r="AV116" s="499"/>
      <c r="AW116" s="595"/>
      <c r="AX116" s="596"/>
      <c r="AY116" s="596"/>
      <c r="AZ116" s="596"/>
      <c r="BA116" s="596"/>
      <c r="BB116" s="596"/>
      <c r="BC116" s="596"/>
      <c r="BD116" s="596"/>
      <c r="BE116" s="596"/>
      <c r="BF116" s="596"/>
      <c r="BG116" s="597"/>
      <c r="BH116" s="589"/>
      <c r="BI116" s="211"/>
    </row>
    <row r="117" spans="1:61" ht="6.75" customHeight="1">
      <c r="A117" s="30"/>
      <c r="B117" s="445"/>
      <c r="C117" s="196"/>
      <c r="D117" s="561" t="str">
        <f>IF(Roster!$P$17=0&amp;AQ98,"",Roster!$P$17)</f>
        <v>Always Hungry, Loner (3+), Mighty Blow (+1), Projectile Vomit, Really Stupid, Regeneration, Throw Team-mate</v>
      </c>
      <c r="E117" s="541"/>
      <c r="F117" s="541"/>
      <c r="G117" s="541"/>
      <c r="H117" s="541"/>
      <c r="I117" s="541"/>
      <c r="J117" s="541"/>
      <c r="K117" s="541"/>
      <c r="L117" s="541"/>
      <c r="M117" s="541"/>
      <c r="N117" s="562"/>
      <c r="O117" s="203"/>
      <c r="P117" s="30"/>
      <c r="Q117" s="445"/>
      <c r="R117" s="499"/>
      <c r="S117" s="595"/>
      <c r="T117" s="596"/>
      <c r="U117" s="596"/>
      <c r="V117" s="596"/>
      <c r="W117" s="596"/>
      <c r="X117" s="596"/>
      <c r="Y117" s="596"/>
      <c r="Z117" s="596"/>
      <c r="AA117" s="596"/>
      <c r="AB117" s="596"/>
      <c r="AC117" s="597"/>
      <c r="AD117" s="589"/>
      <c r="AE117" s="202"/>
      <c r="AF117" s="445"/>
      <c r="AG117" s="499"/>
      <c r="AH117" s="595"/>
      <c r="AI117" s="596"/>
      <c r="AJ117" s="596"/>
      <c r="AK117" s="596"/>
      <c r="AL117" s="596"/>
      <c r="AM117" s="596"/>
      <c r="AN117" s="596"/>
      <c r="AO117" s="596"/>
      <c r="AP117" s="596"/>
      <c r="AQ117" s="596"/>
      <c r="AR117" s="597"/>
      <c r="AS117" s="589"/>
      <c r="AT117" s="202"/>
      <c r="AU117" s="445"/>
      <c r="AV117" s="499"/>
      <c r="AW117" s="595"/>
      <c r="AX117" s="596"/>
      <c r="AY117" s="596"/>
      <c r="AZ117" s="596"/>
      <c r="BA117" s="596"/>
      <c r="BB117" s="596"/>
      <c r="BC117" s="596"/>
      <c r="BD117" s="596"/>
      <c r="BE117" s="596"/>
      <c r="BF117" s="596"/>
      <c r="BG117" s="597"/>
      <c r="BH117" s="589"/>
      <c r="BI117" s="211"/>
    </row>
    <row r="118" spans="1:61" ht="11.25" customHeight="1">
      <c r="A118" s="30"/>
      <c r="B118" s="194" t="str">
        <f>IF(Roster!$AO$1=0,"",Roster!$AO$1)</f>
        <v>COST</v>
      </c>
      <c r="C118" s="195"/>
      <c r="D118" s="563"/>
      <c r="E118" s="564"/>
      <c r="F118" s="564"/>
      <c r="G118" s="564"/>
      <c r="H118" s="564"/>
      <c r="I118" s="564"/>
      <c r="J118" s="564"/>
      <c r="K118" s="564"/>
      <c r="L118" s="564"/>
      <c r="M118" s="564"/>
      <c r="N118" s="562"/>
      <c r="O118" s="206"/>
      <c r="P118" s="30"/>
      <c r="Q118" s="194" t="str">
        <f>IF(Roster!$AO$1=0,"",Roster!$AO$1)</f>
        <v>COST</v>
      </c>
      <c r="R118" s="499"/>
      <c r="S118" s="595"/>
      <c r="T118" s="596"/>
      <c r="U118" s="596"/>
      <c r="V118" s="596"/>
      <c r="W118" s="596"/>
      <c r="X118" s="596"/>
      <c r="Y118" s="596"/>
      <c r="Z118" s="596"/>
      <c r="AA118" s="596"/>
      <c r="AB118" s="596"/>
      <c r="AC118" s="597"/>
      <c r="AD118" s="589"/>
      <c r="AE118" s="202"/>
      <c r="AF118" s="194" t="str">
        <f>IF(Roster!$AO$1=0,"",Roster!$AO$1)</f>
        <v>COST</v>
      </c>
      <c r="AG118" s="499"/>
      <c r="AH118" s="595"/>
      <c r="AI118" s="596"/>
      <c r="AJ118" s="596"/>
      <c r="AK118" s="596"/>
      <c r="AL118" s="596"/>
      <c r="AM118" s="596"/>
      <c r="AN118" s="596"/>
      <c r="AO118" s="596"/>
      <c r="AP118" s="596"/>
      <c r="AQ118" s="596"/>
      <c r="AR118" s="597"/>
      <c r="AS118" s="589"/>
      <c r="AT118" s="202"/>
      <c r="AU118" s="194" t="str">
        <f>IF(Roster!$AO$1=0,"",Roster!$AO$1)</f>
        <v>COST</v>
      </c>
      <c r="AV118" s="499"/>
      <c r="AW118" s="595"/>
      <c r="AX118" s="596"/>
      <c r="AY118" s="596"/>
      <c r="AZ118" s="596"/>
      <c r="BA118" s="596"/>
      <c r="BB118" s="596"/>
      <c r="BC118" s="596"/>
      <c r="BD118" s="596"/>
      <c r="BE118" s="596"/>
      <c r="BF118" s="596"/>
      <c r="BG118" s="597"/>
      <c r="BH118" s="589"/>
      <c r="BI118" s="211"/>
    </row>
    <row r="119" spans="1:61" ht="34.5" customHeight="1">
      <c r="A119" s="30"/>
      <c r="B119" s="208">
        <f>IF(Roster!$AO$17=0,"",Roster!$AO$17)</f>
        <v>115000</v>
      </c>
      <c r="C119" s="209"/>
      <c r="D119" s="565"/>
      <c r="E119" s="566"/>
      <c r="F119" s="566"/>
      <c r="G119" s="566"/>
      <c r="H119" s="566"/>
      <c r="I119" s="566"/>
      <c r="J119" s="566"/>
      <c r="K119" s="566"/>
      <c r="L119" s="566"/>
      <c r="M119" s="566"/>
      <c r="N119" s="567"/>
      <c r="O119" s="206"/>
      <c r="P119" s="30"/>
      <c r="Q119" s="208" t="str">
        <f>IF(Roster!$AO$18=0,"",Roster!$AO$18)</f>
        <v/>
      </c>
      <c r="R119" s="500"/>
      <c r="S119" s="604"/>
      <c r="T119" s="605"/>
      <c r="U119" s="605"/>
      <c r="V119" s="605"/>
      <c r="W119" s="605"/>
      <c r="X119" s="605"/>
      <c r="Y119" s="605"/>
      <c r="Z119" s="605"/>
      <c r="AA119" s="605"/>
      <c r="AB119" s="605"/>
      <c r="AC119" s="606"/>
      <c r="AD119" s="590"/>
      <c r="AE119" s="202"/>
      <c r="AF119" s="208" t="str">
        <f>IF(Roster!$AO$19=0,"",Roster!$AO$19)</f>
        <v/>
      </c>
      <c r="AG119" s="500"/>
      <c r="AH119" s="604"/>
      <c r="AI119" s="605"/>
      <c r="AJ119" s="605"/>
      <c r="AK119" s="605"/>
      <c r="AL119" s="605"/>
      <c r="AM119" s="605"/>
      <c r="AN119" s="605"/>
      <c r="AO119" s="605"/>
      <c r="AP119" s="605"/>
      <c r="AQ119" s="605"/>
      <c r="AR119" s="606"/>
      <c r="AS119" s="590"/>
      <c r="AT119" s="202"/>
      <c r="AU119" s="208" t="str">
        <f>IF(Roster!$AO$20=0,"",Roster!$AO$20)</f>
        <v/>
      </c>
      <c r="AV119" s="500"/>
      <c r="AW119" s="604"/>
      <c r="AX119" s="605"/>
      <c r="AY119" s="605"/>
      <c r="AZ119" s="605"/>
      <c r="BA119" s="605"/>
      <c r="BB119" s="605"/>
      <c r="BC119" s="605"/>
      <c r="BD119" s="605"/>
      <c r="BE119" s="605"/>
      <c r="BF119" s="605"/>
      <c r="BG119" s="606"/>
      <c r="BH119" s="590"/>
      <c r="BI119" s="211"/>
    </row>
    <row r="120" spans="1:61" ht="4.5" customHeight="1">
      <c r="A120" s="30"/>
      <c r="B120" s="573"/>
      <c r="C120" s="375"/>
      <c r="D120" s="375"/>
      <c r="E120" s="375"/>
      <c r="F120" s="375"/>
      <c r="G120" s="375"/>
      <c r="H120" s="375"/>
      <c r="I120" s="375"/>
      <c r="J120" s="375"/>
      <c r="K120" s="375"/>
      <c r="L120" s="375"/>
      <c r="M120" s="375"/>
      <c r="N120" s="376"/>
      <c r="O120" s="210"/>
      <c r="P120" s="30"/>
      <c r="Q120" s="587"/>
      <c r="R120" s="375"/>
      <c r="S120" s="375"/>
      <c r="T120" s="375"/>
      <c r="U120" s="375"/>
      <c r="V120" s="375"/>
      <c r="W120" s="375"/>
      <c r="X120" s="375"/>
      <c r="Y120" s="375"/>
      <c r="Z120" s="375"/>
      <c r="AA120" s="375"/>
      <c r="AB120" s="375"/>
      <c r="AC120" s="375"/>
      <c r="AD120" s="428"/>
      <c r="AE120" s="211"/>
      <c r="AF120" s="587"/>
      <c r="AG120" s="375"/>
      <c r="AH120" s="375"/>
      <c r="AI120" s="375"/>
      <c r="AJ120" s="375"/>
      <c r="AK120" s="375"/>
      <c r="AL120" s="375"/>
      <c r="AM120" s="375"/>
      <c r="AN120" s="375"/>
      <c r="AO120" s="375"/>
      <c r="AP120" s="375"/>
      <c r="AQ120" s="375"/>
      <c r="AR120" s="375"/>
      <c r="AS120" s="428"/>
      <c r="AT120" s="211"/>
      <c r="AU120" s="587"/>
      <c r="AV120" s="375"/>
      <c r="AW120" s="375"/>
      <c r="AX120" s="375"/>
      <c r="AY120" s="375"/>
      <c r="AZ120" s="375"/>
      <c r="BA120" s="375"/>
      <c r="BB120" s="375"/>
      <c r="BC120" s="375"/>
      <c r="BD120" s="375"/>
      <c r="BE120" s="375"/>
      <c r="BF120" s="375"/>
      <c r="BG120" s="375"/>
      <c r="BH120" s="428"/>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ABM</v>
      </c>
      <c r="D48" s="315" t="str">
        <f t="shared" si="0"/>
        <v>AAA</v>
      </c>
      <c r="E48" s="315" t="str">
        <f t="shared" si="0"/>
        <v>ABL</v>
      </c>
      <c r="F48" s="315" t="str">
        <f>IF(F49=1,F50,"")</f>
        <v/>
      </c>
      <c r="G48" s="315" t="str">
        <f t="shared" ref="G48:AR48" si="1">IF(G49=1,G50,"")</f>
        <v/>
      </c>
      <c r="H48" s="315" t="str">
        <f t="shared" si="1"/>
        <v/>
      </c>
      <c r="I48" s="315" t="str">
        <f t="shared" si="1"/>
        <v>AAB</v>
      </c>
      <c r="J48" s="315" t="str">
        <f t="shared" si="1"/>
        <v/>
      </c>
      <c r="K48" s="315" t="str">
        <f t="shared" si="1"/>
        <v/>
      </c>
      <c r="L48" s="315" t="str">
        <f t="shared" si="1"/>
        <v/>
      </c>
      <c r="M48" s="315" t="str">
        <f t="shared" si="1"/>
        <v/>
      </c>
      <c r="N48" s="315" t="str">
        <f t="shared" si="1"/>
        <v>ABJ</v>
      </c>
      <c r="O48" s="315" t="str">
        <f t="shared" si="1"/>
        <v/>
      </c>
      <c r="P48" s="315" t="str">
        <f t="shared" si="1"/>
        <v>AAI</v>
      </c>
      <c r="Q48" s="315" t="str">
        <f t="shared" si="1"/>
        <v/>
      </c>
      <c r="R48" s="315" t="str">
        <f t="shared" si="1"/>
        <v/>
      </c>
      <c r="S48" s="315" t="str">
        <f t="shared" si="1"/>
        <v>AAH</v>
      </c>
      <c r="T48" s="315" t="str">
        <f t="shared" si="1"/>
        <v/>
      </c>
      <c r="U48" s="315" t="str">
        <f t="shared" si="1"/>
        <v/>
      </c>
      <c r="V48" s="315" t="str">
        <f t="shared" si="1"/>
        <v/>
      </c>
      <c r="W48" s="315" t="str">
        <f t="shared" si="1"/>
        <v/>
      </c>
      <c r="X48" s="315" t="str">
        <f t="shared" si="1"/>
        <v>AAC</v>
      </c>
      <c r="Y48" s="315" t="str">
        <f t="shared" si="1"/>
        <v/>
      </c>
      <c r="Z48" s="315" t="str">
        <f t="shared" si="1"/>
        <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
      </c>
      <c r="AJ48" s="315" t="str">
        <f t="shared" si="1"/>
        <v/>
      </c>
      <c r="AK48" s="315" t="str">
        <f t="shared" si="1"/>
        <v/>
      </c>
      <c r="AL48" s="315" t="str">
        <f t="shared" si="1"/>
        <v>AAF</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c r="B49" s="224" t="str">
        <f>Roster!$BV$2</f>
        <v>BadlandsBrawlUnderworldChallenge</v>
      </c>
      <c r="C49" s="315">
        <f>VLOOKUP($B$49,$B$52:$BO$67,2,FALSE)</f>
        <v>1</v>
      </c>
      <c r="D49" s="315">
        <f>VLOOKUP($B$49,$B$52:$BO$67,3,FALSE)</f>
        <v>1</v>
      </c>
      <c r="E49" s="315">
        <f>VLOOKUP($B$49,$B$52:$BO$67,4,FALSE)</f>
        <v>1</v>
      </c>
      <c r="F49" s="315">
        <f>VLOOKUP($B$49,$B$52:$BO$67,5,FALSE)</f>
        <v>0</v>
      </c>
      <c r="G49" s="315">
        <f>VLOOKUP($B$49,$B$52:$BO$67,6,FALSE)</f>
        <v>0</v>
      </c>
      <c r="H49" s="315">
        <f>VLOOKUP($B$49,$B$52:$BO$67,7,FALSE)</f>
        <v>0</v>
      </c>
      <c r="I49" s="315">
        <f>VLOOKUP($B$49,$B$52:$BO$67,8,FALSE)</f>
        <v>1</v>
      </c>
      <c r="J49" s="315">
        <f>VLOOKUP($B$49,$B$52:$BO$67,9,FALSE)</f>
        <v>0</v>
      </c>
      <c r="K49" s="315">
        <f>VLOOKUP($B$49,$B$52:$BO$67,10,FALSE)</f>
        <v>0</v>
      </c>
      <c r="L49" s="315">
        <f>VLOOKUP($B$49,$B$52:$BO$67,11,FALSE)</f>
        <v>0</v>
      </c>
      <c r="M49" s="315">
        <f>VLOOKUP($B$49,$B$52:$BO$67,12,FALSE)</f>
        <v>0</v>
      </c>
      <c r="N49" s="315">
        <f>VLOOKUP($B$49,$B$52:$BO$67,13,FALSE)</f>
        <v>1</v>
      </c>
      <c r="O49" s="315">
        <f>VLOOKUP($B$49,$B$52:$BO$67,14,FALSE)</f>
        <v>0</v>
      </c>
      <c r="P49" s="315">
        <f>VLOOKUP($B$49,$B$52:$BO$67,15,FALSE)</f>
        <v>1</v>
      </c>
      <c r="Q49" s="315">
        <f>VLOOKUP($B$49,$B$52:$BO$67,16,FALSE)</f>
        <v>0</v>
      </c>
      <c r="R49" s="315">
        <f>VLOOKUP($B$49,$B$52:$BO$67,17,FALSE)</f>
        <v>0</v>
      </c>
      <c r="S49" s="315">
        <f>VLOOKUP($B$49,$B$52:$BO$67,18,FALSE)</f>
        <v>1</v>
      </c>
      <c r="T49" s="315">
        <f>VLOOKUP($B$49,$B$52:$BO$67,19,FALSE)</f>
        <v>0</v>
      </c>
      <c r="U49" s="315">
        <f>VLOOKUP($B$49,$B$52:$BO$67,20,FALSE)</f>
        <v>0</v>
      </c>
      <c r="V49" s="315">
        <f>VLOOKUP($B$49,$B$52:$BO$67,21,FALSE)</f>
        <v>0</v>
      </c>
      <c r="W49" s="315">
        <f>VLOOKUP($B$49,$B$52:$BO$67,22,FALSE)</f>
        <v>0</v>
      </c>
      <c r="X49" s="315">
        <f>VLOOKUP($B$49,$B$52:$BO$67,23,FALSE)</f>
        <v>1</v>
      </c>
      <c r="Y49" s="315">
        <f>VLOOKUP($B$49,$B$52:$BO$67,24,FALSE)</f>
        <v>0</v>
      </c>
      <c r="Z49" s="315">
        <f>VLOOKUP($B$49,$B$52:$BO$67,25,FALSE)</f>
        <v>0</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0</v>
      </c>
      <c r="AJ49" s="315">
        <f>VLOOKUP($B$49,$B$52:$BO$67,35,FALSE)</f>
        <v>0</v>
      </c>
      <c r="AK49" s="315">
        <f>VLOOKUP($B$49,$B$52:$BO$67,36,FALSE)</f>
        <v>0</v>
      </c>
      <c r="AL49" s="315">
        <f>VLOOKUP($B$49,$B$52:$BO$67,37,FALSE)</f>
        <v>1</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ABMAAAABLAABABJAAIAAHAACAADAAEAAFAAG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ABM</v>
      </c>
      <c r="C70" s="224" t="str">
        <f>IFERROR((VLOOKUP(B70,$A$4:$B$51,2,FALSE))," ")</f>
        <v>Bomber Dribblesnot</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Bomber Dribblesnot</v>
      </c>
      <c r="AA70" s="224"/>
      <c r="AB70" s="224"/>
      <c r="AC70" s="224"/>
      <c r="AD70" s="224"/>
      <c r="AE70" s="224"/>
      <c r="AF70" s="224"/>
      <c r="AG70" s="224"/>
      <c r="AH70" s="224"/>
    </row>
    <row r="71" spans="2:44" s="311" customFormat="1" ht="12.75" customHeight="1">
      <c r="B71" s="224" t="str">
        <f>MID($B$69,4,3)</f>
        <v>AAA</v>
      </c>
      <c r="C71" s="224" t="str">
        <f t="shared" ref="C71:C88" si="3">IFERROR((VLOOKUP(B71,$A$4:$B$51,2,FALSE))," ")</f>
        <v>Akhorne the Squirrel</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Akhorne the Squirrel</v>
      </c>
      <c r="AA71" s="224"/>
      <c r="AB71" s="224"/>
      <c r="AC71" s="224"/>
      <c r="AD71" s="224"/>
      <c r="AE71" s="224"/>
      <c r="AF71" s="224"/>
      <c r="AG71" s="224"/>
      <c r="AH71" s="224"/>
    </row>
    <row r="72" spans="2:44" s="311" customFormat="1" ht="12.75" customHeight="1">
      <c r="B72" s="224" t="str">
        <f>MID($B$69,7,3)</f>
        <v>ABL</v>
      </c>
      <c r="C72" s="224" t="str">
        <f t="shared" si="3"/>
        <v>Fungus the Loon</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Fungus the Loon</v>
      </c>
      <c r="AA72" s="224"/>
      <c r="AB72" s="224"/>
      <c r="AC72" s="224"/>
      <c r="AD72" s="224"/>
      <c r="AE72" s="224"/>
      <c r="AF72" s="224"/>
      <c r="AG72" s="224"/>
      <c r="AH72" s="224"/>
    </row>
    <row r="73" spans="2:44" s="311" customFormat="1" ht="12.75" customHeight="1">
      <c r="B73" s="224" t="str">
        <f>MID($B$69,10,3)</f>
        <v>AAB</v>
      </c>
      <c r="C73" s="224" t="str">
        <f t="shared" si="3"/>
        <v>Helmut Wulf</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Helmut Wulf</v>
      </c>
      <c r="AA73" s="224"/>
      <c r="AB73" s="224"/>
      <c r="AC73" s="224"/>
      <c r="AD73" s="224"/>
      <c r="AE73" s="224"/>
      <c r="AF73" s="224"/>
      <c r="AG73" s="224"/>
      <c r="AH73" s="224"/>
    </row>
    <row r="74" spans="2:44" s="311" customFormat="1" ht="12.75" customHeight="1">
      <c r="B74" s="224" t="str">
        <f>MID($B$69,13,3)</f>
        <v>ABJ</v>
      </c>
      <c r="C74" s="224" t="str">
        <f t="shared" si="3"/>
        <v>Kreek 'The Verminator' Rustgouger</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Kreek 'The Verminator' Rustgouger</v>
      </c>
      <c r="AA74" s="224"/>
      <c r="AB74" s="224"/>
      <c r="AC74" s="224"/>
      <c r="AD74" s="224"/>
      <c r="AE74" s="224"/>
      <c r="AF74" s="224"/>
      <c r="AG74" s="224"/>
      <c r="AH74" s="224"/>
    </row>
    <row r="75" spans="2:44" s="311" customFormat="1" ht="12.75" customHeight="1">
      <c r="B75" s="224" t="str">
        <f>MID($B$69,16,3)</f>
        <v>AAI</v>
      </c>
      <c r="C75" s="224" t="str">
        <f t="shared" si="3"/>
        <v>Glart Smashrip</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Glart Smashrip</v>
      </c>
      <c r="AA75" s="224"/>
      <c r="AB75" s="224"/>
      <c r="AC75" s="224"/>
      <c r="AD75" s="224"/>
      <c r="AE75" s="224"/>
      <c r="AF75" s="224"/>
      <c r="AG75" s="224"/>
      <c r="AH75" s="224"/>
    </row>
    <row r="76" spans="2:44" s="311" customFormat="1" ht="12.75" customHeight="1">
      <c r="B76" s="224" t="str">
        <f>MID($B$69,19,3)</f>
        <v>AAH</v>
      </c>
      <c r="C76" s="224" t="str">
        <f t="shared" si="3"/>
        <v>Hakflem Skuttlespike</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Hakflem Skuttlespike</v>
      </c>
      <c r="AA76" s="224"/>
      <c r="AB76" s="224"/>
      <c r="AC76" s="224"/>
      <c r="AD76" s="224"/>
      <c r="AE76" s="224"/>
      <c r="AF76" s="224"/>
      <c r="AG76" s="224"/>
      <c r="AH76" s="224"/>
    </row>
    <row r="77" spans="2:44" s="311" customFormat="1" ht="12.75" customHeight="1">
      <c r="B77" s="224" t="str">
        <f>MID($B$69,22,3)</f>
        <v>AAC</v>
      </c>
      <c r="C77" s="224" t="str">
        <f t="shared" si="3"/>
        <v>The Black Gobbo</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The Black Gobbo</v>
      </c>
      <c r="AA77" s="224"/>
      <c r="AB77" s="224"/>
      <c r="AC77" s="224"/>
      <c r="AD77" s="224"/>
      <c r="AE77" s="224"/>
      <c r="AF77" s="224"/>
      <c r="AG77" s="224"/>
      <c r="AH77" s="224"/>
    </row>
    <row r="78" spans="2:44" s="311" customFormat="1" ht="12.75" customHeight="1">
      <c r="B78" s="224" t="str">
        <f>MID($B$69,25,3)</f>
        <v>AAD</v>
      </c>
      <c r="C78" s="224" t="str">
        <f t="shared" si="3"/>
        <v>Grak</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Grak</v>
      </c>
      <c r="AA78" s="224"/>
      <c r="AB78" s="224"/>
      <c r="AC78" s="224"/>
      <c r="AD78" s="224"/>
      <c r="AE78" s="224"/>
      <c r="AF78" s="224"/>
      <c r="AG78" s="224"/>
      <c r="AH78" s="224"/>
    </row>
    <row r="79" spans="2:44" s="311" customFormat="1" ht="12.75" customHeight="1">
      <c r="B79" s="224" t="str">
        <f>MID($B$69,28,3)</f>
        <v>AAE</v>
      </c>
      <c r="C79" s="224" t="str">
        <f t="shared" si="3"/>
        <v>Crumbleberry</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Crumbleberry</v>
      </c>
      <c r="AA79" s="224"/>
      <c r="AB79" s="224"/>
      <c r="AC79" s="224"/>
      <c r="AD79" s="224"/>
      <c r="AE79" s="224"/>
      <c r="AF79" s="224"/>
      <c r="AG79" s="224"/>
      <c r="AH79" s="224"/>
    </row>
    <row r="80" spans="2:44" s="311" customFormat="1" ht="12.75" customHeight="1">
      <c r="B80" s="224" t="str">
        <f>MID($B$69,31,3)</f>
        <v>AAF</v>
      </c>
      <c r="C80" s="224" t="str">
        <f t="shared" si="3"/>
        <v>Varag Ghoul-Chewer</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Varag Ghoul-Chewer</v>
      </c>
      <c r="AA80" s="224"/>
      <c r="AB80" s="224"/>
      <c r="AC80" s="224"/>
      <c r="AD80" s="224"/>
      <c r="AE80" s="224"/>
      <c r="AF80" s="224"/>
      <c r="AG80" s="224"/>
      <c r="AH80" s="224"/>
    </row>
    <row r="81" spans="2:34" s="311" customFormat="1" ht="12.75" customHeight="1">
      <c r="B81" s="224" t="str">
        <f>MID($B$69,34,3)</f>
        <v>AAG</v>
      </c>
      <c r="C81" s="224" t="str">
        <f t="shared" si="3"/>
        <v>Morg 'n' Thorg</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Morg 'n' Thorg</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2022-07-13T08:28:59Z</dcterms:modified>
</cp:coreProperties>
</file>