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ocumenti\Personal\Teo\Giochi\Games Workshop\Blood Bowl\Tournaments\Memorial Radeeo Head\www\edizioni\ed2\"/>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B29" i="8" s="1"/>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F31" i="8"/>
  <c r="AE31" i="8"/>
  <c r="W31" i="8"/>
  <c r="AT30" i="8"/>
  <c r="AS30" i="8"/>
  <c r="AR30" i="8"/>
  <c r="AP30" i="8"/>
  <c r="AN30" i="8"/>
  <c r="AM30" i="8"/>
  <c r="W30" i="8"/>
  <c r="A30" i="8"/>
  <c r="AI29" i="8"/>
  <c r="AH29" i="8"/>
  <c r="AG29" i="8"/>
  <c r="AF29" i="8"/>
  <c r="AE29" i="8"/>
  <c r="AE36" i="8" s="1"/>
  <c r="AA29" i="8"/>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A3" i="8" l="1"/>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H52" i="2"/>
  <c r="BG52" i="2"/>
  <c r="BF52" i="2"/>
  <c r="BE52" i="2"/>
  <c r="BD52" i="2"/>
  <c r="CE51" i="2"/>
  <c r="CD51" i="2"/>
  <c r="CC51" i="2"/>
  <c r="CB51" i="2"/>
  <c r="CA51" i="2"/>
  <c r="BZ51" i="2"/>
  <c r="BN51" i="2"/>
  <c r="BV51" i="2" s="1"/>
  <c r="BM51" i="2"/>
  <c r="CP51" i="2" s="1"/>
  <c r="BL51" i="2"/>
  <c r="CO51" i="2" s="1"/>
  <c r="BK51" i="2"/>
  <c r="BH51" i="2"/>
  <c r="BG51" i="2"/>
  <c r="BF51" i="2"/>
  <c r="BE51" i="2"/>
  <c r="BD51" i="2"/>
  <c r="CE50" i="2"/>
  <c r="CD50" i="2"/>
  <c r="CC50" i="2"/>
  <c r="CB50" i="2"/>
  <c r="CA50" i="2"/>
  <c r="BZ50" i="2"/>
  <c r="BN50" i="2"/>
  <c r="BV50" i="2" s="1"/>
  <c r="BM50" i="2"/>
  <c r="CP50" i="2" s="1"/>
  <c r="BL50" i="2"/>
  <c r="CO50" i="2" s="1"/>
  <c r="BK50" i="2"/>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H48" i="2"/>
  <c r="BG48" i="2"/>
  <c r="BF48" i="2"/>
  <c r="BE48" i="2"/>
  <c r="BD48" i="2"/>
  <c r="CE47" i="2"/>
  <c r="CD47" i="2"/>
  <c r="CC47" i="2"/>
  <c r="CB47" i="2"/>
  <c r="CA47" i="2"/>
  <c r="BZ47" i="2"/>
  <c r="BN47" i="2"/>
  <c r="BV47" i="2" s="1"/>
  <c r="BM47" i="2"/>
  <c r="CP47" i="2" s="1"/>
  <c r="BL47" i="2"/>
  <c r="CO47" i="2" s="1"/>
  <c r="BK47" i="2"/>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G8" i="2"/>
  <c r="BE7" i="2"/>
  <c r="BD7" i="2"/>
  <c r="BA7" i="2"/>
  <c r="AZ7" i="2"/>
  <c r="AY7" i="2"/>
  <c r="G7" i="2"/>
  <c r="BE6" i="2"/>
  <c r="BD6" i="2"/>
  <c r="BA6" i="2"/>
  <c r="AZ6" i="2"/>
  <c r="AY6" i="2"/>
  <c r="G6" i="2"/>
  <c r="BE5" i="2"/>
  <c r="BD5" i="2"/>
  <c r="BA5" i="2"/>
  <c r="AZ5" i="2"/>
  <c r="AY5" i="2"/>
  <c r="AX5" i="2"/>
  <c r="G5" i="2"/>
  <c r="BE4" i="2"/>
  <c r="BD4" i="2"/>
  <c r="BA4" i="2"/>
  <c r="AZ4" i="2"/>
  <c r="AY4" i="2"/>
  <c r="G4" i="2"/>
  <c r="BE3" i="2"/>
  <c r="BD3" i="2"/>
  <c r="BA3" i="2"/>
  <c r="AZ3" i="2"/>
  <c r="AY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9" i="2"/>
  <c r="CG53" i="2"/>
  <c r="CG54" i="2"/>
  <c r="CG55" i="2"/>
  <c r="CG56" i="2"/>
  <c r="CG57" i="2"/>
  <c r="CG58" i="2"/>
  <c r="CG59" i="2"/>
  <c r="AC66" i="2"/>
  <c r="AC71" i="2"/>
  <c r="AG74" i="2"/>
  <c r="AD75" i="2"/>
  <c r="AG76" i="2"/>
  <c r="AC77" i="2"/>
  <c r="AC78" i="2"/>
  <c r="AE79" i="2"/>
  <c r="AF80" i="2"/>
  <c r="A2" i="3"/>
  <c r="A3" i="3" s="1"/>
  <c r="AN41" i="2" l="1"/>
  <c r="BT61" i="2"/>
  <c r="CV61" i="2" s="1"/>
  <c r="W74" i="2"/>
  <c r="Y78" i="2"/>
  <c r="BG3" i="2"/>
  <c r="AX3" i="2" s="1"/>
  <c r="AR4" i="2"/>
  <c r="AT4" i="2" s="1"/>
  <c r="CK63" i="2"/>
  <c r="CK62" i="2" s="1"/>
  <c r="CK126" i="2" s="1"/>
  <c r="Z75" i="2"/>
  <c r="I13" i="2"/>
  <c r="AS13" i="2" s="1"/>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AR17" i="2"/>
  <c r="AT17" i="2" s="1"/>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BS47" i="2" s="1"/>
  <c r="AY51" i="2"/>
  <c r="BS51" i="2" s="1"/>
  <c r="AY55" i="2"/>
  <c r="AY59" i="2"/>
  <c r="BC58" i="2"/>
  <c r="BB54" i="2"/>
  <c r="BB58" i="2"/>
  <c r="BA54" i="2"/>
  <c r="AZ50" i="2"/>
  <c r="AZ46" i="2"/>
  <c r="BV46" i="2" s="1"/>
  <c r="CX46" i="2" s="1"/>
  <c r="AY58" i="2"/>
  <c r="BC48" i="2"/>
  <c r="BC52" i="2"/>
  <c r="BC56" i="2"/>
  <c r="BC60" i="2"/>
  <c r="BB48" i="2"/>
  <c r="BB52" i="2"/>
  <c r="BB56" i="2"/>
  <c r="BB60" i="2"/>
  <c r="BA48" i="2"/>
  <c r="BS48" i="2" s="1"/>
  <c r="BA52" i="2"/>
  <c r="BA56" i="2"/>
  <c r="BA60" i="2"/>
  <c r="AZ48" i="2"/>
  <c r="AZ52" i="2"/>
  <c r="AZ56" i="2"/>
  <c r="AZ60" i="2"/>
  <c r="AY48" i="2"/>
  <c r="AY52" i="2"/>
  <c r="BS52" i="2" s="1"/>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BS50" i="2" s="1"/>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AX8" i="2" s="1"/>
  <c r="BH8" i="2" s="1"/>
  <c r="BG4" i="2"/>
  <c r="AX4" i="2" s="1"/>
  <c r="BH4" i="2" s="1"/>
  <c r="Y71" i="2"/>
  <c r="I3" i="2"/>
  <c r="AS3" i="2" s="1"/>
  <c r="AR8" i="2"/>
  <c r="AT8" i="2" s="1"/>
  <c r="BI11" i="2"/>
  <c r="BJ11" i="2" s="1"/>
  <c r="AA76" i="2"/>
  <c r="BI6" i="2"/>
  <c r="BJ6" i="2" s="1"/>
  <c r="BG5" i="2"/>
  <c r="I12" i="2"/>
  <c r="AS12" i="2" s="1"/>
  <c r="AR15" i="2"/>
  <c r="AT15" i="2" s="1"/>
  <c r="AA69" i="2"/>
  <c r="BG7" i="2"/>
  <c r="AX7" i="2" s="1"/>
  <c r="BH7" i="2" s="1"/>
  <c r="AR10" i="2"/>
  <c r="AT10" i="2" s="1"/>
  <c r="BH12" i="2"/>
  <c r="BG15" i="2"/>
  <c r="CG63" i="2"/>
  <c r="CG62" i="2" s="1"/>
  <c r="CG106" i="2" s="1"/>
  <c r="Z66" i="2"/>
  <c r="X69" i="2"/>
  <c r="Z71" i="2"/>
  <c r="Y75" i="2"/>
  <c r="W80" i="2"/>
  <c r="BG6" i="2"/>
  <c r="AX6" i="2" s="1"/>
  <c r="BH6" i="2" s="1"/>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CU52" i="2" l="1"/>
  <c r="CG52" i="2"/>
  <c r="CU47" i="2"/>
  <c r="CG47" i="2"/>
  <c r="CU50" i="2"/>
  <c r="CG50" i="2"/>
  <c r="BI50" i="2" s="1"/>
  <c r="AK6" i="2" s="1"/>
  <c r="CU48" i="2"/>
  <c r="CG48" i="2"/>
  <c r="CU51" i="2"/>
  <c r="CG51" i="2"/>
  <c r="AN46" i="7"/>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B65" i="7" l="1"/>
  <c r="V6" i="8"/>
  <c r="V7" i="8"/>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I6" i="8" l="1"/>
  <c r="AD12" i="8" s="1"/>
  <c r="W12" i="8" s="1"/>
  <c r="S3" i="8" s="1"/>
  <c r="J40" i="7" s="1"/>
  <c r="Z41" i="2"/>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J28" i="2"/>
  <c r="B73" i="2" s="1"/>
  <c r="AG40" i="2"/>
  <c r="AN2" i="2"/>
  <c r="J26" i="2" s="1"/>
  <c r="AQ2"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Q23" i="4" l="1"/>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<sst xmlns="http://schemas.openxmlformats.org/spreadsheetml/2006/main" count="3828" uniqueCount="1391">
  <si>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</si>
  <si>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</si>
  <si>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</si>
  <si>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</si>
  <si>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</si>
  <si>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</si>
  <si>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</si>
  <si>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</si>
  <si>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</si>
  <si>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</si>
  <si>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</si>
  <si>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</si>
  <si>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</si>
  <si>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</si>
  <si>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</si>
  <si>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</si>
  <si>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</si>
  <si>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</si>
  <si>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</si>
  <si>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</si>
  <si>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</si>
  <si>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</si>
  <si>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</si>
  <si>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</si>
  <si>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</si>
  <si>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</si>
  <si>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</si>
  <si>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</si>
  <si>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</si>
  <si>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</si>
  <si>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</si>
  <si>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</si>
  <si>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</si>
  <si>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</si>
  <si>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</si>
  <si>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</si>
  <si>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</si>
  <si>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</si>
  <si>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</si>
  <si>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</si>
  <si>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</si>
  <si>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</si>
  <si>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</si>
  <si>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</si>
  <si>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</si>
  <si>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</si>
  <si>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</si>
  <si>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</si>
  <si>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</si>
  <si>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</si>
  <si>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</si>
  <si>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</si>
  <si>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</si>
  <si>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</si>
  <si>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</si>
  <si>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</si>
  <si>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</si>
  <si>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</si>
  <si>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</si>
  <si>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</si>
  <si>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</si>
  <si>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</si>
  <si>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</si>
  <si>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</si>
  <si>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</si>
  <si>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</si>
  <si>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</si>
  <si>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</si>
  <si>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</si>
  <si>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</si>
  <si>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</si>
  <si>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</si>
  <si>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</si>
  <si>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</si>
  <si>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</si>
  <si>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</si>
  <si>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</si>
  <si>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</si>
  <si>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</si>
  <si>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</si>
  <si>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</si>
  <si>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</si>
  <si>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</si>
  <si>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</si>
  <si>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</si>
  <si>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</si>
  <si>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</si>
  <si>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</si>
  <si>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</si>
  <si>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</si>
  <si>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</si>
  <si>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</si>
  <si>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</si>
  <si>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</si>
  <si>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</si>
  <si>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</si>
  <si>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</si>
  <si>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</si>
  <si>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</si>
  <si>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</si>
  <si>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</si>
  <si>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</si>
  <si>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</si>
  <si>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</si>
  <si>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</si>
  <si>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</si>
  <si>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</si>
  <si>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</si>
  <si>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</si>
  <si>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</si>
  <si>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</si>
  <si>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</si>
  <si>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</si>
  <si>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</si>
  <si>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</si>
  <si>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</si>
  <si>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</si>
  <si>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</si>
  <si>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</si>
  <si>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</si>
  <si>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</si>
  <si>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</si>
  <si>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</si>
  <si>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</si>
  <si>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</si>
  <si>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</si>
  <si>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</si>
  <si>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</si>
  <si>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</si>
  <si>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</si>
  <si>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</si>
  <si>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</si>
  <si>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</si>
  <si>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</si>
  <si>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</si>
  <si>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</si>
  <si>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</si>
  <si>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</si>
  <si>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</si>
  <si>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</si>
  <si>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</si>
  <si>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</si>
  <si>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</si>
  <si>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</si>
  <si>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</si>
  <si>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</si>
  <si>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</si>
  <si>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</si>
  <si>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</si>
  <si>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</si>
  <si>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</si>
  <si>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</si>
  <si>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</si>
  <si>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</si>
  <si>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</si>
  <si>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</si>
  <si>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</si>
  <si>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</si>
  <si>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</si>
  <si>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</si>
  <si>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</si>
  <si>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</si>
  <si>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</si>
  <si>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</si>
  <si>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</si>
  <si>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</si>
  <si>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</si>
  <si>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</si>
  <si>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</si>
  <si>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</si>
  <si>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</si>
  <si>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</si>
  <si>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</si>
  <si>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</si>
  <si>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</si>
  <si>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</si>
  <si>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</si>
  <si>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</si>
  <si>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</si>
  <si>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</si>
  <si>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</si>
  <si>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</si>
  <si>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</si>
  <si>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</si>
  <si>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</si>
  <si>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</si>
  <si>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</si>
  <si>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</si>
  <si>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</si>
  <si>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</si>
  <si>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</si>
  <si>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</si>
  <si>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</si>
  <si>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</si>
  <si>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</si>
  <si>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</si>
  <si>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</si>
  <si>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</si>
  <si>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</si>
  <si>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</si>
  <si>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</si>
  <si>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</si>
  <si>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</si>
  <si>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</si>
  <si>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</si>
  <si>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</si>
  <si>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</si>
  <si>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</si>
  <si>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</si>
  <si>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</si>
  <si>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</si>
  <si>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</si>
  <si>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</si>
  <si>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</si>
  <si>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</si>
  <si>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</si>
  <si>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</si>
  <si>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</si>
  <si>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</si>
  <si>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</si>
  <si>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</si>
  <si>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</si>
  <si>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</si>
  <si>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</si>
  <si>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</si>
  <si>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</si>
  <si>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</si>
  <si>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</si>
  <si>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</si>
  <si>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</si>
  <si>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</si>
  <si>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</si>
  <si>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</si>
  <si>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</si>
  <si>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</si>
  <si>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</si>
  <si>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</si>
  <si>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</si>
  <si>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</si>
  <si>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</si>
  <si>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</si>
  <si>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</si>
  <si>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</si>
  <si>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</si>
  <si>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</si>
  <si>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</si>
  <si>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</si>
  <si>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</si>
  <si>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</si>
  <si>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</si>
  <si>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</si>
  <si>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</si>
  <si>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</si>
  <si>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</si>
  <si>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</si>
  <si>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</si>
  <si>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</si>
  <si>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</si>
  <si>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</si>
  <si>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</si>
  <si>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</si>
  <si>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</si>
  <si>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</si>
  <si>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</si>
  <si>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</si>
  <si>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</si>
  <si>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</si>
  <si>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</si>
  <si>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</si>
  <si>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</si>
  <si>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</si>
  <si>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</si>
  <si>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</si>
  <si>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</si>
  <si>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</si>
  <si>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</si>
  <si>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</si>
  <si>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</si>
  <si>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</si>
  <si>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</si>
  <si>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</si>
  <si>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</si>
  <si>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</si>
  <si>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</si>
  <si>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</si>
  <si>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</si>
  <si>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</si>
  <si>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</si>
  <si>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</si>
  <si>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</si>
  <si>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</si>
  <si>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</si>
  <si>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</si>
  <si>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</si>
  <si>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</si>
  <si>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</si>
  <si>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</si>
  <si>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</si>
  <si>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</si>
  <si>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</si>
  <si>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</si>
  <si>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</si>
  <si>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</si>
  <si>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</si>
  <si>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</si>
  <si>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</si>
  <si>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</si>
  <si>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</si>
  <si>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</si>
  <si>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</si>
  <si>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</si>
  <si>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</si>
  <si>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</si>
  <si>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</si>
  <si>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</si>
  <si>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</si>
  <si>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</si>
  <si>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</si>
  <si>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</si>
  <si>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</si>
  <si>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</si>
  <si>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</si>
  <si>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</si>
  <si>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</si>
  <si>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</si>
  <si>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</si>
  <si>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</si>
  <si>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</si>
  <si>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</si>
  <si>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</si>
  <si>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</si>
  <si>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</si>
  <si>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</si>
  <si>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</si>
  <si>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</si>
  <si>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</si>
  <si>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</si>
  <si>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</si>
  <si>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</si>
  <si>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</si>
  <si>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</si>
  <si>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</si>
  <si>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</si>
  <si>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</si>
  <si>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</si>
  <si>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</si>
  <si>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</si>
  <si>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</si>
  <si>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</si>
  <si>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</si>
  <si>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</si>
  <si>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</si>
  <si>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</si>
  <si>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</si>
  <si>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</si>
  <si>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</si>
  <si>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</si>
  <si>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</si>
  <si>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</si>
  <si>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</si>
  <si>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</si>
  <si>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</si>
  <si>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</si>
  <si>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</si>
  <si>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</si>
  <si>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</si>
  <si>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</si>
  <si>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</si>
  <si>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</si>
  <si>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</si>
  <si>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</si>
  <si>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</si>
  <si>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</si>
  <si>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</si>
  <si>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</si>
  <si>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</si>
  <si>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</si>
  <si>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</si>
  <si>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</si>
  <si>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</si>
  <si>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</si>
  <si>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</si>
  <si>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</si>
  <si>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</si>
  <si>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</si>
  <si>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</si>
  <si>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</si>
  <si>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</si>
  <si>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</si>
  <si>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</si>
  <si>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</si>
  <si>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</si>
  <si>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</si>
  <si>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</si>
  <si>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</si>
  <si>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</si>
  <si>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</si>
  <si>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</si>
  <si>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</si>
  <si>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</si>
  <si>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</si>
  <si>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</si>
  <si>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</si>
  <si>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</si>
  <si>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</si>
  <si>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</si>
  <si>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</si>
  <si>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</si>
  <si>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</si>
  <si>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</si>
  <si>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</si>
  <si>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</si>
  <si>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</si>
  <si>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</si>
  <si>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</si>
  <si>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</si>
  <si>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</si>
  <si>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</si>
  <si>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</si>
  <si>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</si>
  <si>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</si>
  <si>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</si>
  <si>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</si>
  <si>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</si>
  <si>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</si>
  <si>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</si>
  <si>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</si>
  <si>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</si>
  <si>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</si>
  <si>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</si>
  <si>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</si>
  <si>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</si>
  <si>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</si>
  <si>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</si>
  <si>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</si>
  <si>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</si>
  <si>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</si>
  <si>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</si>
  <si>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</si>
  <si>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</si>
  <si>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</si>
  <si>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</si>
  <si>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</si>
  <si>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</si>
  <si>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</si>
  <si>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</si>
  <si>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</si>
  <si>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</si>
  <si>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</si>
  <si>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</si>
  <si>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</si>
  <si>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</si>
  <si>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</si>
  <si>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</si>
  <si>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</si>
  <si>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</si>
  <si>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</si>
  <si>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</si>
  <si>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</si>
  <si>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</si>
  <si>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</si>
  <si>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</si>
  <si>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</si>
  <si>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</si>
  <si>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</si>
  <si>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</si>
  <si>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</si>
  <si>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</si>
  <si>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</si>
  <si>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</si>
  <si>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</si>
  <si>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</si>
  <si>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</si>
  <si>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</si>
  <si>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</si>
  <si>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</si>
  <si>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</si>
  <si>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</si>
  <si>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</si>
  <si>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</si>
  <si>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</si>
  <si>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</si>
  <si>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</si>
  <si>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</si>
  <si>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</si>
  <si>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</si>
  <si>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</si>
  <si>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</si>
  <si>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</si>
  <si>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</si>
  <si>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</si>
  <si>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</si>
  <si>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</si>
  <si>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</si>
  <si>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</si>
  <si>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</si>
  <si>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</si>
  <si>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</si>
  <si>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</si>
  <si>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</si>
  <si>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</si>
  <si>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</si>
  <si>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</si>
  <si>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</si>
  <si>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</si>
  <si>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</si>
  <si>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</si>
  <si>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</si>
  <si>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</si>
  <si>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</si>
  <si>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</si>
  <si>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</si>
  <si>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</si>
  <si>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</si>
  <si>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</si>
  <si>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</si>
  <si>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</si>
  <si>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</si>
  <si>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</si>
  <si>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</si>
  <si>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</si>
  <si>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</si>
  <si>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</si>
  <si>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</si>
  <si>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</si>
  <si>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</si>
  <si>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</si>
  <si>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</si>
  <si>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</si>
  <si>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</si>
  <si>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</si>
  <si>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</si>
  <si>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</si>
  <si>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</si>
  <si>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</si>
  <si>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</si>
  <si>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</si>
  <si>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</si>
  <si>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</si>
  <si>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</si>
  <si>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</si>
  <si>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</si>
  <si>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</si>
  <si>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</si>
  <si>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</si>
  <si>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</si>
  <si>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</si>
  <si>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</si>
  <si>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</si>
  <si>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</si>
  <si>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</si>
  <si>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</si>
  <si>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</si>
  <si>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</si>
  <si>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</si>
  <si>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</si>
  <si>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</si>
  <si>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</si>
  <si>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</si>
  <si>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</si>
  <si>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</si>
  <si>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</si>
  <si>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</si>
  <si>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</si>
  <si>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</si>
  <si>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</si>
  <si>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</si>
  <si>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</si>
  <si>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</si>
  <si>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</si>
  <si>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</si>
  <si>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</si>
  <si>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</si>
  <si>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</si>
  <si>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</si>
  <si>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</si>
  <si>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</si>
  <si>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</si>
  <si>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</si>
  <si>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</si>
  <si>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</si>
  <si>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</si>
  <si>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</si>
  <si>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</si>
  <si>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</si>
  <si>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</si>
  <si>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</si>
  <si>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</si>
  <si>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</si>
  <si>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</si>
  <si>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</si>
  <si>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</si>
  <si>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</si>
  <si>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</si>
  <si>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</si>
  <si>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</si>
  <si>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</si>
  <si>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</si>
  <si>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</si>
  <si>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</si>
  <si>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</si>
  <si>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</si>
  <si>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</si>
  <si>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</si>
  <si>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</si>
  <si>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</si>
  <si>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</si>
  <si>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</si>
  <si>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</si>
  <si>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</si>
  <si>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</si>
  <si>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</si>
  <si>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</si>
  <si>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</si>
  <si>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</si>
  <si>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</si>
  <si>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</si>
  <si>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</si>
  <si>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</si>
  <si>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</si>
  <si>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</si>
  <si>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</si>
  <si>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</si>
  <si>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</si>
  <si>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</si>
  <si>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</si>
  <si>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</si>
  <si>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</si>
  <si>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</si>
  <si>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</si>
  <si>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</si>
  <si>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</si>
  <si>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</si>
  <si>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</si>
  <si>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</si>
  <si>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</si>
  <si>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</si>
  <si>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</si>
  <si>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</si>
  <si>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</si>
  <si>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</si>
  <si>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</si>
  <si>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</si>
  <si>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</si>
  <si>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</si>
  <si>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</si>
  <si>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</si>
  <si>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</si>
  <si>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</si>
  <si>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</si>
  <si>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</si>
  <si>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</si>
  <si>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</si>
  <si>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</si>
  <si>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</si>
  <si>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</si>
  <si>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</si>
  <si>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</si>
  <si>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</si>
  <si>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</si>
  <si>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</si>
  <si>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</si>
  <si>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</si>
  <si>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</si>
  <si>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</si>
  <si>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</si>
  <si>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</si>
  <si>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</si>
  <si>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</si>
  <si>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</si>
  <si>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</si>
  <si>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</si>
  <si>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</si>
  <si>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</si>
  <si>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</si>
  <si>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</si>
  <si>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</si>
  <si>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</si>
  <si>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</si>
  <si>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</si>
  <si>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</si>
  <si>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</si>
  <si>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</si>
  <si>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</si>
  <si>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</si>
  <si>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</si>
  <si>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</si>
  <si>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</si>
  <si>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</si>
  <si>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</si>
  <si>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</si>
  <si>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</si>
  <si>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</si>
  <si>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</si>
  <si>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</si>
  <si>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</si>
  <si>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</si>
  <si>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</si>
  <si>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</si>
  <si>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</si>
  <si>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</si>
  <si>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</si>
  <si>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</si>
  <si>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</si>
  <si>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</si>
  <si>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</si>
  <si>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</si>
  <si>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</si>
  <si>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</si>
  <si>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</si>
  <si>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</si>
  <si>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</si>
  <si>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</si>
  <si>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</si>
  <si>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</si>
  <si>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</si>
  <si>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</si>
  <si>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</si>
  <si>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</si>
  <si>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</si>
  <si>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</si>
  <si>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</si>
  <si>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</si>
  <si>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</si>
  <si>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</si>
  <si>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</si>
  <si>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</si>
  <si>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</si>
  <si>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</si>
  <si>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</si>
  <si>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</si>
  <si>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</si>
  <si>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</si>
  <si>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</si>
  <si>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</si>
  <si>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</si>
  <si>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</si>
  <si>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</si>
  <si>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</si>
  <si>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</si>
  <si>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</si>
  <si>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</si>
  <si>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</si>
  <si>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</si>
  <si>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</si>
  <si>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</si>
  <si>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</si>
  <si>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</si>
  <si>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</si>
  <si>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</si>
  <si>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</si>
  <si>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</si>
  <si>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</si>
  <si>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</si>
  <si>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</si>
  <si>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</si>
  <si>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</si>
  <si>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</si>
  <si>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</si>
  <si>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</si>
  <si>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</si>
  <si>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</si>
  <si>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</si>
  <si>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</si>
  <si>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</si>
  <si>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</si>
  <si>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</si>
  <si>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</si>
  <si>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</si>
  <si>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</si>
  <si>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</si>
  <si>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</si>
  <si>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</si>
  <si>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</si>
  <si>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</si>
  <si>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</si>
  <si>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</si>
  <si>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</si>
  <si>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</si>
  <si>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</si>
  <si>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</si>
  <si>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</si>
  <si>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</si>
  <si>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</si>
  <si>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</si>
  <si>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</si>
  <si>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</si>
  <si>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</si>
  <si>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</si>
  <si>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</si>
  <si>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</si>
  <si>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</si>
  <si>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</si>
  <si>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</si>
  <si>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</si>
  <si>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</si>
  <si>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</si>
  <si>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</si>
  <si>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</si>
  <si>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</si>
  <si>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</si>
  <si>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</si>
  <si>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</si>
  <si>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</si>
  <si>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</si>
  <si>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</si>
  <si>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</si>
  <si>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</si>
  <si>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</si>
  <si>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</si>
  <si>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</si>
  <si>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</si>
  <si>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</si>
  <si>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</si>
  <si>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</si>
  <si>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</si>
  <si>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</si>
  <si>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</si>
  <si>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</si>
  <si>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</si>
  <si>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</si>
  <si>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</si>
  <si>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</si>
  <si>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</si>
  <si>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</si>
  <si>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</si>
  <si>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</si>
  <si>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</si>
  <si>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</si>
  <si>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</si>
  <si>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</si>
  <si>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</si>
  <si>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</si>
  <si>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</si>
  <si>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</si>
  <si>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</si>
  <si>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</si>
  <si>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</si>
  <si>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</si>
  <si>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</si>
  <si>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</si>
  <si>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</si>
  <si>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</si>
  <si>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</si>
  <si>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</si>
  <si>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</si>
  <si>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</si>
  <si>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</si>
  <si>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</si>
  <si>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</si>
  <si>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</si>
  <si>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</si>
  <si>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</si>
  <si>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</si>
  <si>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</si>
  <si>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</si>
  <si>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</si>
  <si>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</si>
  <si>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</si>
  <si>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</si>
  <si>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</si>
  <si>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</si>
  <si>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</si>
  <si>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</si>
  <si>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</si>
  <si>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</si>
  <si>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</si>
  <si>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</si>
  <si>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</si>
  <si>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</si>
  <si>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</si>
  <si>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</si>
  <si>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</si>
  <si>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</si>
  <si>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</si>
  <si>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</si>
  <si>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</si>
  <si>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</si>
  <si>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</si>
  <si>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</si>
  <si>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</si>
  <si>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</si>
  <si>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</si>
  <si>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</si>
  <si>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</si>
  <si>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</si>
  <si>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</si>
  <si>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</si>
  <si>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</si>
  <si>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</si>
  <si>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</si>
  <si>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</si>
  <si>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</si>
  <si>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</si>
  <si>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</si>
  <si>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</si>
  <si>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</si>
  <si>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</si>
  <si>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</si>
  <si>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</si>
  <si>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</si>
  <si>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</si>
  <si>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</si>
  <si>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</si>
  <si>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</si>
  <si>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</si>
  <si>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</si>
  <si>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</si>
  <si>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</si>
  <si>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</si>
  <si>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</si>
  <si>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</si>
  <si>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</si>
  <si>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</si>
  <si>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</si>
  <si>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</si>
  <si>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</si>
  <si>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</si>
  <si>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</si>
  <si>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</si>
  <si>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</si>
  <si>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</si>
  <si>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</si>
  <si>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</si>
  <si>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</si>
  <si>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</si>
  <si>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</si>
  <si>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</si>
  <si>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</si>
  <si>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</si>
  <si>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</si>
  <si>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</si>
  <si>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</si>
  <si>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</si>
  <si>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</si>
  <si>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</si>
  <si>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</si>
  <si>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</si>
  <si>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</si>
  <si>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</si>
  <si>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</si>
  <si>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</si>
  <si>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</si>
  <si>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</si>
  <si>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</si>
  <si>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</si>
  <si>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</si>
  <si>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</si>
  <si>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</si>
  <si>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</si>
  <si>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</si>
  <si>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</si>
  <si>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</si>
  <si>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</si>
  <si>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</si>
  <si>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</si>
  <si>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</si>
  <si>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</si>
  <si>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</si>
  <si>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</si>
  <si>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</si>
  <si>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</si>
  <si>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</si>
  <si>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</si>
  <si>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</si>
  <si>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</si>
  <si>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</si>
  <si>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</si>
  <si>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</si>
  <si>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</si>
  <si>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</si>
  <si>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</si>
  <si>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</si>
  <si>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</si>
  <si>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</si>
  <si>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</si>
  <si>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</si>
  <si>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</si>
  <si>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</si>
  <si>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</si>
  <si>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</si>
  <si>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</si>
  <si>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</si>
  <si>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</si>
  <si>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</si>
  <si>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</si>
  <si>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</si>
  <si>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</si>
  <si>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</si>
  <si>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</si>
  <si>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</si>
  <si>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</si>
  <si>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</si>
  <si>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</si>
  <si>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</si>
  <si>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</si>
  <si>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</si>
  <si>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</si>
  <si>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</si>
  <si>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</si>
  <si>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</si>
  <si>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</si>
  <si>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</si>
  <si>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</si>
  <si>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</si>
  <si>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</si>
  <si>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</si>
  <si>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</si>
  <si>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</si>
  <si>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</si>
  <si>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</si>
  <si>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</si>
  <si>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</si>
  <si>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</si>
  <si>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</si>
  <si>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</si>
  <si>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</si>
  <si>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</si>
  <si>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</si>
  <si>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</si>
  <si>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</si>
  <si>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</si>
  <si>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</si>
  <si>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</si>
  <si>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</si>
  <si>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</si>
  <si>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</si>
  <si>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</si>
  <si>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</si>
  <si>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</si>
  <si>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</si>
  <si>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</si>
  <si>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</si>
  <si>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</si>
  <si>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</si>
  <si>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</si>
  <si>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</si>
  <si>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</si>
  <si>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</si>
  <si>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</si>
  <si>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</si>
  <si>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</si>
  <si>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</si>
  <si>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</si>
  <si>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</si>
  <si>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</si>
  <si>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</si>
  <si>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</si>
  <si>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</si>
  <si>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</si>
  <si>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</si>
  <si>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</si>
  <si>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</si>
  <si>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</si>
  <si>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</si>
  <si>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</si>
  <si>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</si>
  <si>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</si>
  <si>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</si>
  <si>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</si>
  <si>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</si>
  <si>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</si>
  <si>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</si>
  <si>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</si>
  <si>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</si>
  <si>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</si>
  <si>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</si>
  <si>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</si>
  <si>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</si>
  <si>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</si>
  <si>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</si>
  <si>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</si>
  <si>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</si>
  <si>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</si>
  <si>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</si>
  <si>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</si>
  <si>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</si>
  <si>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</si>
  <si>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</si>
  <si>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</si>
  <si>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</si>
  <si>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</si>
  <si>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</si>
  <si>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</si>
  <si>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</si>
  <si>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</si>
  <si>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</si>
  <si>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</si>
  <si>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</si>
  <si>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</si>
  <si>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</si>
  <si>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</si>
  <si>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</si>
  <si>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</si>
  <si>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</si>
  <si>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</si>
  <si>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</si>
  <si>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</si>
  <si>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</si>
  <si>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</si>
  <si>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</si>
  <si>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</si>
  <si>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</si>
  <si>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</si>
  <si>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</si>
  <si>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</si>
  <si>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</si>
  <si>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</si>
  <si>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</si>
  <si>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</si>
  <si>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</si>
  <si>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</si>
  <si>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</si>
  <si>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</si>
  <si>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</si>
  <si>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</si>
  <si>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</si>
  <si>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</si>
  <si>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</si>
  <si>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</si>
  <si>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</si>
  <si>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</si>
  <si>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</si>
  <si>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</si>
  <si>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</si>
  <si>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</si>
  <si>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</si>
  <si>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</si>
  <si>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</si>
  <si>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</si>
  <si>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</si>
  <si>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</si>
  <si>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</si>
  <si>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</si>
  <si>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</si>
  <si>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</si>
  <si>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</si>
  <si>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</si>
  <si>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</si>
  <si>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</si>
  <si>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</si>
  <si>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</si>
  <si>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</si>
  <si>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</si>
  <si>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</si>
  <si>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</si>
  <si>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</si>
  <si>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</si>
  <si>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</si>
  <si>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</si>
  <si>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</si>
  <si>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</si>
  <si>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</si>
  <si>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</si>
  <si>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</si>
  <si>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</si>
  <si>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</si>
  <si>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</si>
  <si>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</si>
  <si>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</si>
  <si>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</si>
  <si>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</si>
  <si>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</si>
  <si>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</si>
  <si>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</si>
  <si>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</si>
  <si>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</si>
  <si>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</si>
  <si>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</si>
  <si>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</si>
  <si>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</si>
  <si>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</si>
  <si>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</si>
  <si>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</si>
  <si>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</si>
  <si>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</si>
  <si>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</si>
  <si>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</si>
  <si>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</si>
  <si>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</si>
  <si>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</si>
  <si>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</si>
  <si>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</si>
  <si>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</si>
  <si>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</si>
  <si>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</si>
  <si>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</si>
  <si>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</si>
  <si>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</si>
  <si>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</si>
  <si>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</si>
  <si>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</si>
  <si>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</si>
  <si>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</si>
  <si>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</si>
  <si>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</si>
  <si>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</si>
  <si>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</si>
  <si>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</si>
  <si>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</si>
  <si>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</si>
  <si>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</si>
  <si>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</si>
  <si>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</si>
  <si>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</si>
  <si>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</si>
  <si>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</si>
  <si>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</si>
  <si>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</si>
  <si>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</si>
  <si>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</si>
  <si>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</si>
  <si>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</si>
  <si>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</si>
  <si>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</si>
  <si>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</si>
  <si>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</si>
  <si>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</si>
  <si>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</si>
  <si>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</si>
  <si>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</si>
  <si>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</si>
  <si>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</si>
  <si>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</si>
  <si>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</si>
  <si>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</si>
  <si>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</si>
  <si>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</si>
  <si>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</si>
  <si>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</si>
  <si>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</si>
  <si>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</si>
  <si>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</si>
  <si>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</si>
  <si>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</si>
  <si>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</si>
  <si>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</si>
  <si>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</si>
  <si>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</si>
  <si>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</si>
  <si>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</si>
  <si>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</si>
  <si>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</si>
  <si>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</si>
  <si>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</si>
  <si>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</si>
  <si>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</si>
  <si>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</si>
  <si>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</si>
  <si>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</si>
  <si>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</si>
  <si>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</si>
  <si>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</si>
  <si>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</si>
  <si>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</si>
  <si>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</si>
  <si>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</si>
  <si>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</si>
  <si>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</si>
  <si>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</si>
  <si>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</si>
  <si>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</si>
  <si>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</si>
  <si>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</si>
  <si>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</si>
  <si>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</si>
  <si>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</si>
  <si>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</si>
  <si>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</si>
  <si>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</si>
  <si>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</si>
  <si>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</si>
  <si>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</si>
  <si>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</si>
  <si>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</si>
  <si>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</si>
  <si>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</si>
  <si>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</si>
  <si>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</si>
  <si>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</si>
  <si>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</si>
  <si>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</si>
  <si>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</si>
  <si>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</si>
  <si>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</si>
  <si>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</si>
  <si>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</si>
  <si>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</si>
  <si>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</si>
  <si>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</si>
  <si>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</si>
  <si>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</si>
  <si>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</si>
  <si>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</si>
  <si>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</si>
  <si>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</si>
  <si>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</si>
  <si>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</si>
  <si>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</si>
  <si>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</si>
  <si>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</si>
  <si>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</si>
  <si>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</si>
  <si>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</si>
  <si>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</si>
  <si>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</si>
  <si>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</si>
  <si>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</si>
  <si>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</si>
  <si>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</si>
  <si>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</si>
  <si>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</si>
  <si>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</si>
  <si>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</si>
  <si>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</si>
  <si>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</si>
  <si>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</si>
  <si>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</si>
  <si>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</si>
  <si>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</si>
  <si>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</si>
  <si>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</si>
  <si>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</si>
  <si>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</si>
  <si>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</si>
  <si>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</si>
  <si>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</si>
  <si>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</si>
  <si>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</si>
  <si>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</si>
  <si>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</si>
  <si>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</si>
  <si>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</si>
  <si>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</si>
  <si>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</si>
  <si>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</si>
  <si>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</si>
  <si>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</si>
  <si>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</si>
  <si>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</si>
  <si>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</si>
  <si>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</si>
  <si>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</si>
  <si>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</si>
  <si>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</si>
  <si>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</si>
  <si>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</si>
  <si>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</si>
  <si>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</si>
  <si>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</si>
  <si>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</si>
  <si>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</si>
  <si>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</si>
  <si>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</si>
  <si>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</si>
  <si>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</si>
  <si>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</si>
  <si>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</si>
  <si>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</si>
  <si>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</si>
  <si>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</si>
  <si>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</si>
  <si>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</si>
  <si>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</si>
  <si>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</si>
  <si>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</si>
  <si>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</si>
  <si>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</si>
  <si>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</si>
  <si>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</si>
  <si>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</si>
  <si>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</si>
  <si>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</si>
  <si>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</si>
  <si>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</si>
  <si>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</si>
  <si>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Teowulf</t>
  </si>
  <si>
    <t>Livid Leftovers</t>
  </si>
  <si>
    <t>Guard</t>
  </si>
  <si>
    <t>Marko Kravchenko</t>
  </si>
  <si>
    <t>Tamara Kravchenko</t>
  </si>
  <si>
    <t>Mortifera Salem</t>
  </si>
  <si>
    <t>Casper Midnight</t>
  </si>
  <si>
    <t>Shem "The Slam" Skreaker</t>
  </si>
  <si>
    <t>Gabriel Antigonus</t>
  </si>
  <si>
    <t>Skara Bokyo</t>
  </si>
  <si>
    <t>Ghidora Rubote</t>
  </si>
  <si>
    <t>Frau Koi Koi</t>
  </si>
  <si>
    <t>Silbàn</t>
  </si>
  <si>
    <t>Bangkok</t>
  </si>
  <si>
    <t>Kikimuoro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</si>
</sst>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7">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
      <b/>
      <sz val="10"/>
      <color theme="1"/>
      <name val="Tahoma"/>
      <family val="2"/>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500">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9" fillId="0" borderId="98" xfId="0" applyFont="1" applyBorder="1" applyAlignment="1" applyProtection="1">
      <alignment horizontal="center" vertical="center" shrinkToFit="1"/>
      <protection locked="0"/>
    </xf>
    <xf numFmtId="0" fontId="0" fillId="2" borderId="88" xfId="0" applyFill="1" applyBorder="1" applyAlignment="1">
      <alignment horizontal="center" vertical="center" wrapText="1"/>
    </xf>
    <xf numFmtId="0" fontId="55" fillId="0" borderId="88" xfId="0" applyFont="1" applyBorder="1"/>
    <xf numFmtId="0" fontId="64" fillId="2" borderId="88" xfId="1"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 fillId="3" borderId="98" xfId="0" applyFont="1" applyFill="1" applyBorder="1" applyAlignment="1">
      <alignment horizontal="center" vertical="center" wrapText="1"/>
    </xf>
    <xf numFmtId="3" fontId="0" fillId="0" borderId="98" xfId="0" applyNumberFormat="1"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76" fillId="0" borderId="24" xfId="0" applyFont="1" applyBorder="1" applyAlignment="1">
      <alignment horizontal="center" vertical="center"/>
    </xf>
    <xf numFmtId="0" fontId="76" fillId="0" borderId="28" xfId="0" applyFont="1" applyBorder="1" applyAlignment="1">
      <alignment horizontal="center" vertical="center"/>
    </xf>
    <xf numFmtId="0" fontId="76" fillId="0" borderId="26" xfId="0" applyFont="1" applyBorder="1" applyAlignment="1">
      <alignment horizontal="center" vertical="center"/>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0" xfId="0" applyFont="1" applyAlignment="1">
      <alignment horizontal="center" vertical="center"/>
    </xf>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4" fillId="0" borderId="0" xfId="0" applyFont="1" applyAlignment="1">
      <alignment horizontal="center" vertical="center" wrapText="1"/>
    </xf>
    <xf numFmtId="0" fontId="67" fillId="2" borderId="97" xfId="0" applyFont="1" applyFill="1" applyBorder="1" applyAlignment="1" applyProtection="1">
      <alignment horizontal="center" vertical="center"/>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7" fillId="2" borderId="95" xfId="0" applyFont="1" applyFill="1" applyBorder="1" applyAlignment="1" applyProtection="1">
      <alignment horizontal="center" vertical="center"/>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70" fillId="7" borderId="88" xfId="0" applyFont="1" applyFill="1" applyBorder="1" applyAlignment="1">
      <alignment horizontal="center" vertical="center" wrapText="1"/>
    </xf>
    <xf numFmtId="0" fontId="0" fillId="8" borderId="1" xfId="0" applyFont="1"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cellXfs>
  <cellStyles count="2">
    <cellStyle name="Collegamento ipertestuale" xfId="1" builtinId="8"/>
    <cellStyle name="Normale" xfId="0" builtinId="0"/>
  </cellStyles>
  <dxfs count="207">
    <dxf>
      <font>
        <color rgb="FFFFFFFF"/>
      </font>
      <fill>
        <patternFill patternType="none"/>
      </fill>
    </dxf>
    <dxf>
      <font>
        <color auto="1"/>
      </font>
      <fill>
        <patternFill>
          <bgColor theme="5" tint="0.39994506668294322"/>
        </patternFill>
      </fill>
    </dxf>
    <dxf>
      <font>
        <color theme="0"/>
      </font>
    </dxf>
    <dxf>
      <font>
        <color theme="0"/>
      </font>
      <fill>
        <patternFill>
          <bgColor theme="5"/>
        </patternFill>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114300</xdr:rowOff>
    </xdr:from>
    <xdr:to>
      <xdr:col>1</xdr:col>
      <xdr:colOff>2019300</xdr:colOff>
      <xdr:row>29</xdr:row>
      <xdr:rowOff>90297</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829800"/>
          <a:ext cx="1962150" cy="21191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c r="A1" s="275"/>
      <c r="B1" s="284" t="str">
        <f>IF(Roster!$J$25="Italiano","Blood Bowl 2020 Roster Torneo",(IF(Roster!$J$25="Español","Blood Bowl 2020 Roster Torneo",(IF(Roster!$J$25="Deutsch","Blood Bowl 2020 Roster Turnier",(IF(Roster!$J$25="Français","Blood Bowl 2020 Roster Tournoi","Blood Bowl 2020 Roster Tourney")))))))</f>
        <v>Blood Bowl 2020 Roster Tourney</v>
      </c>
      <c r="C1" s="285"/>
      <c r="D1" s="286"/>
      <c r="E1" s="275"/>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c r="A2" s="276"/>
      <c r="B2" s="287" t="str">
        <f>Roster!A31</f>
        <v>v4.5 - Created by dreamscreator</v>
      </c>
      <c r="C2" s="276"/>
      <c r="D2" s="276"/>
      <c r="E2" s="276"/>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c r="A3" s="276"/>
      <c r="B3" s="288" t="str">
        <f>Roster!A32</f>
        <v>https://bloodbowlhelp.wordpress.com</v>
      </c>
      <c r="C3" s="276"/>
      <c r="D3" s="276"/>
      <c r="E3" s="276"/>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c r="A4" s="276"/>
      <c r="B4" s="275"/>
      <c r="C4" s="276"/>
      <c r="D4" s="276"/>
      <c r="E4" s="276"/>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c r="A5" s="276"/>
      <c r="B5" s="275" t="str">
        <f>IF(Roster!$J$24="Italiano",M5,(IF(Roster!$J$24="Español",J5,(IF(Roster!$J$24="Deutsch",K5,(IF(Roster!$J$24="Français",L5,I5)))))))</f>
        <v>Compatible with Excel, Google Sheets (just upload Excel to Google Drive) and Libre Office</v>
      </c>
      <c r="C5" s="276"/>
      <c r="D5" s="276"/>
      <c r="E5" s="276"/>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c r="A6" s="276"/>
      <c r="B6" s="275"/>
      <c r="C6" s="276"/>
      <c r="D6" s="276"/>
      <c r="E6" s="276"/>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c r="A7" s="276"/>
      <c r="B7" s="275" t="str">
        <f>IF(Roster!$J$24="Italiano",M7,(IF(Roster!$J$24="Español",J7,(IF(Roster!$J$24="Deutsch",K7,(IF(Roster!$J$24="Français",L7,I7)))))))</f>
        <v>If you want help so I can carry on updating the excel rosters, you can donate in the following link. Thank you very much!</v>
      </c>
      <c r="C7" s="276"/>
      <c r="D7" s="276"/>
      <c r="E7" s="276"/>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c r="A8" s="276"/>
      <c r="B8" s="277" t="s">
        <v>1253</v>
      </c>
      <c r="C8" s="277"/>
      <c r="D8" s="277"/>
      <c r="E8" s="276"/>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c r="A9" s="276"/>
      <c r="B9" s="275"/>
      <c r="C9" s="276"/>
      <c r="D9" s="276"/>
      <c r="E9" s="276"/>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c r="A10" s="276"/>
      <c r="B10" s="281" t="str">
        <f>IF(Roster!$J$24="Italiano","Comment utiliser cet Excel",(IF(Roster!J24="Español","Cómo usar este Excel",(IF(Roster!J24="Deutsch","Wie Sie dieses Excel verwenden",(IF(Roster!J24="Français","Comment utiliser cet Excel","How to use this Excel")))))))</f>
        <v>How to use this Excel</v>
      </c>
      <c r="C10" s="282"/>
      <c r="D10" s="283"/>
      <c r="E10" s="276"/>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c r="A11" s="276"/>
      <c r="B11" s="278" t="str">
        <f>IF(Roster!$J$24="Italiano",M11,(IF(Roster!$J$24="Español",J11,(IF(Roster!$J$24="Deutsch",K11,(IF(Roster!$J$24="Français",L11,I11)))))))</f>
        <v>TO PRINT: Select the cells you want to print and in Print options choose the option print selected cells.</v>
      </c>
      <c r="C11" s="279"/>
      <c r="D11" s="280"/>
      <c r="E11" s="276"/>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c r="A12" s="276"/>
      <c r="B12" s="278" t="str">
        <f>IF(Roster!$J$24="Italiano",M12,(IF(Roster!$J$24="Español",J12,(IF(Roster!$J$24="Deutsch",K12,(IF(Roster!$J$24="Français",L12,I12)))))))</f>
        <v>By default there are no tournament rules activated, at the bottom of the Roster tab you can select the tournament rules.</v>
      </c>
      <c r="C12" s="279"/>
      <c r="D12" s="280"/>
      <c r="E12" s="276"/>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c r="A13" s="276"/>
      <c r="B13" s="278"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79"/>
      <c r="D13" s="280"/>
      <c r="E13" s="276"/>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c r="A14" s="276"/>
      <c r="B14" s="278"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79"/>
      <c r="D14" s="280"/>
      <c r="E14" s="276"/>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c r="A15" s="276"/>
      <c r="B15" s="278" t="str">
        <f>IF(Roster!$J$24="Italiano",M15,(IF(Roster!$J$24="Español",J15,(IF(Roster!$J$24="Deutsch",K15,(IF(Roster!$J$24="Français",L15,I15)))))))</f>
        <v>In the match tab you can include the winnings and the variation of Dedicated Fans that will be shown with the calculation made automatically in the roster tab.</v>
      </c>
      <c r="C15" s="279"/>
      <c r="D15" s="280"/>
      <c r="E15" s="276"/>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c r="A16" s="276"/>
      <c r="B16" s="278" t="str">
        <f>IF(Roster!$J$24="Italiano",M16,(IF(Roster!$J$24="Español",J16,(IF(Roster!$J$24="Deutsch",K16,(IF(Roster!$J$24="Français",L16,I16)))))))</f>
        <v>The Team Cards sheet is fully automatic, it is only necessary, if desired, to add images for the players or to change the NAF logo to the team logo.</v>
      </c>
      <c r="C16" s="279"/>
      <c r="D16" s="280"/>
      <c r="E16" s="276"/>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c r="A17" s="276"/>
      <c r="B17" s="167"/>
      <c r="C17" s="167"/>
      <c r="D17" s="167"/>
      <c r="E17" s="276"/>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B5:D5"/>
    <mergeCell ref="B6:D6"/>
    <mergeCell ref="B7:D7"/>
    <mergeCell ref="B8:D8"/>
    <mergeCell ref="E1:E17"/>
    <mergeCell ref="B16:D16"/>
    <mergeCell ref="A1:A17"/>
    <mergeCell ref="B10:D10"/>
    <mergeCell ref="B11:D11"/>
    <mergeCell ref="B12:D12"/>
    <mergeCell ref="B13:D13"/>
    <mergeCell ref="B14:D14"/>
    <mergeCell ref="B15:D15"/>
    <mergeCell ref="B9:D9"/>
    <mergeCell ref="B1:D1"/>
    <mergeCell ref="B2:D2"/>
    <mergeCell ref="B3:D3"/>
    <mergeCell ref="B4:D4"/>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election activeCell="J23" sqref="J23:Q23"/>
    </sheetView>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6" t="str">
        <f>IF(J24="Italiano","NOME GIOCATORE",(IF(J24="Español","NOMBRE JUGADOR",(IF(J24="Deutsch","NAME",(IF(J24="Français","NOM DU JOUEUR","PLAYER NAME")))))))</f>
        <v>PLAYER NAME</v>
      </c>
      <c r="C1" s="329" t="str">
        <f>IF(J24="Italiano","TIPO",(IF(J24="Español","TIPO",(IF(J24="Deutsch","POSITION",(IF(J24="Français","POSTE","TYPE")))))))</f>
        <v>TYPE</v>
      </c>
      <c r="D1" s="285"/>
      <c r="E1" s="285"/>
      <c r="F1" s="286"/>
      <c r="G1" s="310" t="str">
        <f>IF(J24="Italiano","QTA",(IF(J24="Español","CANT",(IF(J24="Deutsch","An- zahl",(IF(J24="Français","QTT","QTY")))))))</f>
        <v>QTY</v>
      </c>
      <c r="H1" s="285"/>
      <c r="I1" s="286"/>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29" t="str">
        <f>IF(J24="Italiano","ABILITÀ",(IF(J24="Español","HABILIDADES",(IF(J24="Deutsch","FERTIGKEITEN",(IF(J24="Français","COMPÉTENCES","SKILLS")))))))</f>
        <v>SKILLS</v>
      </c>
      <c r="P1" s="334"/>
      <c r="Q1" s="334"/>
      <c r="R1" s="334"/>
      <c r="S1" s="334"/>
      <c r="T1" s="334"/>
      <c r="U1" s="334"/>
      <c r="V1" s="334"/>
      <c r="W1" s="334"/>
      <c r="X1" s="334"/>
      <c r="Y1" s="310" t="str">
        <f>IF(J24="Italiano","AVANZAMENTO 1",(IF(J24="Español","MEJORA 1",(IF(J24="Deutsch","VERBES- SERUNG 1",(IF(J24="Français","AMÉLIORATION 1","UPGRADE 1")))))))</f>
        <v>UPGRADE 1</v>
      </c>
      <c r="Z1" s="316"/>
      <c r="AA1" s="310" t="str">
        <f>IF(J24="Italiano","AVANZAMENTO 2",(IF(J24="Español","MEJORA 2",(IF(J24="Deutsch","VERBES- SERUNG 2",(IF(J24="Français","AMÉLIORATION 2","UPGRADE 2")))))))</f>
        <v>UPGRADE 2</v>
      </c>
      <c r="AB1" s="316"/>
      <c r="AC1" s="310" t="str">
        <f>IF(J24="Italiano","AVANZAMENTO 3",(IF(J24="Español","MEJORA 3",(IF(J24="Deutsch","VERBES- SERUNG 3",(IF(J24="Français","AMÉLIORATION 3","UPGRADE 3")))))))</f>
        <v>UPGRADE 3</v>
      </c>
      <c r="AD1" s="316"/>
      <c r="AE1" s="310" t="str">
        <f>IF(J24="Italiano","AVANZAMENTO 4",(IF(J24="Español","MEJORA 4",(IF(J24="Deutsch","VERBES- SERUNG 4",(IF(J24="Français","AMÉLIORATION 4","UPGRADE 4")))))))</f>
        <v>UPGRADE 4</v>
      </c>
      <c r="AF1" s="316"/>
      <c r="AG1" s="310" t="b">
        <f>IF(J24="Italiano","AVANZAMENTO 5",(IF(J24="Español","LESIONES",(IF(J24="Deutsch","VERLETZUNGEN",(IF(J24="Français","BLESSURES")))))))</f>
        <v>0</v>
      </c>
      <c r="AH1" s="316"/>
      <c r="AI1" s="310" t="str">
        <f>IF(J24="Italiano","AVANZAMENTI CUSTOM",(IF(J24="Español","MEJORA MANUAL",(IF(J24="Deutsch","INDIVIDU- ELLE FERTIG- keit",(IF(J24="Français","AMÉLIORATION PERSO.","CUSTOM UPGRADE")))))))</f>
        <v>CUSTOM UPGRADE</v>
      </c>
      <c r="AJ1" s="317"/>
      <c r="AK1" s="310" t="str">
        <f>IF(J24="Italiano","COSTO AVANZAMENTI",(IF(J24="Español","PRECIO SUBIDAS",(IF(J24="Deutsch","WERT DER VERBESSERUNG",(IF(J24="Français","VALEUR AMÉLIORATION","COST UPGRADES")))))))</f>
        <v>COST UPGRADES</v>
      </c>
      <c r="AL1" s="316"/>
      <c r="AM1" s="177" t="str">
        <f>IF(J24="Français","PSP","SPP")</f>
        <v>SPP</v>
      </c>
      <c r="AN1" s="310" t="str">
        <f>IF(J24="Italiano","COSTO",(IF(J24="Español","PRECIO",(IF(J24="Deutsch","WERT",(IF(J24="Français","VALEUR","COST")))))))</f>
        <v>COST</v>
      </c>
      <c r="AO1" s="311"/>
      <c r="AP1" s="315"/>
      <c r="AQ1" s="4" t="s">
        <v>22</v>
      </c>
      <c r="AR1" s="5" t="s">
        <v>23</v>
      </c>
      <c r="AS1" s="5"/>
      <c r="AT1" s="5"/>
      <c r="AU1" s="5"/>
      <c r="AV1" s="5"/>
      <c r="AW1" s="5"/>
      <c r="AX1" s="307" t="s">
        <v>24</v>
      </c>
      <c r="AY1" s="308"/>
      <c r="AZ1" s="308"/>
      <c r="BA1" s="308"/>
      <c r="BB1" s="308"/>
      <c r="BC1" s="308"/>
      <c r="BD1" s="308"/>
      <c r="BE1" s="308"/>
      <c r="BF1" s="309"/>
      <c r="BG1" s="5"/>
      <c r="BH1" s="5"/>
      <c r="BI1" s="5"/>
      <c r="BJ1" s="5"/>
      <c r="BK1" s="5"/>
      <c r="BL1" s="5"/>
      <c r="BM1" s="5"/>
      <c r="BN1" s="5"/>
      <c r="BO1" s="5" t="str">
        <f>INDEX(BY3:BY31,(SUM(BY2:CB2)))</f>
        <v>Necromantic</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c r="A2" s="2">
        <v>1</v>
      </c>
      <c r="B2" s="7" t="s">
        <v>1381</v>
      </c>
      <c r="C2" s="330" t="s">
        <v>583</v>
      </c>
      <c r="D2" s="331"/>
      <c r="E2" s="331"/>
      <c r="F2" s="332"/>
      <c r="G2" s="8">
        <f>IF(C2="",0,(COUNTIF(C2:F17,C2)))</f>
        <v>2</v>
      </c>
      <c r="H2" s="9" t="s">
        <v>25</v>
      </c>
      <c r="I2" s="10">
        <f>IFERROR((VLOOKUP($BO$1&amp;C2,Teams!D:M,10,0)),0)</f>
        <v>2</v>
      </c>
      <c r="J2" s="162">
        <f t="shared" ref="J2:K2" si="0">IFERROR(K66,0)</f>
        <v>4</v>
      </c>
      <c r="K2" s="162">
        <f t="shared" si="0"/>
        <v>4</v>
      </c>
      <c r="L2" s="162" t="str">
        <f t="shared" ref="L2:N2" si="1">IFERROR(M66&amp;"+",0)</f>
        <v>4+</v>
      </c>
      <c r="M2" s="162" t="str">
        <f t="shared" si="1"/>
        <v>0+</v>
      </c>
      <c r="N2" s="162" t="str">
        <f t="shared" si="1"/>
        <v>10+</v>
      </c>
      <c r="O2" s="312" t="str">
        <f>IFERROR((IF(AV2="YES",(VLOOKUP($BO$1&amp;C2,Teams!D:M,7,0)),AW2)),"")</f>
        <v>Regeneration, Stand Firm, Thick Skull</v>
      </c>
      <c r="P2" s="313"/>
      <c r="Q2" s="313"/>
      <c r="R2" s="313"/>
      <c r="S2" s="313"/>
      <c r="T2" s="313"/>
      <c r="U2" s="313"/>
      <c r="V2" s="313"/>
      <c r="W2" s="313"/>
      <c r="X2" s="314"/>
      <c r="Y2" s="333" t="s">
        <v>402</v>
      </c>
      <c r="Z2" s="295"/>
      <c r="AA2" s="294"/>
      <c r="AB2" s="295"/>
      <c r="AC2" s="294"/>
      <c r="AD2" s="295"/>
      <c r="AE2" s="294"/>
      <c r="AF2" s="295"/>
      <c r="AG2" s="294"/>
      <c r="AH2" s="295"/>
      <c r="AI2" s="294"/>
      <c r="AJ2" s="295"/>
      <c r="AK2" s="296">
        <f t="shared" ref="AK2:AK16" si="2">BI46</f>
        <v>0</v>
      </c>
      <c r="AL2" s="297"/>
      <c r="AM2" s="163">
        <f>IF($AC$37="NO",0,(SUM(CU46:CZ46)))</f>
        <v>0</v>
      </c>
      <c r="AN2" s="298">
        <f>IFERROR((VLOOKUP($BO$1&amp;C2,Teams!D:M,8,0))+AK2,0)</f>
        <v>115000</v>
      </c>
      <c r="AO2" s="299"/>
      <c r="AP2" s="315"/>
      <c r="AQ2" s="4">
        <f>IFERROR((((VLOOKUP($BO$1&amp;C2,Teams!D:M,9,0)+(AK2/1000)))),0)</f>
        <v>115</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Block</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Block</v>
      </c>
      <c r="BG2" s="13" t="str">
        <f>IFERROR((IF((VLOOKUP($BO$1&amp;C2,Teams!D:M,7,0))="","",", ")),"")</f>
        <v xml:space="preserve">, </v>
      </c>
      <c r="BH2" s="14" t="str">
        <f>IF(AND((VLOOKUP($BO$1&amp;C2,Teams!D:M,7,0))="",AX2=""),"",", ")</f>
        <v xml:space="preserve">, </v>
      </c>
      <c r="BI2" s="5" t="str">
        <f>$BO$1&amp;1</f>
        <v>Necromantic1</v>
      </c>
      <c r="BJ2" s="14" t="str">
        <f>IFERROR(IF((VLOOKUP(BI2,Teams!B:C,2,FALSE))=0,"",(VLOOKUP(BI2,Teams!B:C,2,FALSE))),"")</f>
        <v/>
      </c>
      <c r="BK2" s="5"/>
      <c r="BL2" s="5"/>
      <c r="BM2" s="15"/>
      <c r="BN2" s="15" t="s">
        <v>26</v>
      </c>
      <c r="BO2" s="5" t="str">
        <f>INDEX(BN3:BN31,(SUM(BY2:CB2)))</f>
        <v>Necromantic</v>
      </c>
      <c r="BP2" s="15" t="s">
        <v>27</v>
      </c>
      <c r="BQ2" s="15" t="s">
        <v>28</v>
      </c>
      <c r="BR2" s="15" t="s">
        <v>29</v>
      </c>
      <c r="BS2" s="16" t="s">
        <v>30</v>
      </c>
      <c r="BT2" s="16" t="s">
        <v>31</v>
      </c>
      <c r="BU2" s="6" t="str">
        <f>VLOOKUP(BO1,BL:BT,9,FALSE)</f>
        <v>SylvanianSpotlight</v>
      </c>
      <c r="BV2" s="6" t="str">
        <f>VLOOKUP(BO1,BL1:BU44,10,FALSE)</f>
        <v>Sylvanian</v>
      </c>
      <c r="BW2" s="6">
        <f>VLOOKUP(BO1,BL1:BV44,11,FALSE)</f>
        <v>0</v>
      </c>
      <c r="BX2" s="16"/>
      <c r="BY2" s="206">
        <f>IFERROR(MATCH($J$22,BY3:BY31,0),0)</f>
        <v>16</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c r="A3" s="2">
        <v>2</v>
      </c>
      <c r="B3" s="7" t="s">
        <v>1382</v>
      </c>
      <c r="C3" s="330" t="s">
        <v>583</v>
      </c>
      <c r="D3" s="331"/>
      <c r="E3" s="331"/>
      <c r="F3" s="332"/>
      <c r="G3" s="8">
        <f>IF(C3="",0,(COUNTIF(C2:F17,C3)))</f>
        <v>2</v>
      </c>
      <c r="H3" s="9" t="s">
        <v>25</v>
      </c>
      <c r="I3" s="10">
        <f>IFERROR((VLOOKUP($BO$1&amp;C3,Teams!D:M,10,0)),0)</f>
        <v>2</v>
      </c>
      <c r="J3" s="162">
        <f t="shared" ref="J3:K3" si="15">IFERROR(K67,0)</f>
        <v>4</v>
      </c>
      <c r="K3" s="162">
        <f t="shared" si="15"/>
        <v>4</v>
      </c>
      <c r="L3" s="162" t="str">
        <f t="shared" ref="L3:N3" si="16">IFERROR(M67&amp;"+",0)</f>
        <v>4+</v>
      </c>
      <c r="M3" s="162" t="str">
        <f t="shared" si="16"/>
        <v>0+</v>
      </c>
      <c r="N3" s="162" t="str">
        <f t="shared" si="16"/>
        <v>10+</v>
      </c>
      <c r="O3" s="312" t="str">
        <f>IFERROR((IF(AV3="YES",(VLOOKUP($BO$1&amp;C3,Teams!D:M,7,0)),AW3)),"")</f>
        <v>Regeneration, Stand Firm, Thick Skull</v>
      </c>
      <c r="P3" s="313"/>
      <c r="Q3" s="313"/>
      <c r="R3" s="313"/>
      <c r="S3" s="313"/>
      <c r="T3" s="313"/>
      <c r="U3" s="313"/>
      <c r="V3" s="313"/>
      <c r="W3" s="313"/>
      <c r="X3" s="314"/>
      <c r="Y3" s="294" t="s">
        <v>402</v>
      </c>
      <c r="Z3" s="295"/>
      <c r="AA3" s="294"/>
      <c r="AB3" s="295"/>
      <c r="AC3" s="294"/>
      <c r="AD3" s="295"/>
      <c r="AE3" s="294"/>
      <c r="AF3" s="295"/>
      <c r="AG3" s="294"/>
      <c r="AH3" s="295"/>
      <c r="AI3" s="294"/>
      <c r="AJ3" s="295"/>
      <c r="AK3" s="296">
        <f t="shared" si="2"/>
        <v>0</v>
      </c>
      <c r="AL3" s="297"/>
      <c r="AM3" s="163">
        <f t="shared" ref="AM3:AM17" si="17">IF($AC$37="NO",0,(SUM(CU47:CZ47)))</f>
        <v>0</v>
      </c>
      <c r="AN3" s="298">
        <f>IFERROR((VLOOKUP($BO$1&amp;C3,Teams!D:M,8,0))+AK3,0)</f>
        <v>115000</v>
      </c>
      <c r="AO3" s="299"/>
      <c r="AP3" s="315"/>
      <c r="AQ3" s="4">
        <f>IFERROR((((VLOOKUP($BO$1&amp;C3,Teams!D:M,9,0)+(AK3/1000)))),0)</f>
        <v>115</v>
      </c>
      <c r="AR3" s="5">
        <f>IFERROR((VLOOKUP($BO$1&amp;C3,Teams!D:N,11,0)),0)</f>
        <v>0</v>
      </c>
      <c r="AS3" s="152" t="str">
        <f t="shared" si="3"/>
        <v/>
      </c>
      <c r="AT3" s="152" t="str">
        <f t="shared" si="4"/>
        <v/>
      </c>
      <c r="AU3" s="152" t="str">
        <f t="shared" si="5"/>
        <v/>
      </c>
      <c r="AV3" s="5" t="str">
        <f t="shared" si="6"/>
        <v>YES</v>
      </c>
      <c r="AW3" s="5" t="str">
        <f t="shared" si="7"/>
        <v/>
      </c>
      <c r="AX3" s="11" t="str">
        <f t="shared" si="8"/>
        <v>, Block</v>
      </c>
      <c r="AY3" s="11" t="str">
        <f t="shared" si="9"/>
        <v/>
      </c>
      <c r="AZ3" s="11" t="str">
        <f t="shared" si="10"/>
        <v/>
      </c>
      <c r="BA3" s="11" t="str">
        <f t="shared" si="11"/>
        <v/>
      </c>
      <c r="BB3" s="11"/>
      <c r="BC3" s="11"/>
      <c r="BD3" s="11" t="str">
        <f t="shared" si="12"/>
        <v/>
      </c>
      <c r="BE3" s="11" t="str">
        <f t="shared" si="13"/>
        <v/>
      </c>
      <c r="BF3" s="12" t="str">
        <f t="shared" si="14"/>
        <v>, Block</v>
      </c>
      <c r="BG3" s="13" t="str">
        <f>IFERROR((IF((VLOOKUP($BO$1&amp;C3,Teams!D:M,7,0))="","",", ")),"")</f>
        <v xml:space="preserve">, </v>
      </c>
      <c r="BH3" s="14" t="str">
        <f>IF(AND((VLOOKUP($BO$1&amp;C3,Teams!D:M,7,0))="",AX3=""),"",", ")</f>
        <v xml:space="preserve">, </v>
      </c>
      <c r="BI3" s="5" t="str">
        <f>$BO$1&amp;2</f>
        <v>Necromantic2</v>
      </c>
      <c r="BJ3" s="14" t="str">
        <f>IFERROR(IF((VLOOKUP(BI3,Teams!B:C,2,FALSE))=0,"",(VLOOKUP(BI3,Teams!B:C,2,FALSE))),"")</f>
        <v>Zombie</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c r="A4" s="2">
        <v>3</v>
      </c>
      <c r="B4" s="7" t="s">
        <v>1387</v>
      </c>
      <c r="C4" s="330" t="s">
        <v>578</v>
      </c>
      <c r="D4" s="331"/>
      <c r="E4" s="331"/>
      <c r="F4" s="332"/>
      <c r="G4" s="8">
        <f>IF(C4="",0,(COUNTIF(C2:F17,C4)))</f>
        <v>2</v>
      </c>
      <c r="H4" s="9" t="s">
        <v>25</v>
      </c>
      <c r="I4" s="10">
        <f>IFERROR((VLOOKUP($BO$1&amp;C4,Teams!D:M,10,0)),0)</f>
        <v>2</v>
      </c>
      <c r="J4" s="162">
        <f t="shared" ref="J4:K4" si="19">IFERROR(K68,0)</f>
        <v>6</v>
      </c>
      <c r="K4" s="162">
        <f t="shared" si="19"/>
        <v>3</v>
      </c>
      <c r="L4" s="162" t="str">
        <f t="shared" ref="L4:N4" si="20">IFERROR(M68&amp;"+",0)</f>
        <v>3+</v>
      </c>
      <c r="M4" s="162" t="str">
        <f t="shared" si="20"/>
        <v>0+</v>
      </c>
      <c r="N4" s="162" t="str">
        <f t="shared" si="20"/>
        <v>9+</v>
      </c>
      <c r="O4" s="312" t="str">
        <f>IFERROR((IF(AV4="YES",(VLOOKUP($BO$1&amp;C4,Teams!D:M,7,0)),AW4)),"")</f>
        <v>Block, Foul Appearance, No Hands, Regeneration, Side Step</v>
      </c>
      <c r="P4" s="313"/>
      <c r="Q4" s="313"/>
      <c r="R4" s="313"/>
      <c r="S4" s="313"/>
      <c r="T4" s="313"/>
      <c r="U4" s="313"/>
      <c r="V4" s="313"/>
      <c r="W4" s="313"/>
      <c r="X4" s="314"/>
      <c r="Y4" s="294" t="s">
        <v>1378</v>
      </c>
      <c r="Z4" s="295"/>
      <c r="AA4" s="294"/>
      <c r="AB4" s="295"/>
      <c r="AC4" s="294"/>
      <c r="AD4" s="295"/>
      <c r="AE4" s="294"/>
      <c r="AF4" s="295"/>
      <c r="AG4" s="294"/>
      <c r="AH4" s="295"/>
      <c r="AI4" s="294"/>
      <c r="AJ4" s="295"/>
      <c r="AK4" s="296">
        <f t="shared" si="2"/>
        <v>0</v>
      </c>
      <c r="AL4" s="297"/>
      <c r="AM4" s="163">
        <f t="shared" si="17"/>
        <v>0</v>
      </c>
      <c r="AN4" s="298">
        <f>IFERROR((VLOOKUP($BO$1&amp;C4,Teams!D:M,8,0))+AK4,0)</f>
        <v>95000</v>
      </c>
      <c r="AO4" s="299"/>
      <c r="AP4" s="315"/>
      <c r="AQ4" s="4">
        <f>IFERROR((((VLOOKUP($BO$1&amp;C4,Teams!D:M,9,0)+(AK4/1000)))),0)</f>
        <v>95</v>
      </c>
      <c r="AR4" s="5">
        <f>IFERROR((VLOOKUP($BO$1&amp;C4,Teams!D:N,11,0)),0)</f>
        <v>0</v>
      </c>
      <c r="AS4" s="152" t="str">
        <f t="shared" si="3"/>
        <v/>
      </c>
      <c r="AT4" s="152" t="str">
        <f t="shared" si="4"/>
        <v/>
      </c>
      <c r="AU4" s="152" t="str">
        <f t="shared" si="5"/>
        <v/>
      </c>
      <c r="AV4" s="5" t="str">
        <f t="shared" si="6"/>
        <v>YES</v>
      </c>
      <c r="AW4" s="5" t="str">
        <f t="shared" si="7"/>
        <v/>
      </c>
      <c r="AX4" s="11" t="str">
        <f t="shared" si="8"/>
        <v>, Guard</v>
      </c>
      <c r="AY4" s="11" t="str">
        <f t="shared" si="9"/>
        <v/>
      </c>
      <c r="AZ4" s="11" t="str">
        <f t="shared" si="10"/>
        <v/>
      </c>
      <c r="BA4" s="11" t="str">
        <f t="shared" si="11"/>
        <v/>
      </c>
      <c r="BB4" s="11"/>
      <c r="BC4" s="11"/>
      <c r="BD4" s="11" t="str">
        <f t="shared" si="12"/>
        <v/>
      </c>
      <c r="BE4" s="11" t="str">
        <f t="shared" si="13"/>
        <v/>
      </c>
      <c r="BF4" s="12" t="str">
        <f t="shared" si="14"/>
        <v>, Guard</v>
      </c>
      <c r="BG4" s="13" t="str">
        <f>IFERROR((IF((VLOOKUP($BO$1&amp;C4,Teams!D:M,7,0))="","",", ")),"")</f>
        <v xml:space="preserve">, </v>
      </c>
      <c r="BH4" s="14" t="str">
        <f>IF(AND((VLOOKUP($BO$1&amp;C4,Teams!D:M,7,0))="",AX4=""),"",", ")</f>
        <v xml:space="preserve">, </v>
      </c>
      <c r="BI4" s="5" t="str">
        <f>$BO$1&amp;3</f>
        <v>Necromantic3</v>
      </c>
      <c r="BJ4" s="14" t="str">
        <f>IFERROR(IF((VLOOKUP(BI4,Teams!B:C,2,FALSE))=0,"",(VLOOKUP(BI4,Teams!B:C,2,FALSE))),"")</f>
        <v>Ghoul</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c r="A5" s="2">
        <v>4</v>
      </c>
      <c r="B5" s="7" t="s">
        <v>1390</v>
      </c>
      <c r="C5" s="330" t="s">
        <v>578</v>
      </c>
      <c r="D5" s="331"/>
      <c r="E5" s="331"/>
      <c r="F5" s="332"/>
      <c r="G5" s="8">
        <f>IF(C5="",0,(COUNTIF(C2:F17,C5)))</f>
        <v>2</v>
      </c>
      <c r="H5" s="9" t="s">
        <v>25</v>
      </c>
      <c r="I5" s="10">
        <f>IFERROR((VLOOKUP($BO$1&amp;C5,Teams!D:M,10,0)),0)</f>
        <v>2</v>
      </c>
      <c r="J5" s="162">
        <f t="shared" ref="J5:K5" si="21">IFERROR(K69,0)</f>
        <v>6</v>
      </c>
      <c r="K5" s="162">
        <f t="shared" si="21"/>
        <v>3</v>
      </c>
      <c r="L5" s="162" t="str">
        <f t="shared" ref="L5:N5" si="22">IFERROR(M69&amp;"+",0)</f>
        <v>3+</v>
      </c>
      <c r="M5" s="162" t="str">
        <f t="shared" si="22"/>
        <v>0+</v>
      </c>
      <c r="N5" s="162" t="str">
        <f t="shared" si="22"/>
        <v>9+</v>
      </c>
      <c r="O5" s="312" t="str">
        <f>IFERROR((IF(AV5="YES",(VLOOKUP($BO$1&amp;C5,Teams!D:M,7,0)),AW5)),"")</f>
        <v>Block, Foul Appearance, No Hands, Regeneration, Side Step</v>
      </c>
      <c r="P5" s="313"/>
      <c r="Q5" s="313"/>
      <c r="R5" s="313"/>
      <c r="S5" s="313"/>
      <c r="T5" s="313"/>
      <c r="U5" s="313"/>
      <c r="V5" s="313"/>
      <c r="W5" s="313"/>
      <c r="X5" s="314"/>
      <c r="Y5" s="294"/>
      <c r="Z5" s="295"/>
      <c r="AA5" s="294"/>
      <c r="AB5" s="295"/>
      <c r="AC5" s="294"/>
      <c r="AD5" s="295"/>
      <c r="AE5" s="294"/>
      <c r="AF5" s="295"/>
      <c r="AG5" s="294"/>
      <c r="AH5" s="295"/>
      <c r="AI5" s="294"/>
      <c r="AJ5" s="295"/>
      <c r="AK5" s="296">
        <f t="shared" si="2"/>
        <v>0</v>
      </c>
      <c r="AL5" s="297"/>
      <c r="AM5" s="163">
        <f t="shared" si="17"/>
        <v>0</v>
      </c>
      <c r="AN5" s="298">
        <f>IFERROR((VLOOKUP($BO$1&amp;C5,Teams!D:M,8,0))+AK5,0)</f>
        <v>95000</v>
      </c>
      <c r="AO5" s="299"/>
      <c r="AP5" s="315"/>
      <c r="AQ5" s="4">
        <f>IFERROR((((VLOOKUP($BO$1&amp;C5,Teams!D:M,9,0)+(AK5/1000)))),0)</f>
        <v>95</v>
      </c>
      <c r="AR5" s="5">
        <f>IFERROR((VLOOKUP($BO$1&amp;C5,Teams!D:N,11,0)),0)</f>
        <v>0</v>
      </c>
      <c r="AS5" s="152" t="str">
        <f t="shared" si="3"/>
        <v/>
      </c>
      <c r="AT5" s="152" t="str">
        <f t="shared" si="4"/>
        <v/>
      </c>
      <c r="AU5" s="152" t="str">
        <f t="shared" si="5"/>
        <v/>
      </c>
      <c r="AV5" s="5" t="str">
        <f t="shared" si="6"/>
        <v>YES</v>
      </c>
      <c r="AW5" s="5" t="str">
        <f t="shared" si="7"/>
        <v/>
      </c>
      <c r="AX5" s="11" t="str">
        <f t="shared" si="8"/>
        <v/>
      </c>
      <c r="AY5" s="11" t="str">
        <f t="shared" si="9"/>
        <v/>
      </c>
      <c r="AZ5" s="11" t="str">
        <f t="shared" si="10"/>
        <v/>
      </c>
      <c r="BA5" s="11" t="str">
        <f t="shared" si="11"/>
        <v/>
      </c>
      <c r="BB5" s="11"/>
      <c r="BC5" s="11"/>
      <c r="BD5" s="11" t="str">
        <f t="shared" si="12"/>
        <v/>
      </c>
      <c r="BE5" s="11" t="str">
        <f t="shared" si="13"/>
        <v/>
      </c>
      <c r="BF5" s="12" t="str">
        <f t="shared" si="14"/>
        <v/>
      </c>
      <c r="BG5" s="13" t="str">
        <f>IFERROR((IF((VLOOKUP($BO$1&amp;C5,Teams!D:M,7,0))="","",", ")),"")</f>
        <v xml:space="preserve">, </v>
      </c>
      <c r="BH5" s="14" t="str">
        <f>IF(AND((VLOOKUP($BO$1&amp;C5,Teams!D:M,7,0))="",AX5=""),"",", ")</f>
        <v xml:space="preserve">, </v>
      </c>
      <c r="BI5" s="5" t="str">
        <f>$BO$1&amp;4</f>
        <v>Necromantic4</v>
      </c>
      <c r="BJ5" s="14" t="str">
        <f>IFERROR(IF((VLOOKUP(BI5,Teams!B:C,2,FALSE))=0,"",(VLOOKUP(BI5,Teams!B:C,2,FALSE))),"")</f>
        <v>Wraiths</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c r="A6" s="2">
        <v>5</v>
      </c>
      <c r="B6" s="7" t="s">
        <v>1379</v>
      </c>
      <c r="C6" s="330" t="s">
        <v>588</v>
      </c>
      <c r="D6" s="331"/>
      <c r="E6" s="331"/>
      <c r="F6" s="332"/>
      <c r="G6" s="8">
        <f>IF(C6="",0,(COUNTIF(C2:F17,C6)))</f>
        <v>2</v>
      </c>
      <c r="H6" s="9" t="s">
        <v>25</v>
      </c>
      <c r="I6" s="10">
        <f>IFERROR((VLOOKUP($BO$1&amp;C6,Teams!D:M,10,0)),0)</f>
        <v>2</v>
      </c>
      <c r="J6" s="162">
        <f t="shared" ref="J6:K6" si="23">IFERROR(K70,0)</f>
        <v>8</v>
      </c>
      <c r="K6" s="162">
        <f t="shared" si="23"/>
        <v>3</v>
      </c>
      <c r="L6" s="162" t="str">
        <f t="shared" ref="L6:N6" si="24">IFERROR(M70&amp;"+",0)</f>
        <v>3+</v>
      </c>
      <c r="M6" s="162" t="str">
        <f t="shared" si="24"/>
        <v>4+</v>
      </c>
      <c r="N6" s="162" t="str">
        <f t="shared" si="24"/>
        <v>9+</v>
      </c>
      <c r="O6" s="312" t="str">
        <f>IFERROR((IF(AV6="YES",(VLOOKUP($BO$1&amp;C6,Teams!D:M,7,0)),AW6)),"")</f>
        <v>Claws, Frenzy, Regeneration</v>
      </c>
      <c r="P6" s="313"/>
      <c r="Q6" s="313"/>
      <c r="R6" s="313"/>
      <c r="S6" s="313"/>
      <c r="T6" s="313"/>
      <c r="U6" s="313"/>
      <c r="V6" s="313"/>
      <c r="W6" s="313"/>
      <c r="X6" s="314"/>
      <c r="Y6" s="294" t="s">
        <v>402</v>
      </c>
      <c r="Z6" s="295"/>
      <c r="AA6" s="294"/>
      <c r="AB6" s="295"/>
      <c r="AC6" s="294"/>
      <c r="AD6" s="295"/>
      <c r="AE6" s="294"/>
      <c r="AF6" s="295"/>
      <c r="AG6" s="294"/>
      <c r="AH6" s="295"/>
      <c r="AI6" s="294"/>
      <c r="AJ6" s="295"/>
      <c r="AK6" s="296">
        <f t="shared" si="2"/>
        <v>0</v>
      </c>
      <c r="AL6" s="297"/>
      <c r="AM6" s="163">
        <f t="shared" si="17"/>
        <v>0</v>
      </c>
      <c r="AN6" s="298">
        <f>IFERROR((VLOOKUP($BO$1&amp;C6,Teams!D:M,8,0))+AK6,0)</f>
        <v>125000</v>
      </c>
      <c r="AO6" s="299"/>
      <c r="AP6" s="315"/>
      <c r="AQ6" s="4">
        <f>IFERROR((((VLOOKUP($BO$1&amp;C6,Teams!D:M,9,0)+(AK6/1000)))),0)</f>
        <v>125</v>
      </c>
      <c r="AR6" s="5">
        <f>IFERROR((VLOOKUP($BO$1&amp;C6,Teams!D:N,11,0)),0)</f>
        <v>0</v>
      </c>
      <c r="AS6" s="152" t="str">
        <f t="shared" si="3"/>
        <v/>
      </c>
      <c r="AT6" s="152" t="str">
        <f t="shared" si="4"/>
        <v/>
      </c>
      <c r="AU6" s="152" t="str">
        <f t="shared" si="5"/>
        <v/>
      </c>
      <c r="AV6" s="5" t="str">
        <f t="shared" si="6"/>
        <v>YES</v>
      </c>
      <c r="AW6" s="5" t="str">
        <f t="shared" si="7"/>
        <v/>
      </c>
      <c r="AX6" s="11" t="str">
        <f t="shared" si="8"/>
        <v>, Block</v>
      </c>
      <c r="AY6" s="11" t="str">
        <f t="shared" si="9"/>
        <v/>
      </c>
      <c r="AZ6" s="11" t="str">
        <f t="shared" si="10"/>
        <v/>
      </c>
      <c r="BA6" s="11" t="str">
        <f t="shared" si="11"/>
        <v/>
      </c>
      <c r="BB6" s="11"/>
      <c r="BC6" s="11"/>
      <c r="BD6" s="11" t="str">
        <f t="shared" si="12"/>
        <v/>
      </c>
      <c r="BE6" s="11" t="str">
        <f t="shared" si="13"/>
        <v/>
      </c>
      <c r="BF6" s="12" t="str">
        <f t="shared" si="14"/>
        <v>, Block</v>
      </c>
      <c r="BG6" s="13" t="str">
        <f>IFERROR((IF((VLOOKUP($BO$1&amp;C6,Teams!D:M,7,0))="","",", ")),"")</f>
        <v xml:space="preserve">, </v>
      </c>
      <c r="BH6" s="14" t="str">
        <f>IF(AND((VLOOKUP($BO$1&amp;C6,Teams!D:M,7,0))="",AX6=""),"",", ")</f>
        <v xml:space="preserve">, </v>
      </c>
      <c r="BI6" s="5" t="str">
        <f>$BO$1&amp;5</f>
        <v>Necromantic5</v>
      </c>
      <c r="BJ6" s="14" t="str">
        <f>IFERROR(IF((VLOOKUP(BI6,Teams!B:C,2,FALSE))=0,"",(VLOOKUP(BI6,Teams!B:C,2,FALSE))),"")</f>
        <v>Flesh Golem</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c r="A7" s="2">
        <v>6</v>
      </c>
      <c r="B7" s="7" t="s">
        <v>1380</v>
      </c>
      <c r="C7" s="330" t="s">
        <v>588</v>
      </c>
      <c r="D7" s="331"/>
      <c r="E7" s="331"/>
      <c r="F7" s="332"/>
      <c r="G7" s="8">
        <f>IF(C7="",0,(COUNTIF(C2:F17,C7)))</f>
        <v>2</v>
      </c>
      <c r="H7" s="9" t="s">
        <v>25</v>
      </c>
      <c r="I7" s="10">
        <f>IFERROR((VLOOKUP($BO$1&amp;C7,Teams!D:M,10,0)),0)</f>
        <v>2</v>
      </c>
      <c r="J7" s="162">
        <f t="shared" ref="J7:K7" si="25">IFERROR(K71,0)</f>
        <v>8</v>
      </c>
      <c r="K7" s="162">
        <f t="shared" si="25"/>
        <v>3</v>
      </c>
      <c r="L7" s="162" t="str">
        <f t="shared" ref="L7:N7" si="26">IFERROR(M71&amp;"+",0)</f>
        <v>3+</v>
      </c>
      <c r="M7" s="162" t="str">
        <f t="shared" si="26"/>
        <v>4+</v>
      </c>
      <c r="N7" s="162" t="str">
        <f t="shared" si="26"/>
        <v>9+</v>
      </c>
      <c r="O7" s="312" t="str">
        <f>IFERROR((IF(AV7="YES",(VLOOKUP($BO$1&amp;C7,Teams!D:M,7,0)),AW7)),"")</f>
        <v>Claws, Frenzy, Regeneration</v>
      </c>
      <c r="P7" s="313"/>
      <c r="Q7" s="313"/>
      <c r="R7" s="313"/>
      <c r="S7" s="313"/>
      <c r="T7" s="313"/>
      <c r="U7" s="313"/>
      <c r="V7" s="313"/>
      <c r="W7" s="313"/>
      <c r="X7" s="314"/>
      <c r="Y7" s="294" t="s">
        <v>402</v>
      </c>
      <c r="Z7" s="295"/>
      <c r="AA7" s="294"/>
      <c r="AB7" s="295"/>
      <c r="AC7" s="294"/>
      <c r="AD7" s="295"/>
      <c r="AE7" s="294"/>
      <c r="AF7" s="295"/>
      <c r="AG7" s="294"/>
      <c r="AH7" s="295"/>
      <c r="AI7" s="294"/>
      <c r="AJ7" s="295"/>
      <c r="AK7" s="296">
        <f t="shared" si="2"/>
        <v>0</v>
      </c>
      <c r="AL7" s="297"/>
      <c r="AM7" s="163">
        <f t="shared" si="17"/>
        <v>0</v>
      </c>
      <c r="AN7" s="298">
        <f>IFERROR((VLOOKUP($BO$1&amp;C7,Teams!D:M,8,0))+AK7,0)</f>
        <v>125000</v>
      </c>
      <c r="AO7" s="299"/>
      <c r="AP7" s="315"/>
      <c r="AQ7" s="4">
        <f>IFERROR((((VLOOKUP($BO$1&amp;C7,Teams!D:M,9,0)+(AK7/1000)))),0)</f>
        <v>125</v>
      </c>
      <c r="AR7" s="5">
        <f>IFERROR((VLOOKUP($BO$1&amp;C7,Teams!D:N,11,0)),0)</f>
        <v>0</v>
      </c>
      <c r="AS7" s="152" t="str">
        <f t="shared" si="3"/>
        <v/>
      </c>
      <c r="AT7" s="152" t="str">
        <f t="shared" si="4"/>
        <v/>
      </c>
      <c r="AU7" s="152" t="str">
        <f t="shared" si="5"/>
        <v/>
      </c>
      <c r="AV7" s="5" t="str">
        <f t="shared" si="6"/>
        <v>YES</v>
      </c>
      <c r="AW7" s="5" t="str">
        <f t="shared" si="7"/>
        <v/>
      </c>
      <c r="AX7" s="11" t="str">
        <f t="shared" si="8"/>
        <v>, Block</v>
      </c>
      <c r="AY7" s="11" t="str">
        <f t="shared" si="9"/>
        <v/>
      </c>
      <c r="AZ7" s="11" t="str">
        <f t="shared" si="10"/>
        <v/>
      </c>
      <c r="BA7" s="11" t="str">
        <f t="shared" si="11"/>
        <v/>
      </c>
      <c r="BB7" s="11"/>
      <c r="BC7" s="11"/>
      <c r="BD7" s="11" t="str">
        <f t="shared" si="12"/>
        <v/>
      </c>
      <c r="BE7" s="11" t="str">
        <f t="shared" si="13"/>
        <v/>
      </c>
      <c r="BF7" s="12" t="str">
        <f t="shared" si="14"/>
        <v>, Block</v>
      </c>
      <c r="BG7" s="13" t="str">
        <f>IFERROR((IF((VLOOKUP($BO$1&amp;C7,Teams!D:M,7,0))="","",", ")),"")</f>
        <v xml:space="preserve">, </v>
      </c>
      <c r="BH7" s="14" t="str">
        <f>IF(AND((VLOOKUP($BO$1&amp;C7,Teams!D:M,7,0))="",AX7=""),"",", ")</f>
        <v xml:space="preserve">, </v>
      </c>
      <c r="BI7" s="5" t="str">
        <f>$BO$1&amp;6</f>
        <v>Necromantic6</v>
      </c>
      <c r="BJ7" s="14" t="str">
        <f>IFERROR(IF((VLOOKUP(BI7,Teams!B:C,2,FALSE))=0,"",(VLOOKUP(BI7,Teams!B:C,2,FALSE))),"")</f>
        <v>Werewolf</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c r="A8" s="2">
        <v>7</v>
      </c>
      <c r="B8" s="7" t="s">
        <v>1388</v>
      </c>
      <c r="C8" s="330" t="s">
        <v>577</v>
      </c>
      <c r="D8" s="331"/>
      <c r="E8" s="331"/>
      <c r="F8" s="332"/>
      <c r="G8" s="8">
        <f>IF(C8="",0,(COUNTIF(C2:F17,C8)))</f>
        <v>2</v>
      </c>
      <c r="H8" s="9" t="s">
        <v>25</v>
      </c>
      <c r="I8" s="10">
        <f>IFERROR((VLOOKUP($BO$1&amp;C8,Teams!D:M,10,0)),0)</f>
        <v>2</v>
      </c>
      <c r="J8" s="162">
        <f t="shared" ref="J8:K8" si="27">IFERROR(K72,0)</f>
        <v>7</v>
      </c>
      <c r="K8" s="162">
        <f t="shared" si="27"/>
        <v>3</v>
      </c>
      <c r="L8" s="162" t="str">
        <f t="shared" ref="L8:N8" si="28">IFERROR(M72&amp;"+",0)</f>
        <v>3+</v>
      </c>
      <c r="M8" s="162" t="str">
        <f t="shared" si="28"/>
        <v>4+</v>
      </c>
      <c r="N8" s="162" t="str">
        <f t="shared" si="28"/>
        <v>8+</v>
      </c>
      <c r="O8" s="312" t="str">
        <f>IFERROR((IF(AV8="YES",(VLOOKUP($BO$1&amp;C8,Teams!D:M,7,0)),AW8)),"")</f>
        <v>Dodge</v>
      </c>
      <c r="P8" s="313"/>
      <c r="Q8" s="313"/>
      <c r="R8" s="313"/>
      <c r="S8" s="313"/>
      <c r="T8" s="313"/>
      <c r="U8" s="313"/>
      <c r="V8" s="313"/>
      <c r="W8" s="313"/>
      <c r="X8" s="314"/>
      <c r="Y8" s="294" t="s">
        <v>402</v>
      </c>
      <c r="Z8" s="295"/>
      <c r="AA8" s="294"/>
      <c r="AB8" s="295"/>
      <c r="AC8" s="294"/>
      <c r="AD8" s="295"/>
      <c r="AE8" s="294"/>
      <c r="AF8" s="295"/>
      <c r="AG8" s="294"/>
      <c r="AH8" s="295"/>
      <c r="AI8" s="294"/>
      <c r="AJ8" s="295"/>
      <c r="AK8" s="296">
        <f t="shared" si="2"/>
        <v>0</v>
      </c>
      <c r="AL8" s="297"/>
      <c r="AM8" s="163">
        <f t="shared" si="17"/>
        <v>0</v>
      </c>
      <c r="AN8" s="298">
        <f>IFERROR((VLOOKUP($BO$1&amp;C8,Teams!D:M,8,0))+AK8,0)</f>
        <v>75000</v>
      </c>
      <c r="AO8" s="299"/>
      <c r="AP8" s="315"/>
      <c r="AQ8" s="4">
        <f>IFERROR((((VLOOKUP($BO$1&amp;C8,Teams!D:M,9,0)+(AK8/1000)))),0)</f>
        <v>75</v>
      </c>
      <c r="AR8" s="5">
        <f>IFERROR((VLOOKUP($BO$1&amp;C8,Teams!D:N,11,0)),0)</f>
        <v>0</v>
      </c>
      <c r="AS8" s="152" t="str">
        <f t="shared" si="3"/>
        <v/>
      </c>
      <c r="AT8" s="152" t="str">
        <f t="shared" si="4"/>
        <v/>
      </c>
      <c r="AU8" s="152" t="str">
        <f t="shared" si="5"/>
        <v/>
      </c>
      <c r="AV8" s="5" t="str">
        <f t="shared" si="6"/>
        <v>YES</v>
      </c>
      <c r="AW8" s="5" t="str">
        <f t="shared" si="7"/>
        <v/>
      </c>
      <c r="AX8" s="11" t="str">
        <f t="shared" si="8"/>
        <v>, Block</v>
      </c>
      <c r="AY8" s="11" t="str">
        <f t="shared" si="9"/>
        <v/>
      </c>
      <c r="AZ8" s="11" t="str">
        <f t="shared" si="10"/>
        <v/>
      </c>
      <c r="BA8" s="11" t="str">
        <f t="shared" si="11"/>
        <v/>
      </c>
      <c r="BB8" s="11"/>
      <c r="BC8" s="11"/>
      <c r="BD8" s="11" t="str">
        <f t="shared" si="12"/>
        <v/>
      </c>
      <c r="BE8" s="11" t="str">
        <f t="shared" si="13"/>
        <v/>
      </c>
      <c r="BF8" s="12" t="str">
        <f t="shared" si="14"/>
        <v>, Block</v>
      </c>
      <c r="BG8" s="13" t="str">
        <f>IFERROR((IF((VLOOKUP($BO$1&amp;C8,Teams!D:M,7,0))="","",", ")),"")</f>
        <v xml:space="preserve">, </v>
      </c>
      <c r="BH8" s="14" t="str">
        <f>IF(AND((VLOOKUP($BO$1&amp;C8,Teams!D:M,7,0))="",AX8=""),"",", ")</f>
        <v xml:space="preserve">, </v>
      </c>
      <c r="BI8" s="5" t="str">
        <f>$BO$1&amp;7</f>
        <v>Necromantic7</v>
      </c>
      <c r="BJ8" s="14" t="str">
        <f>IFERROR(IF((VLOOKUP(BI8,Teams!B:C,2,FALSE))=0,"",(VLOOKUP(BI8,Teams!B:C,2,FALSE))),"")</f>
        <v>Journey Zombie</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c r="A9" s="2">
        <v>8</v>
      </c>
      <c r="B9" s="7" t="s">
        <v>1389</v>
      </c>
      <c r="C9" s="330" t="s">
        <v>577</v>
      </c>
      <c r="D9" s="331"/>
      <c r="E9" s="331"/>
      <c r="F9" s="332"/>
      <c r="G9" s="8">
        <f>IF(C9="",0,(COUNTIF(C2:F17,C9)))</f>
        <v>2</v>
      </c>
      <c r="H9" s="9" t="s">
        <v>25</v>
      </c>
      <c r="I9" s="10">
        <f>IFERROR((VLOOKUP($BO$1&amp;C9,Teams!D:M,10,0)),0)</f>
        <v>2</v>
      </c>
      <c r="J9" s="162">
        <f t="shared" ref="J9:K9" si="29">IFERROR(K73,0)</f>
        <v>7</v>
      </c>
      <c r="K9" s="162">
        <f t="shared" si="29"/>
        <v>3</v>
      </c>
      <c r="L9" s="162" t="str">
        <f t="shared" ref="L9:N9" si="30">IFERROR(M73&amp;"+",0)</f>
        <v>3+</v>
      </c>
      <c r="M9" s="162" t="str">
        <f t="shared" si="30"/>
        <v>4+</v>
      </c>
      <c r="N9" s="162" t="str">
        <f t="shared" si="30"/>
        <v>8+</v>
      </c>
      <c r="O9" s="312" t="str">
        <f>IFERROR((IF(AV9="YES",(VLOOKUP($BO$1&amp;C9,Teams!D:M,7,0)),AW9)),"")</f>
        <v>Dodge</v>
      </c>
      <c r="P9" s="313"/>
      <c r="Q9" s="313"/>
      <c r="R9" s="313"/>
      <c r="S9" s="313"/>
      <c r="T9" s="313"/>
      <c r="U9" s="313"/>
      <c r="V9" s="313"/>
      <c r="W9" s="313"/>
      <c r="X9" s="314"/>
      <c r="Y9" s="294"/>
      <c r="Z9" s="295"/>
      <c r="AA9" s="294"/>
      <c r="AB9" s="295"/>
      <c r="AC9" s="294"/>
      <c r="AD9" s="295"/>
      <c r="AE9" s="294"/>
      <c r="AF9" s="295"/>
      <c r="AG9" s="294"/>
      <c r="AH9" s="295"/>
      <c r="AI9" s="294"/>
      <c r="AJ9" s="295"/>
      <c r="AK9" s="296">
        <f t="shared" si="2"/>
        <v>0</v>
      </c>
      <c r="AL9" s="297"/>
      <c r="AM9" s="163">
        <f t="shared" si="17"/>
        <v>0</v>
      </c>
      <c r="AN9" s="298">
        <f>IFERROR((VLOOKUP($BO$1&amp;C9,Teams!D:M,8,0))+AK9,0)</f>
        <v>75000</v>
      </c>
      <c r="AO9" s="299"/>
      <c r="AP9" s="315"/>
      <c r="AQ9" s="4">
        <f>IFERROR((((VLOOKUP($BO$1&amp;C9,Teams!D:M,9,0)+(AK9/1000)))),0)</f>
        <v>75</v>
      </c>
      <c r="AR9" s="5">
        <f>IFERROR((VLOOKUP($BO$1&amp;C9,Teams!D:N,11,0)),0)</f>
        <v>0</v>
      </c>
      <c r="AS9" s="152" t="str">
        <f t="shared" si="3"/>
        <v/>
      </c>
      <c r="AT9" s="152" t="str">
        <f t="shared" si="4"/>
        <v/>
      </c>
      <c r="AU9" s="152" t="str">
        <f t="shared" si="5"/>
        <v/>
      </c>
      <c r="AV9" s="5" t="str">
        <f t="shared" si="6"/>
        <v>YES</v>
      </c>
      <c r="AW9" s="5" t="str">
        <f t="shared" si="7"/>
        <v/>
      </c>
      <c r="AX9" s="11" t="str">
        <f t="shared" si="8"/>
        <v/>
      </c>
      <c r="AY9" s="11" t="str">
        <f t="shared" si="9"/>
        <v/>
      </c>
      <c r="AZ9" s="11" t="str">
        <f t="shared" si="10"/>
        <v/>
      </c>
      <c r="BA9" s="11" t="str">
        <f t="shared" si="11"/>
        <v/>
      </c>
      <c r="BB9" s="11"/>
      <c r="BC9" s="11"/>
      <c r="BD9" s="11" t="str">
        <f t="shared" si="12"/>
        <v/>
      </c>
      <c r="BE9" s="11" t="str">
        <f t="shared" si="13"/>
        <v/>
      </c>
      <c r="BF9" s="12" t="str">
        <f t="shared" si="14"/>
        <v/>
      </c>
      <c r="BG9" s="13" t="str">
        <f>IFERROR((IF((VLOOKUP($BO$1&amp;C9,Teams!D:M,7,0))="","",", ")),"")</f>
        <v xml:space="preserve">, </v>
      </c>
      <c r="BH9" s="14" t="str">
        <f>IF(AND((VLOOKUP($BO$1&amp;C9,Teams!D:M,7,0))="",AX9=""),"",", ")</f>
        <v xml:space="preserve">, </v>
      </c>
      <c r="BI9" s="5" t="str">
        <f>$BO$1&amp;8</f>
        <v>Necromantic8</v>
      </c>
      <c r="BJ9" s="14" t="str">
        <f>IFERROR(IF((VLOOKUP(BI9,Teams!B:C,2,FALSE))=0,"",(VLOOKUP(BI9,Teams!B:C,2,FALSE))),"")</f>
        <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c r="A10" s="2">
        <v>9</v>
      </c>
      <c r="B10" s="7" t="s">
        <v>1386</v>
      </c>
      <c r="C10" s="330" t="s">
        <v>573</v>
      </c>
      <c r="D10" s="331"/>
      <c r="E10" s="331"/>
      <c r="F10" s="332"/>
      <c r="G10" s="8">
        <f>IF(C10="",0,(COUNTIF(C2:F17,C10)))</f>
        <v>4</v>
      </c>
      <c r="H10" s="9" t="s">
        <v>25</v>
      </c>
      <c r="I10" s="10">
        <f>IFERROR((VLOOKUP($BO$1&amp;C10,Teams!D:M,10,0)),0)</f>
        <v>16</v>
      </c>
      <c r="J10" s="162">
        <f t="shared" ref="J10:K10" si="31">IFERROR(K74,0)</f>
        <v>4</v>
      </c>
      <c r="K10" s="162">
        <f t="shared" si="31"/>
        <v>3</v>
      </c>
      <c r="L10" s="162" t="str">
        <f t="shared" ref="L10:N10" si="32">IFERROR(M74&amp;"+",0)</f>
        <v>4+</v>
      </c>
      <c r="M10" s="162" t="str">
        <f t="shared" si="32"/>
        <v>0+</v>
      </c>
      <c r="N10" s="162" t="str">
        <f t="shared" si="32"/>
        <v>9+</v>
      </c>
      <c r="O10" s="312" t="str">
        <f>IFERROR((IF(AV10="YES",(VLOOKUP($BO$1&amp;C10,Teams!D:M,7,0)),AW10)),"")</f>
        <v>Regeneration</v>
      </c>
      <c r="P10" s="313"/>
      <c r="Q10" s="313"/>
      <c r="R10" s="313"/>
      <c r="S10" s="313"/>
      <c r="T10" s="313"/>
      <c r="U10" s="313"/>
      <c r="V10" s="313"/>
      <c r="W10" s="313"/>
      <c r="X10" s="314"/>
      <c r="Y10" s="294"/>
      <c r="Z10" s="295"/>
      <c r="AA10" s="294"/>
      <c r="AB10" s="295"/>
      <c r="AC10" s="294"/>
      <c r="AD10" s="295"/>
      <c r="AE10" s="294"/>
      <c r="AF10" s="295"/>
      <c r="AG10" s="294"/>
      <c r="AH10" s="295"/>
      <c r="AI10" s="294"/>
      <c r="AJ10" s="295"/>
      <c r="AK10" s="296">
        <f t="shared" si="2"/>
        <v>0</v>
      </c>
      <c r="AL10" s="297"/>
      <c r="AM10" s="163">
        <f t="shared" si="17"/>
        <v>0</v>
      </c>
      <c r="AN10" s="298">
        <f>IFERROR((VLOOKUP($BO$1&amp;C10,Teams!D:M,8,0))+AK10,0)</f>
        <v>40000</v>
      </c>
      <c r="AO10" s="299"/>
      <c r="AP10" s="315"/>
      <c r="AQ10" s="4">
        <f>IFERROR((((VLOOKUP($BO$1&amp;C10,Teams!D:M,9,0)+(AK10/1000)))),0)</f>
        <v>40</v>
      </c>
      <c r="AR10" s="5">
        <f>IFERROR((VLOOKUP($BO$1&amp;C10,Teams!D:N,11,0)),0)</f>
        <v>0</v>
      </c>
      <c r="AS10" s="152" t="str">
        <f t="shared" si="3"/>
        <v/>
      </c>
      <c r="AT10" s="152" t="str">
        <f t="shared" si="4"/>
        <v/>
      </c>
      <c r="AU10" s="152" t="str">
        <f t="shared" si="5"/>
        <v/>
      </c>
      <c r="AV10" s="5" t="str">
        <f t="shared" si="6"/>
        <v>YES</v>
      </c>
      <c r="AW10" s="5" t="str">
        <f t="shared" si="7"/>
        <v/>
      </c>
      <c r="AX10" s="11" t="str">
        <f t="shared" si="8"/>
        <v/>
      </c>
      <c r="AY10" s="11" t="str">
        <f t="shared" si="9"/>
        <v/>
      </c>
      <c r="AZ10" s="11" t="str">
        <f t="shared" si="10"/>
        <v/>
      </c>
      <c r="BA10" s="11" t="str">
        <f t="shared" si="11"/>
        <v/>
      </c>
      <c r="BB10" s="11"/>
      <c r="BC10" s="11"/>
      <c r="BD10" s="11" t="str">
        <f t="shared" si="12"/>
        <v/>
      </c>
      <c r="BE10" s="11" t="str">
        <f t="shared" si="13"/>
        <v/>
      </c>
      <c r="BF10" s="12" t="str">
        <f t="shared" si="14"/>
        <v/>
      </c>
      <c r="BG10" s="13" t="str">
        <f>IFERROR((IF((VLOOKUP($BO$1&amp;C10,Teams!D:M,7,0))="","",", ")),"")</f>
        <v xml:space="preserve">, </v>
      </c>
      <c r="BH10" s="14" t="str">
        <f>IF(AND((VLOOKUP($BO$1&amp;C10,Teams!D:M,7,0))="",AX10=""),"",", ")</f>
        <v xml:space="preserve">, </v>
      </c>
      <c r="BI10" s="5" t="str">
        <f>$BO$1&amp;9</f>
        <v>Necromantic9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c r="A11" s="2">
        <v>10</v>
      </c>
      <c r="B11" s="7" t="s">
        <v>1383</v>
      </c>
      <c r="C11" s="330" t="s">
        <v>573</v>
      </c>
      <c r="D11" s="331"/>
      <c r="E11" s="331"/>
      <c r="F11" s="332"/>
      <c r="G11" s="8">
        <f>IF(C11="",0,(COUNTIF(C2:F17,C11)))</f>
        <v>4</v>
      </c>
      <c r="H11" s="9" t="s">
        <v>25</v>
      </c>
      <c r="I11" s="10">
        <f>IFERROR((VLOOKUP($BO$1&amp;C11,Teams!D:M,10,0)),0)</f>
        <v>16</v>
      </c>
      <c r="J11" s="162">
        <f t="shared" ref="J11:K11" si="33">IFERROR(K75,0)</f>
        <v>4</v>
      </c>
      <c r="K11" s="162">
        <f t="shared" si="33"/>
        <v>3</v>
      </c>
      <c r="L11" s="162" t="str">
        <f t="shared" ref="L11:N11" si="34">IFERROR(M75&amp;"+",0)</f>
        <v>4+</v>
      </c>
      <c r="M11" s="162" t="str">
        <f t="shared" si="34"/>
        <v>0+</v>
      </c>
      <c r="N11" s="162" t="str">
        <f t="shared" si="34"/>
        <v>9+</v>
      </c>
      <c r="O11" s="312" t="str">
        <f>IFERROR((IF(AV11="YES",(VLOOKUP($BO$1&amp;C11,Teams!D:M,7,0)),AW11)),"")</f>
        <v>Regeneration</v>
      </c>
      <c r="P11" s="313"/>
      <c r="Q11" s="313"/>
      <c r="R11" s="313"/>
      <c r="S11" s="313"/>
      <c r="T11" s="313"/>
      <c r="U11" s="313"/>
      <c r="V11" s="313"/>
      <c r="W11" s="313"/>
      <c r="X11" s="314"/>
      <c r="Y11" s="294"/>
      <c r="Z11" s="295"/>
      <c r="AA11" s="294"/>
      <c r="AB11" s="295"/>
      <c r="AC11" s="294"/>
      <c r="AD11" s="295"/>
      <c r="AE11" s="294"/>
      <c r="AF11" s="295"/>
      <c r="AG11" s="294"/>
      <c r="AH11" s="295"/>
      <c r="AI11" s="294"/>
      <c r="AJ11" s="295"/>
      <c r="AK11" s="296">
        <f t="shared" si="2"/>
        <v>0</v>
      </c>
      <c r="AL11" s="297"/>
      <c r="AM11" s="163">
        <f t="shared" si="17"/>
        <v>0</v>
      </c>
      <c r="AN11" s="298">
        <f>IFERROR((VLOOKUP($BO$1&amp;C11,Teams!D:M,8,0))+AK11,0)</f>
        <v>40000</v>
      </c>
      <c r="AO11" s="299"/>
      <c r="AP11" s="315"/>
      <c r="AQ11" s="4">
        <f>IFERROR((((VLOOKUP($BO$1&amp;C11,Teams!D:M,9,0)+(AK11/1000)))),0)</f>
        <v>40</v>
      </c>
      <c r="AR11" s="5">
        <f>IFERROR((VLOOKUP($BO$1&amp;C11,Teams!D:N,11,0)),0)</f>
        <v>0</v>
      </c>
      <c r="AS11" s="152" t="str">
        <f t="shared" si="3"/>
        <v/>
      </c>
      <c r="AT11" s="152" t="str">
        <f t="shared" si="4"/>
        <v/>
      </c>
      <c r="AU11" s="152" t="str">
        <f t="shared" si="5"/>
        <v/>
      </c>
      <c r="AV11" s="5" t="str">
        <f t="shared" si="6"/>
        <v>YES</v>
      </c>
      <c r="AW11" s="5" t="str">
        <f t="shared" si="7"/>
        <v/>
      </c>
      <c r="AX11" s="11" t="str">
        <f t="shared" si="8"/>
        <v/>
      </c>
      <c r="AY11" s="11" t="str">
        <f t="shared" si="9"/>
        <v/>
      </c>
      <c r="AZ11" s="11" t="str">
        <f t="shared" si="10"/>
        <v/>
      </c>
      <c r="BA11" s="11" t="str">
        <f t="shared" si="11"/>
        <v/>
      </c>
      <c r="BB11" s="11"/>
      <c r="BC11" s="11"/>
      <c r="BD11" s="11" t="str">
        <f t="shared" si="12"/>
        <v/>
      </c>
      <c r="BE11" s="11" t="str">
        <f t="shared" si="13"/>
        <v/>
      </c>
      <c r="BF11" s="12" t="str">
        <f t="shared" si="14"/>
        <v/>
      </c>
      <c r="BG11" s="13" t="str">
        <f>IFERROR((IF((VLOOKUP($BO$1&amp;C11,Teams!D:M,7,0))="","",", ")),"")</f>
        <v xml:space="preserve">, </v>
      </c>
      <c r="BH11" s="14" t="str">
        <f>IF(AND((VLOOKUP($BO$1&amp;C11,Teams!D:M,7,0))="",AX11=""),"",", ")</f>
        <v xml:space="preserve">, </v>
      </c>
      <c r="BI11" s="5" t="str">
        <f>$BO$1&amp;10</f>
        <v>Necromantic10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c r="A12" s="2">
        <v>11</v>
      </c>
      <c r="B12" s="274" t="s">
        <v>1385</v>
      </c>
      <c r="C12" s="330" t="s">
        <v>573</v>
      </c>
      <c r="D12" s="331"/>
      <c r="E12" s="331"/>
      <c r="F12" s="332"/>
      <c r="G12" s="8">
        <f>IF(C12="",0,(COUNTIF(C2:F17,C12)))</f>
        <v>4</v>
      </c>
      <c r="H12" s="9" t="s">
        <v>25</v>
      </c>
      <c r="I12" s="10">
        <f>IFERROR((VLOOKUP($BO$1&amp;C12,Teams!D:M,10,0)),0)</f>
        <v>16</v>
      </c>
      <c r="J12" s="162">
        <f t="shared" ref="J12:K12" si="35">IFERROR(K76,0)</f>
        <v>4</v>
      </c>
      <c r="K12" s="162">
        <f t="shared" si="35"/>
        <v>3</v>
      </c>
      <c r="L12" s="162" t="str">
        <f t="shared" ref="L12:N12" si="36">IFERROR(M76&amp;"+",0)</f>
        <v>4+</v>
      </c>
      <c r="M12" s="162" t="str">
        <f t="shared" si="36"/>
        <v>0+</v>
      </c>
      <c r="N12" s="162" t="str">
        <f t="shared" si="36"/>
        <v>9+</v>
      </c>
      <c r="O12" s="312" t="str">
        <f>IFERROR((IF(AV12="YES",(VLOOKUP($BO$1&amp;C12,Teams!D:M,7,0)),AW12)),"")</f>
        <v>Regeneration</v>
      </c>
      <c r="P12" s="313"/>
      <c r="Q12" s="313"/>
      <c r="R12" s="313"/>
      <c r="S12" s="313"/>
      <c r="T12" s="313"/>
      <c r="U12" s="313"/>
      <c r="V12" s="313"/>
      <c r="W12" s="313"/>
      <c r="X12" s="314"/>
      <c r="Y12" s="294"/>
      <c r="Z12" s="295"/>
      <c r="AA12" s="294"/>
      <c r="AB12" s="295"/>
      <c r="AC12" s="294"/>
      <c r="AD12" s="295"/>
      <c r="AE12" s="294"/>
      <c r="AF12" s="295"/>
      <c r="AG12" s="294"/>
      <c r="AH12" s="295"/>
      <c r="AI12" s="294"/>
      <c r="AJ12" s="295"/>
      <c r="AK12" s="296">
        <f t="shared" si="2"/>
        <v>0</v>
      </c>
      <c r="AL12" s="297"/>
      <c r="AM12" s="163">
        <f t="shared" si="17"/>
        <v>0</v>
      </c>
      <c r="AN12" s="298">
        <f>IFERROR((VLOOKUP($BO$1&amp;C12,Teams!D:M,8,0))+AK12,0)</f>
        <v>40000</v>
      </c>
      <c r="AO12" s="299"/>
      <c r="AP12" s="315"/>
      <c r="AQ12" s="4">
        <f>IFERROR((((VLOOKUP($BO$1&amp;C12,Teams!D:M,9,0)+(AK12/1000)))),0)</f>
        <v>40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xml:space="preserve">, </v>
      </c>
      <c r="BH12" s="14" t="str">
        <f>IF(AND((VLOOKUP($BO$1&amp;C12,Teams!D:M,7,0))="",AX12=""),"",", ")</f>
        <v xml:space="preserve">, </v>
      </c>
      <c r="BI12" s="5" t="str">
        <f>$BO$1&amp;11</f>
        <v>Necromantic11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c r="A13" s="2">
        <v>12</v>
      </c>
      <c r="B13" s="7" t="s">
        <v>1384</v>
      </c>
      <c r="C13" s="330" t="s">
        <v>573</v>
      </c>
      <c r="D13" s="331"/>
      <c r="E13" s="331"/>
      <c r="F13" s="332"/>
      <c r="G13" s="8">
        <f>IF(C13="",0,(COUNTIF(C2:F17,C13)))</f>
        <v>4</v>
      </c>
      <c r="H13" s="9" t="s">
        <v>25</v>
      </c>
      <c r="I13" s="10">
        <f>IFERROR((VLOOKUP($BO$1&amp;C13,Teams!D:M,10,0)),0)</f>
        <v>16</v>
      </c>
      <c r="J13" s="162">
        <f t="shared" ref="J13:K13" si="37">IFERROR(K77,0)</f>
        <v>4</v>
      </c>
      <c r="K13" s="162">
        <f t="shared" si="37"/>
        <v>3</v>
      </c>
      <c r="L13" s="162" t="str">
        <f t="shared" ref="L13:N13" si="38">IFERROR(M77&amp;"+",0)</f>
        <v>4+</v>
      </c>
      <c r="M13" s="162" t="str">
        <f t="shared" si="38"/>
        <v>0+</v>
      </c>
      <c r="N13" s="162" t="str">
        <f t="shared" si="38"/>
        <v>9+</v>
      </c>
      <c r="O13" s="312" t="str">
        <f>IFERROR((IF(AV13="YES",(VLOOKUP($BO$1&amp;C13,Teams!D:M,7,0)),AW13)),"")</f>
        <v>Regeneration</v>
      </c>
      <c r="P13" s="313"/>
      <c r="Q13" s="313"/>
      <c r="R13" s="313"/>
      <c r="S13" s="313"/>
      <c r="T13" s="313"/>
      <c r="U13" s="313"/>
      <c r="V13" s="313"/>
      <c r="W13" s="313"/>
      <c r="X13" s="314"/>
      <c r="Y13" s="294"/>
      <c r="Z13" s="295"/>
      <c r="AA13" s="294"/>
      <c r="AB13" s="295"/>
      <c r="AC13" s="294"/>
      <c r="AD13" s="295"/>
      <c r="AE13" s="294"/>
      <c r="AF13" s="295"/>
      <c r="AG13" s="294"/>
      <c r="AH13" s="295"/>
      <c r="AI13" s="294"/>
      <c r="AJ13" s="295"/>
      <c r="AK13" s="296">
        <f t="shared" si="2"/>
        <v>0</v>
      </c>
      <c r="AL13" s="297"/>
      <c r="AM13" s="163">
        <f t="shared" si="17"/>
        <v>0</v>
      </c>
      <c r="AN13" s="298">
        <f>IFERROR((VLOOKUP($BO$1&amp;C13,Teams!D:M,8,0))+AK13,0)</f>
        <v>40000</v>
      </c>
      <c r="AO13" s="299"/>
      <c r="AP13" s="315"/>
      <c r="AQ13" s="4">
        <f>IFERROR((((VLOOKUP($BO$1&amp;C13,Teams!D:M,9,0)+(AK13/1000)))),0)</f>
        <v>40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xml:space="preserve">, </v>
      </c>
      <c r="BH13" s="14" t="str">
        <f>IF(AND((VLOOKUP($BO$1&amp;C13,Teams!D:M,7,0))="",AX13=""),"",", ")</f>
        <v xml:space="preserve">, </v>
      </c>
      <c r="BI13" s="5" t="str">
        <f>$BO$1&amp;12</f>
        <v>Necromantic12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c r="A14" s="2">
        <v>13</v>
      </c>
      <c r="C14" s="330"/>
      <c r="D14" s="331"/>
      <c r="E14" s="331"/>
      <c r="F14" s="332"/>
      <c r="G14" s="8">
        <f>IF(C14="",0,(COUNTIF(C2:F17,C14)))</f>
        <v>0</v>
      </c>
      <c r="H14" s="9" t="s">
        <v>25</v>
      </c>
      <c r="I14" s="10">
        <f>IFERROR((VLOOKUP($BO$1&amp;C14,Teams!D:M,10,0)),0)</f>
        <v>0</v>
      </c>
      <c r="J14" s="162">
        <f t="shared" ref="J14:K14" si="39">IFERROR(K78,0)</f>
        <v>0</v>
      </c>
      <c r="K14" s="162">
        <f t="shared" si="39"/>
        <v>0</v>
      </c>
      <c r="L14" s="162" t="str">
        <f t="shared" ref="L14:N14" si="40">IFERROR(M78&amp;"+",0)</f>
        <v>0+</v>
      </c>
      <c r="M14" s="162" t="str">
        <f t="shared" si="40"/>
        <v>0+</v>
      </c>
      <c r="N14" s="162" t="str">
        <f t="shared" si="40"/>
        <v>0+</v>
      </c>
      <c r="O14" s="312">
        <f>IFERROR((IF(AV14="YES",(VLOOKUP($BO$1&amp;C14,Teams!D:M,7,0)),AW14)),"")</f>
        <v>0</v>
      </c>
      <c r="P14" s="313"/>
      <c r="Q14" s="313"/>
      <c r="R14" s="313"/>
      <c r="S14" s="313"/>
      <c r="T14" s="313"/>
      <c r="U14" s="313"/>
      <c r="V14" s="313"/>
      <c r="W14" s="313"/>
      <c r="X14" s="314"/>
      <c r="Y14" s="294"/>
      <c r="Z14" s="295"/>
      <c r="AA14" s="294"/>
      <c r="AB14" s="295"/>
      <c r="AC14" s="294"/>
      <c r="AD14" s="295"/>
      <c r="AE14" s="294"/>
      <c r="AF14" s="295"/>
      <c r="AG14" s="294"/>
      <c r="AH14" s="295"/>
      <c r="AI14" s="294"/>
      <c r="AJ14" s="295"/>
      <c r="AK14" s="296">
        <f t="shared" si="2"/>
        <v>0</v>
      </c>
      <c r="AL14" s="297"/>
      <c r="AM14" s="163">
        <f t="shared" si="17"/>
        <v>0</v>
      </c>
      <c r="AN14" s="298">
        <f>IFERROR((VLOOKUP($BO$1&amp;C14,Teams!D:M,8,0))+AK14,0)</f>
        <v>0</v>
      </c>
      <c r="AO14" s="299"/>
      <c r="AP14" s="315"/>
      <c r="AQ14" s="4">
        <f>IFERROR((((VLOOKUP($BO$1&amp;C14,Teams!D:M,9,0)+(AK14/1000)))),0)</f>
        <v>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xml:space="preserve">, </v>
      </c>
      <c r="BH14" s="14" t="str">
        <f>IF(AND((VLOOKUP($BO$1&amp;C14,Teams!D:M,7,0))="",AX14=""),"",", ")</f>
        <v xml:space="preserve">, </v>
      </c>
      <c r="BI14" s="5" t="str">
        <f>$BO$1&amp;13</f>
        <v>Necromantic13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c r="A15" s="2">
        <v>14</v>
      </c>
      <c r="B15" s="7"/>
      <c r="C15" s="330"/>
      <c r="D15" s="331"/>
      <c r="E15" s="331"/>
      <c r="F15" s="332"/>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12">
        <f>IFERROR((IF(AV15="YES",(VLOOKUP($BO$1&amp;C15,Teams!D:M,7,0)),AW15)),"")</f>
        <v>0</v>
      </c>
      <c r="P15" s="313"/>
      <c r="Q15" s="313"/>
      <c r="R15" s="313"/>
      <c r="S15" s="313"/>
      <c r="T15" s="313"/>
      <c r="U15" s="313"/>
      <c r="V15" s="313"/>
      <c r="W15" s="313"/>
      <c r="X15" s="314"/>
      <c r="Y15" s="294"/>
      <c r="Z15" s="295"/>
      <c r="AA15" s="294"/>
      <c r="AB15" s="295"/>
      <c r="AC15" s="294"/>
      <c r="AD15" s="295"/>
      <c r="AE15" s="294"/>
      <c r="AF15" s="295"/>
      <c r="AG15" s="294"/>
      <c r="AH15" s="295"/>
      <c r="AI15" s="294"/>
      <c r="AJ15" s="295"/>
      <c r="AK15" s="296">
        <f t="shared" si="2"/>
        <v>0</v>
      </c>
      <c r="AL15" s="297"/>
      <c r="AM15" s="163">
        <f t="shared" si="17"/>
        <v>0</v>
      </c>
      <c r="AN15" s="298">
        <f>IFERROR((VLOOKUP($BO$1&amp;C15,Teams!D:M,8,0))+AK15,0)</f>
        <v>0</v>
      </c>
      <c r="AO15" s="299"/>
      <c r="AP15" s="315"/>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c r="C16" s="330"/>
      <c r="D16" s="331"/>
      <c r="E16" s="331"/>
      <c r="F16" s="332"/>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12">
        <f>IFERROR((IF(AV16="YES",(VLOOKUP($BO$1&amp;C16,Teams!D:M,7,0)),AW16)),"")</f>
        <v>0</v>
      </c>
      <c r="P16" s="313"/>
      <c r="Q16" s="313"/>
      <c r="R16" s="313"/>
      <c r="S16" s="313"/>
      <c r="T16" s="313"/>
      <c r="U16" s="313"/>
      <c r="V16" s="313"/>
      <c r="W16" s="313"/>
      <c r="X16" s="314"/>
      <c r="Y16" s="294"/>
      <c r="Z16" s="295"/>
      <c r="AA16" s="294"/>
      <c r="AB16" s="295"/>
      <c r="AC16" s="294"/>
      <c r="AD16" s="295"/>
      <c r="AE16" s="294"/>
      <c r="AF16" s="295"/>
      <c r="AG16" s="294"/>
      <c r="AH16" s="295"/>
      <c r="AI16" s="294"/>
      <c r="AJ16" s="295"/>
      <c r="AK16" s="296">
        <f t="shared" si="2"/>
        <v>0</v>
      </c>
      <c r="AL16" s="297"/>
      <c r="AM16" s="163">
        <f t="shared" si="17"/>
        <v>0</v>
      </c>
      <c r="AN16" s="298">
        <f>IFERROR((VLOOKUP($BO$1&amp;C16,Teams!D:M,8,0))+AK16,0)</f>
        <v>0</v>
      </c>
      <c r="AO16" s="299"/>
      <c r="AP16" s="315"/>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c r="A17" s="2">
        <v>16</v>
      </c>
      <c r="B17" s="7"/>
      <c r="C17" s="330"/>
      <c r="D17" s="331"/>
      <c r="E17" s="331"/>
      <c r="F17" s="332"/>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12">
        <f>IFERROR((IF(AV17="YES",(VLOOKUP($BO$1&amp;C17,Teams!D:M,7,0)),AW17)),"")</f>
        <v>0</v>
      </c>
      <c r="P17" s="313"/>
      <c r="Q17" s="313"/>
      <c r="R17" s="313"/>
      <c r="S17" s="313"/>
      <c r="T17" s="313"/>
      <c r="U17" s="313"/>
      <c r="V17" s="313"/>
      <c r="W17" s="313"/>
      <c r="X17" s="314"/>
      <c r="Y17" s="294"/>
      <c r="Z17" s="295"/>
      <c r="AA17" s="294"/>
      <c r="AB17" s="295"/>
      <c r="AC17" s="294"/>
      <c r="AD17" s="295"/>
      <c r="AE17" s="294"/>
      <c r="AF17" s="295"/>
      <c r="AG17" s="294"/>
      <c r="AH17" s="295"/>
      <c r="AI17" s="303"/>
      <c r="AJ17" s="295"/>
      <c r="AK17" s="296">
        <f>BI61</f>
        <v>0</v>
      </c>
      <c r="AL17" s="297"/>
      <c r="AM17" s="163">
        <f t="shared" si="17"/>
        <v>0</v>
      </c>
      <c r="AN17" s="298">
        <f>IFERROR((VLOOKUP($BO$1&amp;C17,Teams!D:M,8,0))+AK17,0)</f>
        <v>0</v>
      </c>
      <c r="AO17" s="299"/>
      <c r="AP17" s="315"/>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30"/>
      <c r="D18" s="331"/>
      <c r="E18" s="331"/>
      <c r="F18" s="332"/>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12">
        <f>IFERROR((IF(G18&gt;I18,AS18,VLOOKUP(C18,StarPlayers!B:K,7,0))),0)</f>
        <v>0</v>
      </c>
      <c r="P18" s="313"/>
      <c r="Q18" s="313"/>
      <c r="R18" s="313"/>
      <c r="S18" s="313"/>
      <c r="T18" s="313"/>
      <c r="U18" s="313"/>
      <c r="V18" s="313"/>
      <c r="W18" s="313"/>
      <c r="X18" s="313"/>
      <c r="Y18" s="313"/>
      <c r="Z18" s="314"/>
      <c r="AA18" s="312">
        <f>IFERROR((IF(G18&gt;I18,AS18,VLOOKUP(C18,StarPlayers!B:K,8,0))),0)</f>
        <v>0</v>
      </c>
      <c r="AB18" s="313"/>
      <c r="AC18" s="313"/>
      <c r="AD18" s="313"/>
      <c r="AE18" s="313"/>
      <c r="AF18" s="313"/>
      <c r="AG18" s="313"/>
      <c r="AH18" s="313"/>
      <c r="AI18" s="313"/>
      <c r="AJ18" s="313"/>
      <c r="AK18" s="313"/>
      <c r="AL18" s="313"/>
      <c r="AM18" s="314"/>
      <c r="AN18" s="298">
        <f>IFERROR((VLOOKUP(C18,StarPlayers!B:K,9,0)),0)</f>
        <v>0</v>
      </c>
      <c r="AO18" s="299"/>
      <c r="AP18" s="315"/>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30"/>
      <c r="D19" s="331"/>
      <c r="E19" s="331"/>
      <c r="F19" s="332"/>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12">
        <f>IFERROR((IF(G19&gt;I19,AS19,VLOOKUP(C19,StarPlayers!B:K,7,0))),0)</f>
        <v>0</v>
      </c>
      <c r="P19" s="313"/>
      <c r="Q19" s="313"/>
      <c r="R19" s="313"/>
      <c r="S19" s="313"/>
      <c r="T19" s="313"/>
      <c r="U19" s="313"/>
      <c r="V19" s="313"/>
      <c r="W19" s="313"/>
      <c r="X19" s="313"/>
      <c r="Y19" s="313"/>
      <c r="Z19" s="314"/>
      <c r="AA19" s="312">
        <f>IFERROR((IF(G19&gt;I19,AS19,VLOOKUP(C19,StarPlayers!B:K,8,0))),0)</f>
        <v>0</v>
      </c>
      <c r="AB19" s="313"/>
      <c r="AC19" s="313"/>
      <c r="AD19" s="313"/>
      <c r="AE19" s="313"/>
      <c r="AF19" s="313"/>
      <c r="AG19" s="313"/>
      <c r="AH19" s="313"/>
      <c r="AI19" s="313"/>
      <c r="AJ19" s="313"/>
      <c r="AK19" s="313"/>
      <c r="AL19" s="313"/>
      <c r="AM19" s="314"/>
      <c r="AN19" s="298">
        <f>IFERROR((VLOOKUP(C19,StarPlayers!B:K,9,0)),0)</f>
        <v>0</v>
      </c>
      <c r="AO19" s="299"/>
      <c r="AP19" s="315"/>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c r="A20" s="19" t="s">
        <v>110</v>
      </c>
      <c r="B20" s="18" t="str">
        <f>IF($J$24="Italiano","Mercenario",(IF($J$24="Español","Mercenario",(IF($J$24="Français","Mercenaire","Mercenary")))))</f>
        <v>Mercenary</v>
      </c>
      <c r="C20" s="330"/>
      <c r="D20" s="331"/>
      <c r="E20" s="331"/>
      <c r="F20" s="332"/>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12">
        <f>IFERROR((IF(G20&gt;I20,AS20,VLOOKUP(C20,StarPlayers!B:K,7,0))),0)</f>
        <v>0</v>
      </c>
      <c r="P20" s="313"/>
      <c r="Q20" s="313"/>
      <c r="R20" s="313"/>
      <c r="S20" s="313"/>
      <c r="T20" s="313"/>
      <c r="U20" s="313"/>
      <c r="V20" s="313"/>
      <c r="W20" s="313"/>
      <c r="X20" s="313"/>
      <c r="Y20" s="313"/>
      <c r="Z20" s="314"/>
      <c r="AA20" s="312">
        <f>IFERROR((IF(G20&gt;I20,AS20,VLOOKUP(C20,StarPlayers!B:K,8,0))),0)</f>
        <v>0</v>
      </c>
      <c r="AB20" s="313"/>
      <c r="AC20" s="313"/>
      <c r="AD20" s="313"/>
      <c r="AE20" s="313"/>
      <c r="AF20" s="313"/>
      <c r="AG20" s="313"/>
      <c r="AH20" s="313"/>
      <c r="AI20" s="313"/>
      <c r="AJ20" s="313"/>
      <c r="AK20" s="313"/>
      <c r="AL20" s="313"/>
      <c r="AM20" s="314"/>
      <c r="AN20" s="298">
        <f>IFERROR((VLOOKUP(C20,StarPlayers!B:K,9,0)),0)</f>
        <v>0</v>
      </c>
      <c r="AO20" s="299"/>
      <c r="AP20" s="315"/>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c r="A21" s="335"/>
      <c r="B21" s="336"/>
      <c r="C21" s="341" t="str">
        <f>IF(J24="Italiano","ALLENATORE CAPO / NAF",(IF(J24="Español","ENTRENADOR / NAF",(IF(J24="Deutsch","CHEFTRAINER / NAF",(IF(J24="Français","COACH / NAF","HEAD COACH / NAF")))))))</f>
        <v>HEAD COACH / NAF</v>
      </c>
      <c r="D21" s="342"/>
      <c r="E21" s="342"/>
      <c r="F21" s="342"/>
      <c r="G21" s="342"/>
      <c r="H21" s="342"/>
      <c r="I21" s="343"/>
      <c r="J21" s="345" t="s">
        <v>1376</v>
      </c>
      <c r="K21" s="346"/>
      <c r="L21" s="346"/>
      <c r="M21" s="346"/>
      <c r="N21" s="346"/>
      <c r="O21" s="346"/>
      <c r="P21" s="346"/>
      <c r="Q21" s="347"/>
      <c r="R21" s="341" t="str">
        <f>IF(J24="Italiano","TIFOSI SFEGATATI",(IF(J24="Español","FANS DEDICADOS",(IF(J24="Deutsch","TREUE FANS",(IF(J24="Français","FANS DÉVOUÉS","DEDICATED FANS")))))))</f>
        <v>DEDICATED FANS</v>
      </c>
      <c r="S21" s="342"/>
      <c r="T21" s="342"/>
      <c r="U21" s="342"/>
      <c r="V21" s="343"/>
      <c r="W21" s="29">
        <v>0</v>
      </c>
      <c r="X21" s="23" t="s">
        <v>121</v>
      </c>
      <c r="Y21" s="300">
        <v>10000</v>
      </c>
      <c r="Z21" s="300"/>
      <c r="AA21" s="24" t="str">
        <f t="shared" ref="AA21:AA29" si="51">IF($J$24="Español","mo",(IF($J$24="Deutsch","gm",(IF($J$24="Français","po","gp")))))</f>
        <v>gp</v>
      </c>
      <c r="AB21" s="301">
        <f>IFERROR(W21*Y21,0)</f>
        <v>0</v>
      </c>
      <c r="AC21" s="302"/>
      <c r="AD21" s="341"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MORTUARY ASSISTANT</v>
      </c>
      <c r="AE21" s="342"/>
      <c r="AF21" s="342"/>
      <c r="AG21" s="342"/>
      <c r="AH21" s="343"/>
      <c r="AI21" s="26">
        <v>0</v>
      </c>
      <c r="AJ21" s="23" t="s">
        <v>121</v>
      </c>
      <c r="AK21" s="300">
        <f>IF(OR(BO1="Necromantic",BO1="Shambling Undead",BO1="Nurgle"),100000,(VLOOKUP(BO1,BL:BQ,6,0)))</f>
        <v>100000</v>
      </c>
      <c r="AL21" s="300"/>
      <c r="AM21" s="24" t="str">
        <f t="shared" ref="AM21:AM28" si="52">IF($J$24="Español","mo",(IF($J$24="Deutsch","gm",(IF($J$24="Français","po","gp")))))</f>
        <v>gp</v>
      </c>
      <c r="AN21" s="301">
        <f>IFERROR(IF(OR(AJ35="NO",AJ35="NON",AJ35="NEIN"),AI21*AK21,0),0)</f>
        <v>0</v>
      </c>
      <c r="AO21" s="302"/>
      <c r="AP21" s="315"/>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c r="A22" s="337"/>
      <c r="B22" s="338"/>
      <c r="C22" s="344" t="str">
        <f>IF(J24="Italiano","RAZZA",(IF(J24="Español","RAZA",(IF(J24="Deutsch","RASSE",(IF(J24="Français","TYPE D’ÉQUIPE","RACE")))))))</f>
        <v>RACE</v>
      </c>
      <c r="D22" s="285"/>
      <c r="E22" s="285"/>
      <c r="F22" s="285"/>
      <c r="G22" s="285"/>
      <c r="H22" s="285"/>
      <c r="I22" s="286"/>
      <c r="J22" s="324" t="s">
        <v>115</v>
      </c>
      <c r="K22" s="359"/>
      <c r="L22" s="359"/>
      <c r="M22" s="359"/>
      <c r="N22" s="359"/>
      <c r="O22" s="359"/>
      <c r="P22" s="359"/>
      <c r="Q22" s="325"/>
      <c r="R22" s="341" t="str">
        <f>IF(J24="Italiano","REROLLS",(IF(J24="Español","SEGUNDAS OPORTUNIDADES",(IF(J24="Deutsch","WIEDERHOLUNGSWÜRFE",(IF(J24="Français","RELANCES","REROLLS")))))))</f>
        <v>REROLLS</v>
      </c>
      <c r="S22" s="342"/>
      <c r="T22" s="342"/>
      <c r="U22" s="342"/>
      <c r="V22" s="343"/>
      <c r="W22" s="29">
        <v>3</v>
      </c>
      <c r="X22" s="23" t="s">
        <v>121</v>
      </c>
      <c r="Y22" s="300">
        <f>IFERROR(VLOOKUP(BO1,BL:BP,5,0),0)</f>
        <v>70000</v>
      </c>
      <c r="Z22" s="300"/>
      <c r="AA22" s="24" t="str">
        <f t="shared" si="51"/>
        <v>gp</v>
      </c>
      <c r="AB22" s="301">
        <f t="shared" ref="AB22:AB24" si="53">IFERROR(W22*Y22,0)</f>
        <v>210000</v>
      </c>
      <c r="AC22" s="302"/>
      <c r="AD22" s="341" t="str">
        <f>IF(J24="Italiano","MAGO DEL CLIMA",(IF(J24="Español","MAGO DEL TIEMPO",(IF(J24="Deutsch","WETTERMAGIER",(IF(J24="Français","MAGE MÉTÉO","WEATHER MAGE")))))))</f>
        <v>WEATHER MAGE</v>
      </c>
      <c r="AE22" s="342"/>
      <c r="AF22" s="342"/>
      <c r="AG22" s="342"/>
      <c r="AH22" s="343"/>
      <c r="AI22" s="29">
        <v>0</v>
      </c>
      <c r="AJ22" s="23" t="s">
        <v>121</v>
      </c>
      <c r="AK22" s="300">
        <v>30000</v>
      </c>
      <c r="AL22" s="300"/>
      <c r="AM22" s="24" t="str">
        <f t="shared" si="52"/>
        <v>gp</v>
      </c>
      <c r="AN22" s="301">
        <f t="shared" ref="AN22:AN28" si="54">IFERROR(AI22*AK22,0)</f>
        <v>0</v>
      </c>
      <c r="AO22" s="302"/>
      <c r="AP22" s="315"/>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c r="A23" s="337"/>
      <c r="B23" s="338"/>
      <c r="C23" s="344" t="str">
        <f>IF(J24="Italiano","NOME SQUADRA",(IF(J24="Español","NOMBRE DEL EQUIPO",(IF(J24="Français","NOM D’ÉQUIPE","TEAM NAME")))))</f>
        <v>TEAM NAME</v>
      </c>
      <c r="D23" s="285"/>
      <c r="E23" s="285"/>
      <c r="F23" s="285"/>
      <c r="G23" s="285"/>
      <c r="H23" s="285"/>
      <c r="I23" s="286"/>
      <c r="J23" s="345" t="s">
        <v>1377</v>
      </c>
      <c r="K23" s="346"/>
      <c r="L23" s="346"/>
      <c r="M23" s="346"/>
      <c r="N23" s="346"/>
      <c r="O23" s="346"/>
      <c r="P23" s="346"/>
      <c r="Q23" s="347"/>
      <c r="R23" s="341" t="str">
        <f>IF(J24="Español","ANIMADORAS",(IF(J24="Deutsch","CHEERLEADER","CHEERLEADERS")))</f>
        <v>CHEERLEADERS</v>
      </c>
      <c r="S23" s="342"/>
      <c r="T23" s="342"/>
      <c r="U23" s="342"/>
      <c r="V23" s="343"/>
      <c r="W23" s="29">
        <v>0</v>
      </c>
      <c r="X23" s="23" t="s">
        <v>121</v>
      </c>
      <c r="Y23" s="300">
        <v>10000</v>
      </c>
      <c r="Z23" s="300"/>
      <c r="AA23" s="24" t="str">
        <f t="shared" si="51"/>
        <v>gp</v>
      </c>
      <c r="AB23" s="301">
        <f t="shared" si="53"/>
        <v>0</v>
      </c>
      <c r="AC23" s="302"/>
      <c r="AD23" s="304" t="s">
        <v>131</v>
      </c>
      <c r="AE23" s="305"/>
      <c r="AF23" s="305"/>
      <c r="AG23" s="305"/>
      <c r="AH23" s="306"/>
      <c r="AI23" s="29">
        <v>0</v>
      </c>
      <c r="AJ23" s="23" t="s">
        <v>121</v>
      </c>
      <c r="AK23" s="300">
        <f>IFERROR((VLOOKUP(AD23,BH64:BI88,2,FALSE)),0)</f>
        <v>0</v>
      </c>
      <c r="AL23" s="300"/>
      <c r="AM23" s="24" t="str">
        <f t="shared" si="52"/>
        <v>gp</v>
      </c>
      <c r="AN23" s="301">
        <f t="shared" si="54"/>
        <v>0</v>
      </c>
      <c r="AO23" s="302"/>
      <c r="AP23" s="315"/>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c r="A24" s="337"/>
      <c r="B24" s="338"/>
      <c r="C24" s="344" t="str">
        <f>IF(J24="Italiano","LINGUA",(IF(J24="Español","IDIOMA",(IF(J24="Deutsch","SPRACHE",(IF(J24="Français","LANGUE","LANGUAGE")))))))</f>
        <v>LANGUAGE</v>
      </c>
      <c r="D24" s="285"/>
      <c r="E24" s="285"/>
      <c r="F24" s="285"/>
      <c r="G24" s="285"/>
      <c r="H24" s="285"/>
      <c r="I24" s="286"/>
      <c r="J24" s="360" t="s">
        <v>138</v>
      </c>
      <c r="K24" s="361"/>
      <c r="L24" s="361"/>
      <c r="M24" s="361"/>
      <c r="N24" s="361"/>
      <c r="O24" s="361"/>
      <c r="P24" s="361"/>
      <c r="Q24" s="362"/>
      <c r="R24" s="341" t="str">
        <f>IF(J24="Italiano","ASSISTENTI ALLENATORI",(IF(J24="Español","AYUDANTES ENTRENADOR",(IF(J24="Deutsch","TRAINERASSISTENTEN",(IF(J24="Français","COACHS ASSIST","ASSISTANT COACHES")))))))</f>
        <v>ASSISTANT COACHES</v>
      </c>
      <c r="S24" s="342"/>
      <c r="T24" s="342"/>
      <c r="U24" s="342"/>
      <c r="V24" s="343"/>
      <c r="W24" s="29">
        <v>1</v>
      </c>
      <c r="X24" s="23" t="s">
        <v>121</v>
      </c>
      <c r="Y24" s="300">
        <v>10000</v>
      </c>
      <c r="Z24" s="300"/>
      <c r="AA24" s="24" t="str">
        <f t="shared" si="51"/>
        <v>gp</v>
      </c>
      <c r="AB24" s="301">
        <f t="shared" si="53"/>
        <v>10000</v>
      </c>
      <c r="AC24" s="302"/>
      <c r="AD24" s="304" t="s">
        <v>139</v>
      </c>
      <c r="AE24" s="305"/>
      <c r="AF24" s="305"/>
      <c r="AG24" s="305"/>
      <c r="AH24" s="306"/>
      <c r="AI24" s="29">
        <v>0</v>
      </c>
      <c r="AJ24" s="23" t="s">
        <v>121</v>
      </c>
      <c r="AK24" s="300">
        <f>IFERROR(VLOOKUP(AD24,BD64:BE88,2,FALSE),0)</f>
        <v>0</v>
      </c>
      <c r="AL24" s="300"/>
      <c r="AM24" s="24" t="str">
        <f t="shared" si="52"/>
        <v>gp</v>
      </c>
      <c r="AN24" s="301">
        <f t="shared" si="54"/>
        <v>0</v>
      </c>
      <c r="AO24" s="302"/>
      <c r="AP24" s="315"/>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c r="A25" s="337"/>
      <c r="B25" s="338"/>
      <c r="C25" s="344" t="str">
        <f>IF(J24="Italiano","COSTI INCENTIVI &amp; EXTRA",(IF(J24="Español","COSTE INCENTIVOS Y EXTRAS",(IF(J24="Deutsch","GESAMTER TEAMWERT &amp; EXTRAS",(IF(J24="Français","COUPS DE POUCES &amp; STAFF","COST INDUCEMENTS &amp; EXTRAS")))))))</f>
        <v>COST INDUCEMENTS &amp; EXTRAS</v>
      </c>
      <c r="D25" s="285"/>
      <c r="E25" s="285"/>
      <c r="F25" s="285"/>
      <c r="G25" s="285"/>
      <c r="H25" s="285"/>
      <c r="I25" s="286"/>
      <c r="J25" s="352">
        <f>(SUM(AB21:AC29,AN18:AO28))/1000</f>
        <v>220</v>
      </c>
      <c r="K25" s="353"/>
      <c r="L25" s="353"/>
      <c r="M25" s="353"/>
      <c r="N25" s="354" t="str">
        <f>IF(J24="Español","k mo",(IF(J24="Deutsch","k gm",(IF(J24="Français","k po","k gp")))))</f>
        <v>k gp</v>
      </c>
      <c r="O25" s="285"/>
      <c r="P25" s="285"/>
      <c r="Q25" s="286"/>
      <c r="R25" s="341" t="str">
        <f>IF(J24="Italiano","FUSTI DI BLOODWEISER",(IF(J24="Español","BARRILES BLOODWEISER",(IF(J24="Français","FÛTS DE BLOODWEISER","BLOODWEISER KEGS")))))</f>
        <v>BLOODWEISER KEGS</v>
      </c>
      <c r="S25" s="342"/>
      <c r="T25" s="342"/>
      <c r="U25" s="342"/>
      <c r="V25" s="343"/>
      <c r="W25" s="29">
        <v>0</v>
      </c>
      <c r="X25" s="23" t="s">
        <v>121</v>
      </c>
      <c r="Y25" s="300">
        <v>50000</v>
      </c>
      <c r="Z25" s="300"/>
      <c r="AA25" s="24" t="str">
        <f t="shared" si="51"/>
        <v>gp</v>
      </c>
      <c r="AB25" s="301">
        <f>IFERROR((W25*Y25)-(AO35*Y25),0)</f>
        <v>0</v>
      </c>
      <c r="AC25" s="302"/>
      <c r="AD25" s="304" t="str">
        <f>BD64</f>
        <v>(IN)FAMOUS COACHES</v>
      </c>
      <c r="AE25" s="305"/>
      <c r="AF25" s="305"/>
      <c r="AG25" s="305"/>
      <c r="AH25" s="306"/>
      <c r="AI25" s="29">
        <v>0</v>
      </c>
      <c r="AJ25" s="23" t="s">
        <v>121</v>
      </c>
      <c r="AK25" s="300">
        <f>IFERROR(VLOOKUP(AD25,BD64:BE88,2,FALSE),0)</f>
        <v>0</v>
      </c>
      <c r="AL25" s="300"/>
      <c r="AM25" s="24" t="str">
        <f t="shared" si="52"/>
        <v>gp</v>
      </c>
      <c r="AN25" s="301">
        <f t="shared" si="54"/>
        <v>0</v>
      </c>
      <c r="AO25" s="302"/>
      <c r="AP25" s="315"/>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c r="A26" s="337"/>
      <c r="B26" s="338"/>
      <c r="C26" s="348" t="str">
        <f>IF(J24="Italiano","COSTO GIOCATORI",(IF(J24="Español","PRECIO JUGADORES",(IF(J24="Deutsch","WERT SPIELER",(IF(J24="Français","VALEUR DES JOUEURS","COST PLAYERS")))))))</f>
        <v>COST PLAYERS</v>
      </c>
      <c r="D26" s="285"/>
      <c r="E26" s="285"/>
      <c r="F26" s="285"/>
      <c r="G26" s="285"/>
      <c r="H26" s="285"/>
      <c r="I26" s="286"/>
      <c r="J26" s="352">
        <f>(SUM(AN2:AO17))/1000</f>
        <v>980</v>
      </c>
      <c r="K26" s="353"/>
      <c r="L26" s="353"/>
      <c r="M26" s="353"/>
      <c r="N26" s="354" t="str">
        <f>IF(J24="Español","k mo",(IF(J24="Deutsch","k gm",(IF(J24="Français","k po","k gp")))))</f>
        <v>k gp</v>
      </c>
      <c r="O26" s="285"/>
      <c r="P26" s="285"/>
      <c r="Q26" s="286"/>
      <c r="R26" s="341" t="str">
        <f>IF(J24="Italiano","MAZZETTE",(IF(J24="Español","SOBORNOS",(IF(J24="Deutsch","BESTECHUNGEN",(IF(J24="Français","POTS-DE-VIN","BRIBES")))))))</f>
        <v>BRIBES</v>
      </c>
      <c r="S26" s="342"/>
      <c r="T26" s="342"/>
      <c r="U26" s="342"/>
      <c r="V26" s="343"/>
      <c r="W26" s="29">
        <v>0</v>
      </c>
      <c r="X26" s="23" t="s">
        <v>121</v>
      </c>
      <c r="Y26" s="300">
        <f>IFERROR(IF(BV2="Bribery and Corruption",50000,100000),100000)</f>
        <v>100000</v>
      </c>
      <c r="Z26" s="300"/>
      <c r="AA26" s="24" t="str">
        <f t="shared" si="51"/>
        <v>gp</v>
      </c>
      <c r="AB26" s="301">
        <f>IFERROR((W26-Z35)*Y26,0)</f>
        <v>0</v>
      </c>
      <c r="AC26" s="302"/>
      <c r="AD26" s="304" t="s">
        <v>149</v>
      </c>
      <c r="AE26" s="305"/>
      <c r="AF26" s="305"/>
      <c r="AG26" s="305"/>
      <c r="AH26" s="306"/>
      <c r="AI26" s="29">
        <v>0</v>
      </c>
      <c r="AJ26" s="23" t="s">
        <v>121</v>
      </c>
      <c r="AK26" s="300">
        <f>IFERROR(VLOOKUP(AD26,BL64:BM80,2,FALSE),0)</f>
        <v>0</v>
      </c>
      <c r="AL26" s="300"/>
      <c r="AM26" s="24" t="str">
        <f t="shared" si="52"/>
        <v>gp</v>
      </c>
      <c r="AN26" s="301">
        <f t="shared" si="54"/>
        <v>0</v>
      </c>
      <c r="AO26" s="302"/>
      <c r="AP26" s="315"/>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c r="A27" s="337"/>
      <c r="B27" s="338"/>
      <c r="C27" s="344" t="str">
        <f>IF(J24="Italiano","COSTO SQUADRA",(IF(J24="Español","PRECIO EQUIPO",(IF(J24="Deutsch","GESAMTER TEAMWERT",(IF(J24="Français","VALEUR D’ÉQUIPE","TEAM COST")))))))</f>
        <v>TEAM COST</v>
      </c>
      <c r="D27" s="285"/>
      <c r="E27" s="285"/>
      <c r="F27" s="285"/>
      <c r="G27" s="285"/>
      <c r="H27" s="285"/>
      <c r="I27" s="286"/>
      <c r="J27" s="352">
        <f>J25+J26</f>
        <v>1200</v>
      </c>
      <c r="K27" s="353"/>
      <c r="L27" s="353"/>
      <c r="M27" s="353"/>
      <c r="N27" s="354" t="str">
        <f>IF(J24="Español","k mo",(IF(J24="Deutsch","k gm",(IF(J24="Français","k po","k gp")))))</f>
        <v>k gp</v>
      </c>
      <c r="O27" s="285"/>
      <c r="P27" s="285"/>
      <c r="Q27" s="286"/>
      <c r="R27" s="341" t="str">
        <f>IF(J24="Italiano","CAPOCUOCO",(IF(J24="Español","MASTER CHEF",(IF(J24="Deutsch","HALBLING-MEISTERKOCH",(IF(J24="Français","CHEF CUISTOT","MASTER CHEF")))))))</f>
        <v>MASTER CHEF</v>
      </c>
      <c r="S27" s="342"/>
      <c r="T27" s="342"/>
      <c r="U27" s="342"/>
      <c r="V27" s="343"/>
      <c r="W27" s="29">
        <v>0</v>
      </c>
      <c r="X27" s="23" t="s">
        <v>121</v>
      </c>
      <c r="Y27" s="300">
        <f>IFERROR(IF(OR(BO1="Halfling",BO1="Halflings",BO1="Halflinge"),100000,300000),300000)</f>
        <v>300000</v>
      </c>
      <c r="Z27" s="300"/>
      <c r="AA27" s="24" t="str">
        <f t="shared" si="51"/>
        <v>gp</v>
      </c>
      <c r="AB27" s="301">
        <f>IFERROR(IF(U35="NO",W27*Y27,0),0)</f>
        <v>0</v>
      </c>
      <c r="AC27" s="302"/>
      <c r="AD27" s="304" t="s">
        <v>155</v>
      </c>
      <c r="AE27" s="305"/>
      <c r="AF27" s="305"/>
      <c r="AG27" s="305"/>
      <c r="AH27" s="306"/>
      <c r="AI27" s="29">
        <v>0</v>
      </c>
      <c r="AJ27" s="23" t="s">
        <v>121</v>
      </c>
      <c r="AK27" s="300">
        <f>IFERROR(VLOOKUP(AD27,BO65:BP80,2,FALSE),0)</f>
        <v>0</v>
      </c>
      <c r="AL27" s="300"/>
      <c r="AM27" s="24" t="str">
        <f t="shared" si="52"/>
        <v>gp</v>
      </c>
      <c r="AN27" s="301">
        <f t="shared" si="54"/>
        <v>0</v>
      </c>
      <c r="AO27" s="302"/>
      <c r="AP27" s="315"/>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c r="A28" s="337"/>
      <c r="B28" s="338"/>
      <c r="C28" s="344" t="str">
        <f>IF(J24="Italiano","COSTO AVANZAMENTI",(IF(J24="Español","PRECIO SUBIDAS",(IF(J24="Deutsch","WERT DER VERBESSERUNG",(IF(J24="Français","VALEUR AMÉLIORATION","COST UPGRADES")))))))</f>
        <v>COST UPGRADES</v>
      </c>
      <c r="D28" s="285"/>
      <c r="E28" s="285"/>
      <c r="F28" s="285"/>
      <c r="G28" s="285"/>
      <c r="H28" s="285"/>
      <c r="I28" s="286"/>
      <c r="J28" s="352">
        <f>(SUM(BI46:BI61))/1000</f>
        <v>0</v>
      </c>
      <c r="K28" s="353"/>
      <c r="L28" s="353"/>
      <c r="M28" s="353"/>
      <c r="N28" s="354" t="str">
        <f>IF(J24="Español","k mo",(IF(J24="Deutsch","k gm",(IF(J24="Français","k po","k gp")))))</f>
        <v>k gp</v>
      </c>
      <c r="O28" s="285"/>
      <c r="P28" s="285"/>
      <c r="Q28" s="286"/>
      <c r="R28" s="363" t="str">
        <f>IF(J24="Italiano","ESORDIENTI RIBELLI",(IF(J24="Español","NOVATOS ALBOROTADORES",(IF(J24="Deutsch","RANDALIERENDE NEULINGE",(IF(J24="Français","DÉBUTANTS DÉCHAINÉS","RIOTOUS ROOKIES")))))))</f>
        <v>RIOTOUS ROOKIES</v>
      </c>
      <c r="S28" s="300"/>
      <c r="T28" s="300"/>
      <c r="U28" s="300"/>
      <c r="V28" s="364"/>
      <c r="W28" s="30">
        <v>0</v>
      </c>
      <c r="X28" s="23" t="s">
        <v>121</v>
      </c>
      <c r="Y28" s="300">
        <f>IFERROR(IF(BW2="LowCost",100000,0),0)</f>
        <v>0</v>
      </c>
      <c r="Z28" s="300"/>
      <c r="AA28" s="27" t="str">
        <f t="shared" si="51"/>
        <v>gp</v>
      </c>
      <c r="AB28" s="301">
        <f>IFERROR(IF(AE35="NO",W28*Y28,0),0)</f>
        <v>0</v>
      </c>
      <c r="AC28" s="302"/>
      <c r="AD28" s="341" t="str">
        <f>IF(J24="Italiano","MEDICI VAGABONDI",(IF(J24="Español","MÉDICO ERRANTE",(IF(J24="Deutsch","WANDERNDER SANITÄTER",(IF(J24="Français","APO ITINÉRANT","WANDERING APO")))))))</f>
        <v>WANDERING APO</v>
      </c>
      <c r="AE28" s="342"/>
      <c r="AF28" s="342"/>
      <c r="AG28" s="342"/>
      <c r="AH28" s="343"/>
      <c r="AI28" s="29">
        <v>0</v>
      </c>
      <c r="AJ28" s="23" t="s">
        <v>121</v>
      </c>
      <c r="AK28" s="300">
        <f>IFERROR(IF(AK21=0,0,100000),0)</f>
        <v>100000</v>
      </c>
      <c r="AL28" s="300"/>
      <c r="AM28" s="24" t="str">
        <f t="shared" si="52"/>
        <v>gp</v>
      </c>
      <c r="AN28" s="301">
        <f t="shared" si="54"/>
        <v>0</v>
      </c>
      <c r="AO28" s="302"/>
      <c r="AP28" s="315"/>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c r="A29" s="337"/>
      <c r="B29" s="338"/>
      <c r="C29" s="349" t="str">
        <f>IF(J24="Italiano","TESORERIA",(IF(J24="Español","TESORERÍA",(IF(J24="Deutsch","TEAMKASSE",(IF(J24="Français","TRÉSORERIE","TREASURY")))))))</f>
        <v>TREASURY</v>
      </c>
      <c r="D29" s="350"/>
      <c r="E29" s="350"/>
      <c r="F29" s="350"/>
      <c r="G29" s="350"/>
      <c r="H29" s="350"/>
      <c r="I29" s="351"/>
      <c r="J29" s="352">
        <f>(C35/1000)-J27</f>
        <v>0</v>
      </c>
      <c r="K29" s="353"/>
      <c r="L29" s="353"/>
      <c r="M29" s="353"/>
      <c r="N29" s="354" t="str">
        <f>IF(J24="Español","k mo",(IF(J24="Deutsch","k gm",(IF(J24="Français","k po","k gp")))))</f>
        <v>k gp</v>
      </c>
      <c r="O29" s="285"/>
      <c r="P29" s="285"/>
      <c r="Q29" s="286"/>
      <c r="R29" s="341" t="str">
        <f>IF(J24="Italiano","CARTE SPECIALI",(IF(J24="Español","CARTA ESPECIAL",(IF(J24="Deutsch","SONDERKARTEN",(IF(J24="Français","CARTE SPECIALE","SPECIAL CARD")))))))</f>
        <v>SPECIAL CARD</v>
      </c>
      <c r="S29" s="342"/>
      <c r="T29" s="342"/>
      <c r="U29" s="342"/>
      <c r="V29" s="343"/>
      <c r="W29" s="29">
        <v>0</v>
      </c>
      <c r="X29" s="23" t="s">
        <v>121</v>
      </c>
      <c r="Y29" s="300">
        <v>100000</v>
      </c>
      <c r="Z29" s="300"/>
      <c r="AA29" s="24" t="str">
        <f t="shared" si="51"/>
        <v>gp</v>
      </c>
      <c r="AB29" s="301">
        <f>IFERROR(W29*Y29,0)</f>
        <v>0</v>
      </c>
      <c r="AC29" s="302"/>
      <c r="AD29" s="341" t="str">
        <f>IF(J24="Español","ESPÓNSOR","SPONSORS")</f>
        <v>SPONSORS</v>
      </c>
      <c r="AE29" s="342"/>
      <c r="AF29" s="342"/>
      <c r="AG29" s="342"/>
      <c r="AH29" s="343"/>
      <c r="AI29" s="304" t="s">
        <v>165</v>
      </c>
      <c r="AJ29" s="305"/>
      <c r="AK29" s="305"/>
      <c r="AL29" s="305"/>
      <c r="AM29" s="305"/>
      <c r="AN29" s="305"/>
      <c r="AO29" s="306"/>
      <c r="AP29" s="315"/>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c r="A30" s="339"/>
      <c r="B30" s="340"/>
      <c r="C30" s="374" t="str">
        <f>IF(J24="Italiano","VALORE SQUADRA",(IF(J24="Español","VALOR DEL EQUIPO",(IF(J24="Deutsch","TEAMWERT",(IF(J24="Français","VALEUR D’ÉQUIPE ACTUELLE","TEAM VALUE")))))))</f>
        <v>TEAM VALUE</v>
      </c>
      <c r="D30" s="375"/>
      <c r="E30" s="375"/>
      <c r="F30" s="375"/>
      <c r="G30" s="375"/>
      <c r="H30" s="375"/>
      <c r="I30" s="376"/>
      <c r="J30" s="372">
        <f>(J25+(SUM(AQ2:AQ17)))</f>
        <v>1200</v>
      </c>
      <c r="K30" s="372"/>
      <c r="L30" s="372"/>
      <c r="M30" s="372"/>
      <c r="N30" s="372"/>
      <c r="O30" s="372"/>
      <c r="P30" s="372"/>
      <c r="Q30" s="373"/>
      <c r="R30" s="363" t="str">
        <f>IF(J24="Italiano","REGOLE SPECIALI",(IF(J24="Español","REGLA ESPECIAL",(IF(J24="Deutsch","SONDERREGELN",(IF(J24="Français","RÈGLES SPÉCIALES","SPECIAL RULES")))))))</f>
        <v>SPECIAL RULES</v>
      </c>
      <c r="S30" s="300"/>
      <c r="T30" s="300"/>
      <c r="U30" s="300"/>
      <c r="V30" s="364"/>
      <c r="W30" s="365" t="str">
        <f>IFERROR(VLOOKUP(BO1,BL:BU,8,0),"")</f>
        <v>Masters of Undeath, Sylvanian Spotlight</v>
      </c>
      <c r="X30" s="366"/>
      <c r="Y30" s="366"/>
      <c r="Z30" s="366"/>
      <c r="AA30" s="366"/>
      <c r="AB30" s="366"/>
      <c r="AC30" s="366"/>
      <c r="AD30" s="366"/>
      <c r="AE30" s="366"/>
      <c r="AF30" s="366"/>
      <c r="AG30" s="366"/>
      <c r="AH30" s="366"/>
      <c r="AI30" s="366"/>
      <c r="AJ30" s="318" t="s">
        <v>170</v>
      </c>
      <c r="AK30" s="318"/>
      <c r="AL30" s="318"/>
      <c r="AM30" s="319"/>
      <c r="AN30" s="319"/>
      <c r="AO30" s="320"/>
      <c r="AP30" s="315"/>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c r="A31" s="377" t="str">
        <f>IF(J24="Italiano","v4.5 - Creato da dreamscreator",(IF(J24="Español","v4.5 - Creado por dreamscreator",(IF(J24="Deutsch","v4.5 - Erstellt von dreamscreator",(IF(J24="Français","v4.5 Créé par dreamscreator","v4.5 - Created by dreamscreator")))))))</f>
        <v>v4.5 - Created by dreamscreator</v>
      </c>
      <c r="B31" s="377"/>
      <c r="C31" s="377"/>
      <c r="D31" s="371" t="str">
        <f>B65&amp;B66&amp;B67&amp;B68&amp;B69&amp;B70&amp;B71&amp;B72&amp;B73</f>
        <v/>
      </c>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15"/>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c r="A32" s="378" t="str">
        <f>IF(J24="Italiano","Tradotto da Leonida https://bloodbowlhelp.wordpress.com",(IF(J24="Deutsch","Übersetzt von Coach Grong https://bloodbowlhelp.wordpress.com",(IF(J24="Français","Traduit par Fennec https://bloodbowlhelp.wordpress.com","https://bloodbowlhelp.wordpress.com")))))</f>
        <v>https://bloodbowlhelp.wordpress.com</v>
      </c>
      <c r="B32" s="378"/>
      <c r="C32" s="378"/>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15"/>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67" t="str">
        <f>IF(J24="Italiano","REGOLE DEL TORNEO",(IF(J24="Español","REGLAMENTO DEL TORNEO",(IF(J24="Deutsch","TURNIERREGELN",(IF(J24="Français","RÈGLES DE TOURNOI","TOURNEY RULESET")))))))</f>
        <v>TOURNEY RULESET</v>
      </c>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15"/>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68" t="str">
        <f>IF(J24="Italiano","Regole Generali",(IF(J24="Español","Reglas generales",(IF(J24="Deutsch","Allgemeine Regeln",(IF(J24="Français","Règles générales","General rules")))))))</f>
        <v>General rules</v>
      </c>
      <c r="C34" s="368"/>
      <c r="D34" s="368"/>
      <c r="E34" s="368"/>
      <c r="F34" s="368"/>
      <c r="G34" s="368"/>
      <c r="H34" s="368"/>
      <c r="I34" s="368"/>
      <c r="J34" s="368"/>
      <c r="K34" s="368"/>
      <c r="L34" s="368"/>
      <c r="M34" s="368"/>
      <c r="N34" s="368"/>
      <c r="O34" s="368"/>
      <c r="P34" s="369"/>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15"/>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79">
        <v>1200000</v>
      </c>
      <c r="D35" s="380"/>
      <c r="E35" s="321" t="str">
        <f>IF(J24="Español","MAX. ESTRELLAS Y MERCENARIOS",(IF(J24="Deutsch","MAX. STARSPIELER &amp; MERCENARIES",(IF(J24="Français","MERCENAIRE &amp; STARS MAX","MAX. STARS &amp; MERCENARIES")))))</f>
        <v>MAX. STARS &amp; MERCENARIES</v>
      </c>
      <c r="F35" s="322"/>
      <c r="G35" s="322"/>
      <c r="H35" s="322"/>
      <c r="I35" s="322"/>
      <c r="J35" s="323"/>
      <c r="K35" s="37">
        <v>3</v>
      </c>
      <c r="L35" s="321" t="str">
        <f>IF(J24="Español","LINEMEN PRESCINDIBLES",(IF(J24="Deutsch","BILLIGE LINEMEN",(IF(J24="Français","LINEMEN A VIL PRIX","LOW COST LINEMEN")))))</f>
        <v>LOW COST LINEMEN</v>
      </c>
      <c r="M35" s="322"/>
      <c r="N35" s="322"/>
      <c r="O35" s="322"/>
      <c r="P35" s="208" t="s">
        <v>190</v>
      </c>
      <c r="Q35" s="322" t="str">
        <f>IF(J24="Italiano","CAPOCUOCO GRATUITO",(IF(J24="Español","MASTER CHEF GRATIS",(IF(J24="Deutsch","FREIER HALBLING-MEISTERKOCH",(IF(J24="Français","CHEF CUISTOT GRATUIT","FREE MASTER CHEF")))))))</f>
        <v>FREE MASTER CHEF</v>
      </c>
      <c r="R35" s="322"/>
      <c r="S35" s="322"/>
      <c r="T35" s="323"/>
      <c r="U35" s="38" t="s">
        <v>190</v>
      </c>
      <c r="V35" s="321" t="str">
        <f>IF(J24="Italiano","MAZZETTE GRATUITE",(IF(J24="Español","SOBORNOS GRATIS",(IF(J24="Deutsch","FREIE BESTECHUNGEN",(IF(J24="Français","POTS-DE-VIN GRATUIT","FREE BRIBES")))))))</f>
        <v>FREE BRIBES</v>
      </c>
      <c r="W35" s="322"/>
      <c r="X35" s="322"/>
      <c r="Y35" s="323"/>
      <c r="Z35" s="38">
        <v>0</v>
      </c>
      <c r="AA35" s="321" t="str">
        <f>IF(J24="Italiano","ESORDIENTI RIBELLI GRATUITI",(IF(J24="Español","NOVATOS ALBOROTADORES GRATIS",(IF(J24="Deutsch","FREIE RANDALIE- RENDE NEULINGE",(IF(J24="Français","DÉBUTANTS DÉCHAÎNÉS GRATUITS","FREE RIOTOUS ROOKIES")))))))</f>
        <v>FREE RIOTOUS ROOKIES</v>
      </c>
      <c r="AB35" s="322"/>
      <c r="AC35" s="322"/>
      <c r="AD35" s="323"/>
      <c r="AE35" s="38" t="s">
        <v>190</v>
      </c>
      <c r="AF35" s="321" t="str">
        <f>IF(J24="Italiano","MEDICO GRATUITO",(IF(J24="Español","MÉDICO GRATIS",(IF(J24="Deutsch","FREIER SANITÄTER",(IF(J24="Français","APOTHICAIRE GRATUIT","FREE APOTHECARY")))))))</f>
        <v>FREE APOTHECARY</v>
      </c>
      <c r="AG35" s="322"/>
      <c r="AH35" s="322"/>
      <c r="AI35" s="323"/>
      <c r="AJ35" s="37" t="s">
        <v>190</v>
      </c>
      <c r="AK35" s="321" t="str">
        <f>IF(J24="Italiano","FUSTO BLOODWEISER GRATUITO",(IF(J24="Español","BARRILES BLOODWEISER GRATIS",(IF(J24="Deutsch","FREIE BLOOD- WEISER FÄSSER",(IF(J24="Français","FÛTS DE BLOOWEISER GRATUIT","FREE BLOODWEISER KEGS")))))))</f>
        <v>FREE BLOODWEISER KEGS</v>
      </c>
      <c r="AL35" s="322"/>
      <c r="AM35" s="322"/>
      <c r="AN35" s="323"/>
      <c r="AO35" s="38">
        <v>0</v>
      </c>
      <c r="AP35" s="315"/>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70" t="str">
        <f>IF(J24="Italiano","Regole Abilità",(IF(J24="Español","Reglas habilidades",(IF(J24="Deutsch","Regelkenntnisse",(IF(J24="Français","Compétences en matière de règles","Rules skills")))))))</f>
        <v>Rules skills</v>
      </c>
      <c r="C36" s="370"/>
      <c r="D36" s="370"/>
      <c r="E36" s="370"/>
      <c r="F36" s="370"/>
      <c r="G36" s="370"/>
      <c r="H36" s="370"/>
      <c r="I36" s="370"/>
      <c r="J36" s="370"/>
      <c r="K36" s="370"/>
      <c r="L36" s="370"/>
      <c r="M36" s="370"/>
      <c r="N36" s="370"/>
      <c r="O36" s="370"/>
      <c r="P36" s="369"/>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15"/>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324">
        <v>6</v>
      </c>
      <c r="D37" s="325"/>
      <c r="E37" s="321" t="str">
        <f>IF(J24="Italiano","MAX. PRIMARIE",(IF(J24="Español","MAX. PRIMARIAS",(IF(J24="Deutsch","MAX. PRIMÄRE",(IF(J24="Français","COMP PRIMAIRES MAX","MAX. PRIMARY")))))))</f>
        <v>MAX. PRIMARY</v>
      </c>
      <c r="F37" s="322"/>
      <c r="G37" s="322"/>
      <c r="H37" s="322"/>
      <c r="I37" s="322"/>
      <c r="J37" s="323"/>
      <c r="K37" s="324">
        <v>6</v>
      </c>
      <c r="L37" s="325"/>
      <c r="M37" s="321" t="str">
        <f>IF(J24="Italiano","MAX. SECONDARIE",(IF(J24="Español","MAX. SECUNDARIAS",(IF(J24="Deutsch","MAX. SEKUNDÄRE",(IF(J24="Français","COMP SECONDAIRES MAX","MAX. SECONDARY")))))))</f>
        <v>MAX. SECONDARY</v>
      </c>
      <c r="N37" s="322"/>
      <c r="O37" s="322"/>
      <c r="P37" s="323"/>
      <c r="Q37" s="324">
        <v>1</v>
      </c>
      <c r="R37" s="325"/>
      <c r="S37" s="321" t="str">
        <f>IF(J24="Italiano","MAX. STATISTICHE",(IF(J24="Español","MAX. ATRIBUTOS",(IF(J24="Deutsch","MAX. EIGENSCHAFTEN",(IF(J24="Français","CARACTÉRISTIQUES MAX","MAX. STATS")))))))</f>
        <v>MAX. STATS</v>
      </c>
      <c r="T37" s="322"/>
      <c r="U37" s="322"/>
      <c r="V37" s="323"/>
      <c r="W37" s="324" t="s">
        <v>190</v>
      </c>
      <c r="X37" s="325"/>
      <c r="Y37" s="326" t="str">
        <f>IF(J24="Italiano","SPP DA SPENDERE",(IF(J24="Español","SPP PARA GASTAR",(IF(J24="Deutsch","SPP ZUM AUSGEBEN",(IF(J24="Français","PSP À DÉPENSER","SPP TO EXPEND")))))))</f>
        <v>SPP TO EXPEND</v>
      </c>
      <c r="Z37" s="327"/>
      <c r="AA37" s="327"/>
      <c r="AB37" s="328"/>
      <c r="AC37" s="324" t="s">
        <v>190</v>
      </c>
      <c r="AD37" s="325"/>
      <c r="AE37" s="326"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327"/>
      <c r="AG37" s="327"/>
      <c r="AH37" s="327"/>
      <c r="AI37" s="328"/>
      <c r="AJ37" s="324" t="s">
        <v>190</v>
      </c>
      <c r="AK37" s="325"/>
      <c r="AL37" s="25"/>
      <c r="AM37" s="25"/>
      <c r="AN37" s="25"/>
      <c r="AO37" s="25"/>
      <c r="AP37" s="315"/>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324" t="s">
        <v>190</v>
      </c>
      <c r="D38" s="325"/>
      <c r="E38" s="326" t="str">
        <f>IF(J24="Italiano","COSTO SECONDARIE",(IF(J24="Español","COSTE SECUNDARIAS",(IF(J24="Deutsch","Σ SEKUNDÄRE",(IF(J24="Français","COÛT EN SECONDAIRES","COST SECONDARY")))))))</f>
        <v>COST SECONDARY</v>
      </c>
      <c r="F38" s="327"/>
      <c r="G38" s="327"/>
      <c r="H38" s="327"/>
      <c r="I38" s="327"/>
      <c r="J38" s="328"/>
      <c r="K38" s="324" t="s">
        <v>190</v>
      </c>
      <c r="L38" s="325"/>
      <c r="M38" s="326" t="str">
        <f>IF(J24="Italiano","COSTO MA",(IF(J24="Español","COSTE MO",(IF(J24="Deutsch","Σ BE",(IF(J24="Français","COÛT EN M","COST MA")))))))</f>
        <v>COST MA</v>
      </c>
      <c r="N38" s="327"/>
      <c r="O38" s="328"/>
      <c r="P38" s="324" t="s">
        <v>190</v>
      </c>
      <c r="Q38" s="325"/>
      <c r="R38" s="326" t="str">
        <f>IF(J24="Italiano","COSTO ST",(IF(J24="Español","COSTE FU",(IF(J24="Deutsch","Σ ST",(IF(J24="Français","COÛT EN F","COST ST")))))))</f>
        <v>COST ST</v>
      </c>
      <c r="S38" s="327"/>
      <c r="T38" s="328"/>
      <c r="U38" s="324" t="s">
        <v>190</v>
      </c>
      <c r="V38" s="325"/>
      <c r="W38" s="326" t="str">
        <f>IF(J24="Italiano","COSTO PA",(IF(J24="Español","COSTE PA",(IF(J24="Deutsch","Σ WG",(IF(J24="Français","COÛT EN CP","COST PA")))))))</f>
        <v>COST PA</v>
      </c>
      <c r="X38" s="327"/>
      <c r="Y38" s="328"/>
      <c r="Z38" s="324" t="s">
        <v>190</v>
      </c>
      <c r="AA38" s="325"/>
      <c r="AB38" s="326" t="str">
        <f>IF(J24="Italiano","COSTO AG",(IF(J24="Español","COSTE AG",(IF(J24="Deutsch","Σ GE",(IF(J24="Français","COÛT EN AG","COST AG")))))))</f>
        <v>COST AG</v>
      </c>
      <c r="AC38" s="327"/>
      <c r="AD38" s="328"/>
      <c r="AE38" s="324" t="s">
        <v>190</v>
      </c>
      <c r="AF38" s="325"/>
      <c r="AG38" s="326" t="str">
        <f>IF(J24="Italiano","COSTO AV",(IF(J24="Español","COSTE AR",(IF(J24="Deutsch","Σ RW",(IF(J24="Français","COÛT EN AR","COST AV")))))))</f>
        <v>COST AV</v>
      </c>
      <c r="AH38" s="327"/>
      <c r="AI38" s="328"/>
      <c r="AJ38" s="324" t="s">
        <v>190</v>
      </c>
      <c r="AK38" s="325"/>
      <c r="AL38" s="25"/>
      <c r="AM38" s="25"/>
      <c r="AN38" s="25"/>
      <c r="AO38" s="25"/>
      <c r="AP38" s="315"/>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369" t="str">
        <f>IF(J24="Italiano","Riassunto della squadra",(IF(J24="Español","Resumen del equipo",(IF(J24="Deutsch","Zusammenfassung der Mannschaft",(IF(J24="Français","Résumé de l'équipe","Team summary")))))))</f>
        <v>Team summary</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15"/>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3"/>
      <c r="B40" s="272" t="str">
        <f>IF(J24="Italiano","VALORE SQUADRA",(IF(J24="Español","VALOR DEL EQUIPO",(IF(J24="Deutsch","TEAMWERT",(IF(J24="Français","VALEUR D’ÉQUIPE ACTUELLE","TEAM VALUE")))))))</f>
        <v>TEAM VALUE</v>
      </c>
      <c r="C40" s="290">
        <f>J30</f>
        <v>1200</v>
      </c>
      <c r="D40" s="290"/>
      <c r="E40" s="289" t="str">
        <f>IF(J24="Italiano","NUMERO DI GIOCATORI",(IF(J24="Español","NÚMERO JUGADORES",(IF(J24="Deutsch","ANZAHL DER SPIELER",(IF(J24="Français","NOMBRE DE JOUEURS","NUMBER OF PLAYERS")))))))</f>
        <v>NUMBER OF PLAYERS</v>
      </c>
      <c r="F40" s="289"/>
      <c r="G40" s="289"/>
      <c r="H40" s="289"/>
      <c r="I40" s="289"/>
      <c r="J40" s="289"/>
      <c r="K40" s="289"/>
      <c r="L40" s="290">
        <f>COUNTA(C2:F17)</f>
        <v>12</v>
      </c>
      <c r="M40" s="290"/>
      <c r="N40" s="289" t="str">
        <f>IF(J24="Italiano","NUMERO DI GIOCATORI DI SPICCO",(IF(J24="Español","NÚMERO JUGADORES ESTRELLA",(IF(J24="Deutsch","ANZAHL DER STARSPIELER",(IF(J24="Français","NOMBRE DE JOUEURS VEDETTES","NUMBER OF STAR PLAYERS")))))))</f>
        <v>NUMBER OF STAR PLAYERS</v>
      </c>
      <c r="O40" s="289"/>
      <c r="P40" s="289"/>
      <c r="Q40" s="289"/>
      <c r="R40" s="289"/>
      <c r="S40" s="290">
        <f>COUNTA(C18:F20)</f>
        <v>0</v>
      </c>
      <c r="T40" s="290"/>
      <c r="U40" s="289" t="str">
        <f>IF(J24="Italiano","NUMERO DI ABILITÀ",(IF(J24="Español","NÚMERO HABILIDADES",(IF(J24="Deutsch","ZIFFERNKENNTNISSE",(IF(J24="Français","NOMBRE DE COMPÉTENCES","NUMBER OF SKILLS")))))))</f>
        <v>NUMBER OF SKILLS</v>
      </c>
      <c r="V40" s="289"/>
      <c r="W40" s="289"/>
      <c r="X40" s="289"/>
      <c r="Y40" s="289"/>
      <c r="Z40" s="293">
        <f>AZ65</f>
        <v>6</v>
      </c>
      <c r="AA40" s="293"/>
      <c r="AB40" s="289" t="str">
        <f>IF(J24="Italiano","COSTO TOTAL ABILITÀ",(IF(J24="Español","COSTE TOTAL HABILIDADES",(IF(J24="Deutsch","TOTAL KOSTENKOMPETENZEN",(IF(J24="Français","TOTAL COÛT EN COMPÉTENCES","TOTAL COST SKILLS")))))))</f>
        <v>TOTAL COST SKILLS</v>
      </c>
      <c r="AC40" s="289"/>
      <c r="AD40" s="289"/>
      <c r="AE40" s="289"/>
      <c r="AF40" s="289"/>
      <c r="AG40" s="292">
        <f>L41+Z41+AN41</f>
        <v>0</v>
      </c>
      <c r="AH40" s="293"/>
      <c r="AI40" s="289" t="str">
        <f>IF(J24="Italiano","SPP TOTALI",(IF(J24="Español","SPP TOTALES",(IF(J24="Deutsch","GESAMTE SPP",(IF(J24="Français","TOTAL PSP","TOTAL SPP")))))))</f>
        <v>TOTAL SPP</v>
      </c>
      <c r="AJ40" s="289"/>
      <c r="AK40" s="289"/>
      <c r="AL40" s="289"/>
      <c r="AM40" s="289"/>
      <c r="AN40" s="292">
        <f>SUM(AM2:AM17)</f>
        <v>0</v>
      </c>
      <c r="AO40" s="293"/>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3"/>
      <c r="B41" s="272" t="str">
        <f>IF(J24="Italiano","NUMERO DI ABILITÀ PRIMARIE",(IF(J24="Español","NÚMERO HABILIDADES PRIMARIAS",(IF(J24="Deutsch","ANZAHL DER GRUNDFERTIGKEITEN",(IF(J24="Français","NOMBRE DE COMPÉTENCES PRIMAIRES","NUMBER OF PRIMARY SKILLS")))))))</f>
        <v>NUMBER OF PRIMARY SKILLS</v>
      </c>
      <c r="C41" s="290">
        <f>AX65</f>
        <v>6</v>
      </c>
      <c r="D41" s="290"/>
      <c r="E41" s="289" t="str">
        <f>IF(J24="Italiano","COSTO PRIMARIE",(IF(J24="Español","COSTE PRIMARIAS",(IF(J24="Deutsch","Σ PRIMÄRE",(IF(J24="Français","COÛT EN PRIMAIRES","COST PRIMARY")))))))</f>
        <v>COST PRIMARY</v>
      </c>
      <c r="F41" s="289"/>
      <c r="G41" s="289"/>
      <c r="H41" s="289"/>
      <c r="I41" s="289"/>
      <c r="J41" s="289"/>
      <c r="K41" s="289"/>
      <c r="L41" s="290">
        <f>IFERROR(((COUNTIF(CG46:CL61,C38))*C38),0)</f>
        <v>0</v>
      </c>
      <c r="M41" s="290"/>
      <c r="N41" s="289" t="str">
        <f>IF(J24="Italiano","NUMERO DI ABILITÀ SECONDARIE",(IF(J24="Español","NÚMERO HABILIDADES SECUNDARIAS",(IF(J24="Deutsch","ANZAHL DER SEKUNDÄREN FÄHIGKEITEN",(IF(J24="Français","NOMBRE DE COMPÉTENCES SECONDAIRES","NUMBER OF SECONDARY SKILLS")))))))</f>
        <v>NUMBER OF SECONDARY SKILLS</v>
      </c>
      <c r="O41" s="289"/>
      <c r="P41" s="289"/>
      <c r="Q41" s="289"/>
      <c r="R41" s="289"/>
      <c r="S41" s="293">
        <f>AY65</f>
        <v>0</v>
      </c>
      <c r="T41" s="293"/>
      <c r="U41" s="289" t="str">
        <f>IF(J24="Italiano","COSTO SECONDARIE",(IF(J24="Español","COSTE SECUNDARIAS",(IF(J24="Deutsch","Σ SEKUNDÄRE",(IF(J24="Français","COÛT EN SECONDAIRES","COST SECONDARY")))))))</f>
        <v>COST SECONDARY</v>
      </c>
      <c r="V41" s="289"/>
      <c r="W41" s="289"/>
      <c r="X41" s="289"/>
      <c r="Y41" s="289"/>
      <c r="Z41" s="292">
        <f>IFERROR(((COUNTIF(CG46:CL61,K38))*K38),0)</f>
        <v>0</v>
      </c>
      <c r="AA41" s="293"/>
      <c r="AB41" s="289" t="str">
        <f>IF(J24="Italiano","NUMERO DI STATISTICHE",(IF(J24="Español","NÚMERO ATRIBUTOS",(IF(J24="Deutsch","ANZAHL DER ATTRIBUTE",(IF(J24="Français","NOMBRE DE CARACTÉRISTIQUES","NUMBER OF STATS")))))))</f>
        <v>NUMBER OF STATS</v>
      </c>
      <c r="AC41" s="289"/>
      <c r="AD41" s="289"/>
      <c r="AE41" s="289"/>
      <c r="AF41" s="289"/>
      <c r="AG41" s="293">
        <f>BA65</f>
        <v>0</v>
      </c>
      <c r="AH41" s="293"/>
      <c r="AI41" s="289" t="str">
        <f>IF(J24="Italiano","COSTO STATISTICHE",(IF(J24="Español","COSTE ATRIBUTOS",(IF(J24="Deutsch","Σ  EIGENSCHAFTEN",(IF(J24="Français","COÛT EN CARACTÉRISTIQUES","COST STATS")))))))</f>
        <v>COST STATS</v>
      </c>
      <c r="AJ41" s="289"/>
      <c r="AK41" s="289"/>
      <c r="AL41" s="289"/>
      <c r="AM41" s="289"/>
      <c r="AN41" s="292">
        <f>SUM(CN46:CS61)</f>
        <v>0</v>
      </c>
      <c r="AO41" s="293"/>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29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356" t="s">
        <v>203</v>
      </c>
      <c r="BL45" s="357"/>
      <c r="BM45" s="357"/>
      <c r="BN45" s="357"/>
      <c r="BO45" s="357"/>
      <c r="BP45" s="357"/>
      <c r="BQ45" s="5"/>
      <c r="BR45" s="5"/>
      <c r="BS45" s="356" t="s">
        <v>204</v>
      </c>
      <c r="BT45" s="357"/>
      <c r="BU45" s="357"/>
      <c r="BV45" s="357"/>
      <c r="BW45" s="357"/>
      <c r="BX45" s="357"/>
      <c r="BY45" s="207"/>
      <c r="BZ45" s="356" t="s">
        <v>205</v>
      </c>
      <c r="CA45" s="381"/>
      <c r="CB45" s="381"/>
      <c r="CC45" s="381"/>
      <c r="CD45" s="381"/>
      <c r="CE45" s="381"/>
      <c r="CF45" s="207"/>
      <c r="CG45" s="356" t="s">
        <v>206</v>
      </c>
      <c r="CH45" s="357"/>
      <c r="CI45" s="357"/>
      <c r="CJ45" s="357"/>
      <c r="CK45" s="357"/>
      <c r="CL45" s="357"/>
      <c r="CM45" s="5"/>
      <c r="CN45" s="356" t="s">
        <v>207</v>
      </c>
      <c r="CO45" s="357"/>
      <c r="CP45" s="357"/>
      <c r="CQ45" s="357"/>
      <c r="CR45" s="357"/>
      <c r="CS45" s="357"/>
      <c r="CT45" s="5"/>
      <c r="CU45" s="356" t="s">
        <v>208</v>
      </c>
      <c r="CV45" s="357"/>
      <c r="CW45" s="357"/>
      <c r="CX45" s="357"/>
      <c r="CY45" s="357"/>
      <c r="CZ45" s="357"/>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Flesh Golem</v>
      </c>
      <c r="AY46" s="5" t="str">
        <f>IFERROR((VLOOKUP($BO$1&amp;C2,Teams!D:S,12,0)),0)</f>
        <v>P</v>
      </c>
      <c r="AZ46" s="5" t="str">
        <f>IFERROR((VLOOKUP($BO$1&amp;C2,Teams!D:S,13,0)),0)</f>
        <v>S</v>
      </c>
      <c r="BA46" s="5" t="str">
        <f>IFERROR((VLOOKUP($BO$1&amp;C2,Teams!D:S,14,0)),0)</f>
        <v>P</v>
      </c>
      <c r="BB46" s="5">
        <f>IFERROR((VLOOKUP($BO$1&amp;C2,Teams!D:S,15,0)),0)</f>
        <v>0</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G</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P</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6</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Flesh Golem</v>
      </c>
      <c r="AY47" s="152" t="str">
        <f>IFERROR((VLOOKUP($BO$1&amp;C3,Teams!D:S,12,0)),0)</f>
        <v>P</v>
      </c>
      <c r="AZ47" s="152" t="str">
        <f>IFERROR((VLOOKUP($BO$1&amp;C3,Teams!D:S,13,0)),0)</f>
        <v>S</v>
      </c>
      <c r="BA47" s="152" t="str">
        <f>IFERROR((VLOOKUP($BO$1&amp;C3,Teams!D:S,14,0)),0)</f>
        <v>P</v>
      </c>
      <c r="BB47" s="152">
        <f>IFERROR((VLOOKUP($BO$1&amp;C3,Teams!D:S,15,0)),0)</f>
        <v>0</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t="str">
        <f t="shared" si="61"/>
        <v>G</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Wraiths</v>
      </c>
      <c r="AY48" s="152" t="str">
        <f>IFERROR((VLOOKUP($BO$1&amp;C4,Teams!D:S,12,0)),0)</f>
        <v>P</v>
      </c>
      <c r="AZ48" s="152" t="str">
        <f>IFERROR((VLOOKUP($BO$1&amp;C4,Teams!D:S,13,0)),0)</f>
        <v>S</v>
      </c>
      <c r="BA48" s="152" t="str">
        <f>IFERROR((VLOOKUP($BO$1&amp;C4,Teams!D:S,14,0)),0)</f>
        <v>P</v>
      </c>
      <c r="BB48" s="152">
        <f>IFERROR((VLOOKUP($BO$1&amp;C4,Teams!D:S,15,0)),0)</f>
        <v>0</v>
      </c>
      <c r="BC48" s="152">
        <f>IFERROR((VLOOKUP($BO$1&amp;C4,Teams!D:S,16,0)),0)</f>
        <v>0</v>
      </c>
      <c r="BD48" s="5">
        <f t="shared" si="82"/>
        <v>0</v>
      </c>
      <c r="BE48" s="5">
        <f t="shared" si="56"/>
        <v>0</v>
      </c>
      <c r="BF48" s="5">
        <f t="shared" si="57"/>
        <v>0</v>
      </c>
      <c r="BG48" s="5">
        <f t="shared" si="58"/>
        <v>0</v>
      </c>
      <c r="BH48" s="5">
        <f t="shared" si="59"/>
        <v>0</v>
      </c>
      <c r="BI48" s="5">
        <f t="shared" si="60"/>
        <v>0</v>
      </c>
      <c r="BJ48" s="14"/>
      <c r="BK48" s="5" t="str">
        <f t="shared" si="61"/>
        <v>S</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Wraiths</v>
      </c>
      <c r="AY49" s="152" t="str">
        <f>IFERROR((VLOOKUP($BO$1&amp;C5,Teams!D:S,12,0)),0)</f>
        <v>P</v>
      </c>
      <c r="AZ49" s="152" t="str">
        <f>IFERROR((VLOOKUP($BO$1&amp;C5,Teams!D:S,13,0)),0)</f>
        <v>S</v>
      </c>
      <c r="BA49" s="152" t="str">
        <f>IFERROR((VLOOKUP($BO$1&amp;C5,Teams!D:S,14,0)),0)</f>
        <v>P</v>
      </c>
      <c r="BB49" s="152">
        <f>IFERROR((VLOOKUP($BO$1&amp;C5,Teams!D:S,15,0)),0)</f>
        <v>0</v>
      </c>
      <c r="BC49" s="152">
        <f>IFERROR((VLOOKUP($BO$1&amp;C5,Teams!D:S,16,0)),0)</f>
        <v>0</v>
      </c>
      <c r="BD49" s="5">
        <f t="shared" si="82"/>
        <v>0</v>
      </c>
      <c r="BE49" s="5">
        <f t="shared" si="56"/>
        <v>0</v>
      </c>
      <c r="BF49" s="5">
        <f t="shared" si="57"/>
        <v>0</v>
      </c>
      <c r="BG49" s="5">
        <f t="shared" si="58"/>
        <v>0</v>
      </c>
      <c r="BH49" s="5">
        <f t="shared" si="59"/>
        <v>0</v>
      </c>
      <c r="BI49" s="5">
        <f t="shared" si="60"/>
        <v>0</v>
      </c>
      <c r="BJ49" s="14"/>
      <c r="BK49" s="5">
        <f t="shared" si="61"/>
        <v>0</v>
      </c>
      <c r="BL49" s="5">
        <f t="shared" si="62"/>
        <v>0</v>
      </c>
      <c r="BM49" s="5">
        <f t="shared" si="63"/>
        <v>0</v>
      </c>
      <c r="BN49" s="5">
        <f t="shared" si="64"/>
        <v>0</v>
      </c>
      <c r="BO49" s="152"/>
      <c r="BP49" s="152"/>
      <c r="BQ49" s="14"/>
      <c r="BR49" s="14"/>
      <c r="BS49" s="5">
        <f t="shared" si="65"/>
        <v>0</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f t="shared" ref="CG49:CL49" si="94">IF(BS49="P",$C$38,(IF(BS49="S",$K$38,0)))</f>
        <v>0</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0</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t="str">
        <f t="shared" si="55"/>
        <v>Werewolf</v>
      </c>
      <c r="AY50" s="152" t="str">
        <f>IFERROR((VLOOKUP($BO$1&amp;C6,Teams!D:S,12,0)),0)</f>
        <v>P</v>
      </c>
      <c r="AZ50" s="152" t="str">
        <f>IFERROR((VLOOKUP($BO$1&amp;C6,Teams!D:S,13,0)),0)</f>
        <v>P</v>
      </c>
      <c r="BA50" s="152" t="str">
        <f>IFERROR((VLOOKUP($BO$1&amp;C6,Teams!D:S,14,0)),0)</f>
        <v>S</v>
      </c>
      <c r="BB50" s="152" t="str">
        <f>IFERROR((VLOOKUP($BO$1&amp;C6,Teams!D:S,15,0)),0)</f>
        <v>S</v>
      </c>
      <c r="BC50" s="152">
        <f>IFERROR((VLOOKUP($BO$1&amp;C6,Teams!D:S,16,0)),0)</f>
        <v>0</v>
      </c>
      <c r="BD50" s="5">
        <f t="shared" si="82"/>
        <v>0</v>
      </c>
      <c r="BE50" s="5">
        <f t="shared" si="56"/>
        <v>0</v>
      </c>
      <c r="BF50" s="5">
        <f t="shared" si="57"/>
        <v>0</v>
      </c>
      <c r="BG50" s="5">
        <f t="shared" si="58"/>
        <v>0</v>
      </c>
      <c r="BH50" s="5">
        <f t="shared" si="59"/>
        <v>0</v>
      </c>
      <c r="BI50" s="5">
        <f t="shared" si="60"/>
        <v>0</v>
      </c>
      <c r="BJ50" s="14"/>
      <c r="BK50" s="5" t="str">
        <f t="shared" si="61"/>
        <v>G</v>
      </c>
      <c r="BL50" s="5">
        <f t="shared" si="62"/>
        <v>0</v>
      </c>
      <c r="BM50" s="5">
        <f t="shared" si="63"/>
        <v>0</v>
      </c>
      <c r="BN50" s="5">
        <f t="shared" si="64"/>
        <v>0</v>
      </c>
      <c r="BO50" s="152"/>
      <c r="BP50" s="152"/>
      <c r="BQ50" s="14"/>
      <c r="BR50" s="14"/>
      <c r="BS50" s="5" t="str">
        <f t="shared" si="65"/>
        <v>P</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t="str">
        <f t="shared" ref="CG50:CL50" si="95">IF(BS50="P",$C$38,(IF(BS50="S",$K$38,0)))</f>
        <v>NO</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6</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t="str">
        <f t="shared" si="55"/>
        <v>Werewolf</v>
      </c>
      <c r="AY51" s="152" t="str">
        <f>IFERROR((VLOOKUP($BO$1&amp;C7,Teams!D:S,12,0)),0)</f>
        <v>P</v>
      </c>
      <c r="AZ51" s="152" t="str">
        <f>IFERROR((VLOOKUP($BO$1&amp;C7,Teams!D:S,13,0)),0)</f>
        <v>P</v>
      </c>
      <c r="BA51" s="152" t="str">
        <f>IFERROR((VLOOKUP($BO$1&amp;C7,Teams!D:S,14,0)),0)</f>
        <v>S</v>
      </c>
      <c r="BB51" s="152" t="str">
        <f>IFERROR((VLOOKUP($BO$1&amp;C7,Teams!D:S,15,0)),0)</f>
        <v>S</v>
      </c>
      <c r="BC51" s="152">
        <f>IFERROR((VLOOKUP($BO$1&amp;C7,Teams!D:S,16,0)),0)</f>
        <v>0</v>
      </c>
      <c r="BD51" s="5">
        <f t="shared" si="82"/>
        <v>0</v>
      </c>
      <c r="BE51" s="5">
        <f t="shared" si="56"/>
        <v>0</v>
      </c>
      <c r="BF51" s="5">
        <f t="shared" si="57"/>
        <v>0</v>
      </c>
      <c r="BG51" s="5">
        <f t="shared" si="58"/>
        <v>0</v>
      </c>
      <c r="BH51" s="5">
        <f t="shared" si="59"/>
        <v>0</v>
      </c>
      <c r="BI51" s="5">
        <f>SUM(CG51:CS51)</f>
        <v>0</v>
      </c>
      <c r="BJ51" s="5"/>
      <c r="BK51" s="5" t="str">
        <f t="shared" si="61"/>
        <v>G</v>
      </c>
      <c r="BL51" s="5">
        <f t="shared" si="62"/>
        <v>0</v>
      </c>
      <c r="BM51" s="5">
        <f t="shared" si="63"/>
        <v>0</v>
      </c>
      <c r="BN51" s="5">
        <f t="shared" si="64"/>
        <v>0</v>
      </c>
      <c r="BO51" s="152"/>
      <c r="BP51" s="152"/>
      <c r="BQ51" s="14"/>
      <c r="BR51" s="14"/>
      <c r="BS51" s="5" t="str">
        <f t="shared" si="65"/>
        <v>P</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t="str">
        <f t="shared" ref="CG51:CL51" si="96">IF(BS51="P",$C$38,(IF(BS51="S",$K$38,0)))</f>
        <v>NO</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6</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t="str">
        <f t="shared" si="55"/>
        <v>Ghoul</v>
      </c>
      <c r="AY52" s="152" t="str">
        <f>IFERROR((VLOOKUP($BO$1&amp;C8,Teams!D:S,12,0)),0)</f>
        <v>P</v>
      </c>
      <c r="AZ52" s="152" t="str">
        <f>IFERROR((VLOOKUP($BO$1&amp;C8,Teams!D:S,13,0)),0)</f>
        <v>P</v>
      </c>
      <c r="BA52" s="152" t="str">
        <f>IFERROR((VLOOKUP($BO$1&amp;C8,Teams!D:S,14,0)),0)</f>
        <v>S</v>
      </c>
      <c r="BB52" s="152" t="str">
        <f>IFERROR((VLOOKUP($BO$1&amp;C8,Teams!D:S,15,0)),0)</f>
        <v>S</v>
      </c>
      <c r="BC52" s="152">
        <f>IFERROR((VLOOKUP($BO$1&amp;C8,Teams!D:S,16,0)),0)</f>
        <v>0</v>
      </c>
      <c r="BD52" s="5">
        <f t="shared" si="82"/>
        <v>0</v>
      </c>
      <c r="BE52" s="5">
        <f t="shared" si="56"/>
        <v>0</v>
      </c>
      <c r="BF52" s="5">
        <f t="shared" si="57"/>
        <v>0</v>
      </c>
      <c r="BG52" s="5">
        <f t="shared" si="58"/>
        <v>0</v>
      </c>
      <c r="BH52" s="5">
        <f t="shared" si="59"/>
        <v>0</v>
      </c>
      <c r="BI52" s="5">
        <f t="shared" si="60"/>
        <v>0</v>
      </c>
      <c r="BJ52" s="5"/>
      <c r="BK52" s="5" t="str">
        <f t="shared" si="61"/>
        <v>G</v>
      </c>
      <c r="BL52" s="5">
        <f t="shared" si="62"/>
        <v>0</v>
      </c>
      <c r="BM52" s="5">
        <f t="shared" si="63"/>
        <v>0</v>
      </c>
      <c r="BN52" s="5">
        <f t="shared" si="64"/>
        <v>0</v>
      </c>
      <c r="BO52" s="152"/>
      <c r="BP52" s="152"/>
      <c r="BQ52" s="14"/>
      <c r="BR52" s="14"/>
      <c r="BS52" s="5" t="str">
        <f t="shared" si="65"/>
        <v>P</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t="str">
        <f t="shared" ref="CG52:CL52" si="97">IF(BS52="P",$C$38,(IF(BS52="S",$K$38,0)))</f>
        <v>NO</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6</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t="str">
        <f t="shared" si="55"/>
        <v>Ghoul</v>
      </c>
      <c r="AY53" s="152" t="str">
        <f>IFERROR((VLOOKUP($BO$1&amp;C9,Teams!D:S,12,0)),0)</f>
        <v>P</v>
      </c>
      <c r="AZ53" s="152" t="str">
        <f>IFERROR((VLOOKUP($BO$1&amp;C9,Teams!D:S,13,0)),0)</f>
        <v>P</v>
      </c>
      <c r="BA53" s="152" t="str">
        <f>IFERROR((VLOOKUP($BO$1&amp;C9,Teams!D:S,14,0)),0)</f>
        <v>S</v>
      </c>
      <c r="BB53" s="152" t="str">
        <f>IFERROR((VLOOKUP($BO$1&amp;C9,Teams!D:S,15,0)),0)</f>
        <v>S</v>
      </c>
      <c r="BC53" s="152">
        <f>IFERROR((VLOOKUP($BO$1&amp;C9,Teams!D:S,16,0)),0)</f>
        <v>0</v>
      </c>
      <c r="BD53" s="5">
        <f t="shared" si="82"/>
        <v>0</v>
      </c>
      <c r="BE53" s="5">
        <f t="shared" si="56"/>
        <v>0</v>
      </c>
      <c r="BF53" s="5">
        <f t="shared" si="57"/>
        <v>0</v>
      </c>
      <c r="BG53" s="5">
        <f t="shared" si="58"/>
        <v>0</v>
      </c>
      <c r="BH53" s="5">
        <f t="shared" si="59"/>
        <v>0</v>
      </c>
      <c r="BI53" s="5">
        <f t="shared" si="60"/>
        <v>0</v>
      </c>
      <c r="BJ53" s="5"/>
      <c r="BK53" s="5">
        <f t="shared" si="61"/>
        <v>0</v>
      </c>
      <c r="BL53" s="5">
        <f t="shared" si="62"/>
        <v>0</v>
      </c>
      <c r="BM53" s="5">
        <f t="shared" si="63"/>
        <v>0</v>
      </c>
      <c r="BN53" s="5">
        <f t="shared" si="64"/>
        <v>0</v>
      </c>
      <c r="BO53" s="152"/>
      <c r="BP53" s="152"/>
      <c r="BQ53" s="14"/>
      <c r="BR53" s="14"/>
      <c r="BS53" s="5">
        <f t="shared" si="65"/>
        <v>0</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f t="shared" ref="CG53:CL53" si="98">IF(BS53="P",$C$38,(IF(BS53="S",$K$38,0)))</f>
        <v>0</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0</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Zombie</v>
      </c>
      <c r="AY54" s="152" t="str">
        <f>IFERROR((VLOOKUP($BO$1&amp;C10,Teams!D:S,12,0)),0)</f>
        <v>P</v>
      </c>
      <c r="AZ54" s="152" t="str">
        <f>IFERROR((VLOOKUP($BO$1&amp;C10,Teams!D:S,13,0)),0)</f>
        <v>S</v>
      </c>
      <c r="BA54" s="152" t="str">
        <f>IFERROR((VLOOKUP($BO$1&amp;C10,Teams!D:S,14,0)),0)</f>
        <v>S</v>
      </c>
      <c r="BB54" s="152">
        <f>IFERROR((VLOOKUP($BO$1&amp;C10,Teams!D:S,15,0)),0)</f>
        <v>0</v>
      </c>
      <c r="BC54" s="152">
        <f>IFERROR((VLOOKUP($BO$1&amp;C10,Teams!D:S,16,0)),0)</f>
        <v>0</v>
      </c>
      <c r="BD54" s="5">
        <f t="shared" si="82"/>
        <v>0</v>
      </c>
      <c r="BE54" s="5">
        <f t="shared" si="56"/>
        <v>0</v>
      </c>
      <c r="BF54" s="5">
        <f t="shared" si="57"/>
        <v>0</v>
      </c>
      <c r="BG54" s="5">
        <f t="shared" si="58"/>
        <v>0</v>
      </c>
      <c r="BH54" s="5">
        <f t="shared" si="59"/>
        <v>0</v>
      </c>
      <c r="BI54" s="5">
        <f t="shared" si="60"/>
        <v>0</v>
      </c>
      <c r="BJ54" s="5"/>
      <c r="BK54" s="5">
        <f t="shared" si="61"/>
        <v>0</v>
      </c>
      <c r="BL54" s="5">
        <f t="shared" si="62"/>
        <v>0</v>
      </c>
      <c r="BM54" s="5">
        <f t="shared" si="63"/>
        <v>0</v>
      </c>
      <c r="BN54" s="5">
        <f t="shared" si="64"/>
        <v>0</v>
      </c>
      <c r="BO54" s="152"/>
      <c r="BP54" s="152"/>
      <c r="BQ54" s="14"/>
      <c r="BR54" s="14"/>
      <c r="BS54" s="5">
        <f t="shared" si="65"/>
        <v>0</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f t="shared" ref="CG54:CL54" si="99">IF(BS54="P",$C$38,(IF(BS54="S",$K$38,0)))</f>
        <v>0</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0</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Zombie</v>
      </c>
      <c r="AY55" s="152" t="str">
        <f>IFERROR((VLOOKUP($BO$1&amp;C11,Teams!D:S,12,0)),0)</f>
        <v>P</v>
      </c>
      <c r="AZ55" s="152" t="str">
        <f>IFERROR((VLOOKUP($BO$1&amp;C11,Teams!D:S,13,0)),0)</f>
        <v>S</v>
      </c>
      <c r="BA55" s="152" t="str">
        <f>IFERROR((VLOOKUP($BO$1&amp;C11,Teams!D:S,14,0)),0)</f>
        <v>S</v>
      </c>
      <c r="BB55" s="152">
        <f>IFERROR((VLOOKUP($BO$1&amp;C11,Teams!D:S,15,0)),0)</f>
        <v>0</v>
      </c>
      <c r="BC55" s="152">
        <f>IFERROR((VLOOKUP($BO$1&amp;C11,Teams!D:S,16,0)),0)</f>
        <v>0</v>
      </c>
      <c r="BD55" s="5">
        <f t="shared" si="82"/>
        <v>0</v>
      </c>
      <c r="BE55" s="5">
        <f t="shared" si="56"/>
        <v>0</v>
      </c>
      <c r="BF55" s="5">
        <f t="shared" si="57"/>
        <v>0</v>
      </c>
      <c r="BG55" s="5">
        <f t="shared" si="58"/>
        <v>0</v>
      </c>
      <c r="BH55" s="5">
        <f t="shared" si="59"/>
        <v>0</v>
      </c>
      <c r="BI55" s="5">
        <f t="shared" si="60"/>
        <v>0</v>
      </c>
      <c r="BJ55" s="5"/>
      <c r="BK55" s="5">
        <f t="shared" si="61"/>
        <v>0</v>
      </c>
      <c r="BL55" s="5">
        <f t="shared" si="62"/>
        <v>0</v>
      </c>
      <c r="BM55" s="5">
        <f t="shared" si="63"/>
        <v>0</v>
      </c>
      <c r="BN55" s="5">
        <f t="shared" si="64"/>
        <v>0</v>
      </c>
      <c r="BO55" s="152"/>
      <c r="BP55" s="152"/>
      <c r="BQ55" s="14"/>
      <c r="BR55" s="14"/>
      <c r="BS55" s="5">
        <f t="shared" si="65"/>
        <v>0</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f t="shared" ref="CG55:CL55" si="100">IF(BS55="P",$C$38,(IF(BS55="S",$K$38,0)))</f>
        <v>0</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0</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Zombie</v>
      </c>
      <c r="AY56" s="152" t="str">
        <f>IFERROR((VLOOKUP($BO$1&amp;C12,Teams!D:S,12,0)),0)</f>
        <v>P</v>
      </c>
      <c r="AZ56" s="152" t="str">
        <f>IFERROR((VLOOKUP($BO$1&amp;C12,Teams!D:S,13,0)),0)</f>
        <v>S</v>
      </c>
      <c r="BA56" s="152" t="str">
        <f>IFERROR((VLOOKUP($BO$1&amp;C12,Teams!D:S,14,0)),0)</f>
        <v>S</v>
      </c>
      <c r="BB56" s="152">
        <f>IFERROR((VLOOKUP($BO$1&amp;C12,Teams!D:S,15,0)),0)</f>
        <v>0</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Zombie</v>
      </c>
      <c r="AY57" s="152" t="str">
        <f>IFERROR((VLOOKUP($BO$1&amp;C13,Teams!D:S,12,0)),0)</f>
        <v>P</v>
      </c>
      <c r="AZ57" s="152" t="str">
        <f>IFERROR((VLOOKUP($BO$1&amp;C13,Teams!D:S,13,0)),0)</f>
        <v>S</v>
      </c>
      <c r="BA57" s="152" t="str">
        <f>IFERROR((VLOOKUP($BO$1&amp;C13,Teams!D:S,14,0)),0)</f>
        <v>S</v>
      </c>
      <c r="BB57" s="152">
        <f>IFERROR((VLOOKUP($BO$1&amp;C13,Teams!D:S,15,0)),0)</f>
        <v>0</v>
      </c>
      <c r="BC57" s="152">
        <f>IFERROR((VLOOKUP($BO$1&amp;C13,Teams!D:S,16,0)),0)</f>
        <v>0</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f t="shared" ref="CG57:CL57" si="102">IF(BS57="P",$C$38,(IF(BS57="S",$K$38,0)))</f>
        <v>0</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f t="shared" si="55"/>
        <v>0</v>
      </c>
      <c r="AY58" s="152">
        <f>IFERROR((VLOOKUP($BO$1&amp;C14,Teams!D:S,12,0)),0)</f>
        <v>0</v>
      </c>
      <c r="AZ58" s="152">
        <f>IFERROR((VLOOKUP($BO$1&amp;C14,Teams!D:S,13,0)),0)</f>
        <v>0</v>
      </c>
      <c r="BA58" s="152">
        <f>IFERROR((VLOOKUP($BO$1&amp;C14,Teams!D:S,14,0)),0)</f>
        <v>0</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f t="shared" si="55"/>
        <v>0</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PM</v>
      </c>
      <c r="CH62" s="207" t="str">
        <f>VLOOKUP(CH63,Teams!$D:$T,17,FALSE)</f>
        <v>PM</v>
      </c>
      <c r="CI62" s="36" t="str">
        <f>VLOOKUP(CI63,Teams!$D:$T,17,FALSE)</f>
        <v>PM</v>
      </c>
      <c r="CJ62" s="36" t="str">
        <f>VLOOKUP(CJ63,Teams!$D:$T,17,FALSE)</f>
        <v>PM</v>
      </c>
      <c r="CK62" s="36" t="str">
        <f>VLOOKUP(CK63,Teams!$D:$T,17,FALSE)</f>
        <v>M</v>
      </c>
      <c r="CL62" s="36" t="str">
        <f>VLOOKUP(CL63,Teams!$D:$T,17,FALSE)</f>
        <v>M</v>
      </c>
      <c r="CM62" s="36" t="str">
        <f>VLOOKUP(CM63,Teams!$D:$T,17,FALSE)</f>
        <v>M</v>
      </c>
      <c r="CN62" s="36" t="str">
        <f>VLOOKUP(CN63,Teams!$D:$T,17,FALSE)</f>
        <v>M</v>
      </c>
      <c r="CO62" s="36" t="str">
        <f>VLOOKUP(CO63,Teams!$D:$T,17,FALSE)</f>
        <v>PM</v>
      </c>
      <c r="CP62" s="36" t="str">
        <f>VLOOKUP(CP63,Teams!$D:$T,17,FALSE)</f>
        <v>PM</v>
      </c>
      <c r="CQ62" s="36" t="str">
        <f>VLOOKUP(CQ63,Teams!$D:$T,17,FALSE)</f>
        <v>PM</v>
      </c>
      <c r="CR62" s="36" t="str">
        <f>VLOOKUP(CR63,Teams!$D:$T,17,FALSE)</f>
        <v>PM</v>
      </c>
      <c r="CS62" s="36">
        <f>VLOOKUP(CS63,Teams!$D:$T,17,FALSE)</f>
        <v>0</v>
      </c>
      <c r="CT62" s="36">
        <f>VLOOKUP(CT63,Teams!$D:$T,17,FALSE)</f>
        <v>0</v>
      </c>
      <c r="CU62" s="36">
        <f>VLOOKUP(CU63,Teams!$D:$T,17,FALSE)</f>
        <v>0</v>
      </c>
      <c r="CV62" s="36">
        <f>VLOOKUP(CV63,Teams!$D:$T,17,FALSE)</f>
        <v>0</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NecromanticFlesh Golem</v>
      </c>
      <c r="CH63" s="201" t="str">
        <f>$BO$1&amp;$C3</f>
        <v>NecromanticFlesh Golem</v>
      </c>
      <c r="CI63" s="13" t="str">
        <f>$BO$1&amp;$C4</f>
        <v>NecromanticWraiths</v>
      </c>
      <c r="CJ63" s="13" t="str">
        <f>$BO$1&amp;$C5</f>
        <v>NecromanticWraiths</v>
      </c>
      <c r="CK63" s="13" t="str">
        <f>$BO$1&amp;$C6</f>
        <v>NecromanticWerewolf</v>
      </c>
      <c r="CL63" s="13" t="str">
        <f>$BO$1&amp;$C7</f>
        <v>NecromanticWerewolf</v>
      </c>
      <c r="CM63" s="13" t="str">
        <f>$BO$1&amp;$C8</f>
        <v>NecromanticGhoul</v>
      </c>
      <c r="CN63" s="13" t="str">
        <f>$BO$1&amp;$C9</f>
        <v>NecromanticGhoul</v>
      </c>
      <c r="CO63" s="13" t="str">
        <f>$BO$1&amp;$C10</f>
        <v>NecromanticZombie</v>
      </c>
      <c r="CP63" s="13" t="str">
        <f>$BO$1&amp;$C11</f>
        <v>NecromanticZombie</v>
      </c>
      <c r="CQ63" s="13" t="str">
        <f>$BO$1&amp;$C12</f>
        <v>NecromanticZombie</v>
      </c>
      <c r="CR63" s="13" t="str">
        <f>$BO$1&amp;$C13</f>
        <v>NecromanticZombie</v>
      </c>
      <c r="CS63" s="13" t="str">
        <f>$BO$1&amp;$C14</f>
        <v>Necromantic</v>
      </c>
      <c r="CT63" s="13" t="str">
        <f>$BO$1&amp;$C15</f>
        <v>Necromantic</v>
      </c>
      <c r="CU63" s="13" t="str">
        <f>$BO$1&amp;$C16</f>
        <v>Necromantic</v>
      </c>
      <c r="CV63" s="13" t="str">
        <f>$BO$1&amp;$C17</f>
        <v>Necromantic</v>
      </c>
      <c r="CW63" s="45"/>
      <c r="CX63" s="5"/>
      <c r="CY63" s="5"/>
      <c r="CZ63" s="5"/>
    </row>
    <row r="64" spans="1:104" ht="15" hidden="1" customHeight="1">
      <c r="A64" s="5"/>
      <c r="B64" s="356" t="s">
        <v>209</v>
      </c>
      <c r="C64" s="357"/>
      <c r="D64" s="357"/>
      <c r="E64" s="357"/>
      <c r="F64" s="357"/>
      <c r="G64" s="5"/>
      <c r="H64" s="5"/>
      <c r="I64" s="5"/>
      <c r="J64" s="5"/>
      <c r="K64" s="356" t="s">
        <v>210</v>
      </c>
      <c r="L64" s="357"/>
      <c r="M64" s="357"/>
      <c r="N64" s="357"/>
      <c r="O64" s="357"/>
      <c r="P64" s="5"/>
      <c r="Q64" s="356" t="s">
        <v>211</v>
      </c>
      <c r="R64" s="357"/>
      <c r="S64" s="357"/>
      <c r="T64" s="357"/>
      <c r="U64" s="357"/>
      <c r="V64" s="5"/>
      <c r="W64" s="356" t="s">
        <v>212</v>
      </c>
      <c r="X64" s="357"/>
      <c r="Y64" s="357"/>
      <c r="Z64" s="357"/>
      <c r="AA64" s="357"/>
      <c r="AB64" s="5"/>
      <c r="AC64" s="356" t="s">
        <v>213</v>
      </c>
      <c r="AD64" s="357"/>
      <c r="AE64" s="357"/>
      <c r="AF64" s="357"/>
      <c r="AG64" s="357"/>
      <c r="AH64" s="5"/>
      <c r="AI64" s="5"/>
      <c r="AJ64" s="5"/>
      <c r="AK64" s="356" t="s">
        <v>214</v>
      </c>
      <c r="AL64" s="357"/>
      <c r="AM64" s="357"/>
      <c r="AN64" s="357"/>
      <c r="AO64" s="357"/>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58" t="str">
        <f>IF(J29&lt;0,(IF(J24="Italiano","AVETE SPESO TROPPO!   ",IF(J24="Español","¡HAS GASTADO DEMASIADO!   ",(IF(J24="Deutsch","ZU VIEL AUSGEGEBEN!   ",(IF(J24="Français","TU DÉPENSES TROP!   ","YOU HAVE EXPENT TOO MUCH!   "))))))),"")</f>
        <v/>
      </c>
      <c r="C65" s="357"/>
      <c r="D65" s="357"/>
      <c r="E65" s="357"/>
      <c r="F65" s="357"/>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6</v>
      </c>
      <c r="AY65" s="5">
        <f>COUNTIF(BS46:BX61,"S")</f>
        <v>0</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0</v>
      </c>
      <c r="BQ65" s="14"/>
      <c r="BR65" s="178" t="s">
        <v>1244</v>
      </c>
      <c r="BS65" s="355" t="s">
        <v>238</v>
      </c>
      <c r="BT65" s="355"/>
      <c r="BU65" s="355" t="s">
        <v>195</v>
      </c>
      <c r="BV65" s="355"/>
      <c r="BW65" s="355" t="s">
        <v>196</v>
      </c>
      <c r="BX65" s="355"/>
      <c r="BY65" s="355" t="s">
        <v>239</v>
      </c>
      <c r="BZ65" s="355"/>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str">
        <f t="shared" ref="CJ65:CJ140" si="110">IFERROR((IF($CJ$62="M",BW66,IF($CJ$62="PM",BY66,IF($CJ$62="P",BU66,IF($CJ$62="FULL",BS66))))),"")</f>
        <v/>
      </c>
      <c r="CK65" s="5" t="str">
        <f t="shared" ref="CK65:CK140" si="111">IFERROR((IF($CK$62="M",BW66,IF($CK$62="PM",BY66,IF($CK$62="P",BU66,IF($CK$62="FULL",BS66))))),"")</f>
        <v/>
      </c>
      <c r="CL65" s="5" t="str">
        <f t="shared" ref="CL65:CL140" si="112">IFERROR((IF($CL$62="M",BW66,IF($CL$62="PM",BY66,IF($CL$62="P",BU66,IF($CL$62="FULL",BS66))))),"")</f>
        <v/>
      </c>
      <c r="CM65" s="5" t="str">
        <f t="shared" ref="CM65:CM140" si="113">IFERROR((IF($CM$62="M",BW66,IF($CM$62="PM",BY66,IF($CM$62="P",BU66,IF($CM$62="FULL",BS66))))),"")</f>
        <v/>
      </c>
      <c r="CN65" s="5" t="str">
        <f t="shared" ref="CN65:CN140" si="114">IFERROR((IF($CN$62="M",BW66,IF($CN$62="PM",BY66,IF($CN$62="P",BU66,IF($CN$62="FULL",BS66))))),"")</f>
        <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b">
        <f t="shared" ref="CS65:CS140" si="119">IFERROR((IF($CS$62="M",BW66,IF($CS$62="PM",BY66,IF($CS$62="P",BU66,IF($CS$62="FULL",BS66))))),"")</f>
        <v>0</v>
      </c>
      <c r="CT65" s="5" t="b">
        <f t="shared" ref="CT65:CT140" si="120">IFERROR((IF($CT$62="M",BW66,IF($CT$62="PM",BY66,IF($CT$62="P",BU66,IF($CT$62="FULL",BS66))))),"")</f>
        <v>0</v>
      </c>
      <c r="CU65" s="5" t="b">
        <f t="shared" ref="CU65:CU140" si="121">IFERROR((IF($CU$62="M",BW66,IF($CU$62="PM",BY66,IF($CU$62="P",BU66,IF($CU$62="FULL",BS66))))),"")</f>
        <v>0</v>
      </c>
      <c r="CV65" s="5" t="b">
        <f t="shared" ref="CV65:CV140" si="122">IFERROR((IF($CV$62="M",BW66,IF($CV$62="PM",BY66,IF($CV$62="P",BU66,IF($CV$62="FULL",BS66))))),"")</f>
        <v>0</v>
      </c>
      <c r="CW65" s="5"/>
      <c r="CX65" s="5"/>
      <c r="CY65" s="5"/>
      <c r="CZ65" s="5"/>
    </row>
    <row r="66" spans="1:104" ht="15" hidden="1" customHeight="1">
      <c r="A66" s="5"/>
      <c r="B66" s="358"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57"/>
      <c r="D66" s="357"/>
      <c r="E66" s="357"/>
      <c r="F66" s="357"/>
      <c r="G66" s="5"/>
      <c r="H66" s="5"/>
      <c r="I66" s="5"/>
      <c r="J66" s="5"/>
      <c r="K66" s="5">
        <f t="shared" ref="K66:K81" si="123">IF(Q66=0,0,(IF(Q66&gt;9,9,(IF(Q66&lt;1,1,Q66)))))</f>
        <v>4</v>
      </c>
      <c r="L66" s="5">
        <f t="shared" ref="L66:L81" si="124">IF(R66=0,0,(IF(R66&gt;8,8,(IF(R66&lt;1,1,R66)))))</f>
        <v>4</v>
      </c>
      <c r="M66" s="5">
        <f t="shared" ref="M66:N66" si="125">IF(S66=0,0,(IF(S66&gt;6,6,(IF(S66&lt;1,1,S66)))))</f>
        <v>4</v>
      </c>
      <c r="N66" s="5">
        <f t="shared" si="125"/>
        <v>0</v>
      </c>
      <c r="O66" s="5">
        <f t="shared" ref="O66:O81" si="126">IF(U66=0,0,(IF(U66&gt;11,11,(IF(U66&lt;3,3,U66)))))</f>
        <v>10</v>
      </c>
      <c r="P66" s="5"/>
      <c r="Q66" s="4">
        <f>IFERROR((VLOOKUP($BO$1&amp;C2,Teams!D:M,2,0)+AK66+AC66),0)</f>
        <v>4</v>
      </c>
      <c r="R66" s="4">
        <f>IFERROR((VLOOKUP($BO$1&amp;C2,Teams!D:M,3,0)+AL66+AD66),0)</f>
        <v>4</v>
      </c>
      <c r="S66" s="4">
        <f>IFERROR((VLOOKUP($BO$1&amp;C2,Teams!D:M,4,0)+AM66-AE66),0)</f>
        <v>4</v>
      </c>
      <c r="T66" s="4">
        <f>IFERROR((VLOOKUP($BO$1&amp;C2,Teams!D:M,5,0)+AN66-AF66),0)</f>
        <v>0</v>
      </c>
      <c r="U66" s="4">
        <f>IFERROR((VLOOKUP($BO$1&amp;C2,Teams!D:M,6,0)+AO66+AG66),0)</f>
        <v>10</v>
      </c>
      <c r="V66" s="5"/>
      <c r="W66" s="5">
        <f>IFERROR((VLOOKUP($BO$1&amp;C2,Teams!D:M,2,0)),0)</f>
        <v>4</v>
      </c>
      <c r="X66" s="5">
        <f>IFERROR((VLOOKUP($BO$1&amp;C2,Teams!D:M,3,0)),0)</f>
        <v>4</v>
      </c>
      <c r="Y66" s="5">
        <f>IFERROR((VLOOKUP($BO$1&amp;C2,Teams!D:M,4,0)),0)</f>
        <v>4</v>
      </c>
      <c r="Z66" s="5">
        <f>IFERROR((VLOOKUP($BO$1&amp;C2,Teams!D:M,5,0)),0)</f>
        <v>0</v>
      </c>
      <c r="AA66" s="5">
        <f>IFERROR((VLOOKUP($BO$1&amp;C2,Teams!D:M,6,0)),0)</f>
        <v>10</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0</v>
      </c>
      <c r="BF66" s="50"/>
      <c r="BG66" s="14"/>
      <c r="BH66" s="178" t="s">
        <v>1221</v>
      </c>
      <c r="BI66" s="50">
        <f>IFERROR((IF(OR(COUNTIF($BU$2,"*Favouredof*"),COUNTIF($BU$2,"*UnderworldChallenge*")),150000,0)),0)</f>
        <v>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str">
        <f t="shared" si="110"/>
        <v>MA+</v>
      </c>
      <c r="CK66" s="5" t="str">
        <f t="shared" si="111"/>
        <v>MA+</v>
      </c>
      <c r="CL66" s="5" t="str">
        <f t="shared" si="112"/>
        <v>MA+</v>
      </c>
      <c r="CM66" s="5" t="str">
        <f t="shared" si="113"/>
        <v>MA+</v>
      </c>
      <c r="CN66" s="5" t="str">
        <f t="shared" si="114"/>
        <v>MA+</v>
      </c>
      <c r="CO66" s="5" t="str">
        <f t="shared" si="115"/>
        <v>MA+</v>
      </c>
      <c r="CP66" s="5" t="str">
        <f t="shared" si="116"/>
        <v>MA+</v>
      </c>
      <c r="CQ66" s="5" t="str">
        <f t="shared" si="117"/>
        <v>MA+</v>
      </c>
      <c r="CR66" s="5" t="str">
        <f t="shared" si="118"/>
        <v>MA+</v>
      </c>
      <c r="CS66" s="5" t="b">
        <f t="shared" si="119"/>
        <v>0</v>
      </c>
      <c r="CT66" s="5" t="b">
        <f t="shared" si="120"/>
        <v>0</v>
      </c>
      <c r="CU66" s="5" t="b">
        <f t="shared" si="121"/>
        <v>0</v>
      </c>
      <c r="CV66" s="5" t="b">
        <f t="shared" si="122"/>
        <v>0</v>
      </c>
      <c r="CW66" s="5"/>
      <c r="CX66" s="5"/>
      <c r="CY66" s="5"/>
      <c r="CZ66" s="5"/>
    </row>
    <row r="67" spans="1:104" ht="15" hidden="1" customHeight="1">
      <c r="A67" s="5"/>
      <c r="B67" s="358" t="str">
        <f>IF(C37&lt;AZ65,(IF(J24="Italiano","TROPPE ABILITÀ!   ",IF(J24="Español","¡DEMASIADAS HABILIDADES!   ",(IF(J24="Deutsch","ZU VIELE FERTIGKEITEN!   ",(IF(J24="Français","TROP DE COMPÉTENCES!   ","TOO MANY SKILLS!   "))))))),"")</f>
        <v/>
      </c>
      <c r="C67" s="357"/>
      <c r="D67" s="357"/>
      <c r="E67" s="357"/>
      <c r="F67" s="357"/>
      <c r="G67" s="5"/>
      <c r="H67" s="5"/>
      <c r="I67" s="5"/>
      <c r="J67" s="5"/>
      <c r="K67" s="5">
        <f t="shared" si="123"/>
        <v>4</v>
      </c>
      <c r="L67" s="5">
        <f t="shared" si="124"/>
        <v>4</v>
      </c>
      <c r="M67" s="5">
        <f t="shared" ref="M67:N67" si="138">IF(S67=0,0,(IF(S67&gt;6,6,(IF(S67&lt;1,1,S67)))))</f>
        <v>4</v>
      </c>
      <c r="N67" s="5">
        <f t="shared" si="138"/>
        <v>0</v>
      </c>
      <c r="O67" s="5">
        <f t="shared" si="126"/>
        <v>10</v>
      </c>
      <c r="P67" s="5"/>
      <c r="Q67" s="4">
        <f>IFERROR((VLOOKUP($BO$1&amp;C3,Teams!D:M,2,0)+AK67+AC67),0)</f>
        <v>4</v>
      </c>
      <c r="R67" s="4">
        <f>IFERROR((VLOOKUP($BO$1&amp;C3,Teams!D:M,3,0)+AL67+AD67),0)</f>
        <v>4</v>
      </c>
      <c r="S67" s="4">
        <f>IFERROR((VLOOKUP($BO$1&amp;C3,Teams!D:M,4,0)+AM67-AE67),0)</f>
        <v>4</v>
      </c>
      <c r="T67" s="4">
        <f>IFERROR((VLOOKUP($BO$1&amp;C3,Teams!D:M,5,0)+AN67-AF67),0)</f>
        <v>0</v>
      </c>
      <c r="U67" s="4">
        <f>IFERROR((VLOOKUP($BO$1&amp;C3,Teams!D:M,6,0)+AO67+AG67),0)</f>
        <v>10</v>
      </c>
      <c r="V67" s="5"/>
      <c r="W67" s="5">
        <f>IFERROR((VLOOKUP($BO$1&amp;C3,Teams!D:M,2,0)),0)</f>
        <v>4</v>
      </c>
      <c r="X67" s="5">
        <f>IFERROR((VLOOKUP($BO$1&amp;C3,Teams!D:M,3,0)),0)</f>
        <v>4</v>
      </c>
      <c r="Y67" s="5">
        <f>IFERROR((VLOOKUP($BO$1&amp;C3,Teams!D:M,4,0)),0)</f>
        <v>4</v>
      </c>
      <c r="Z67" s="5">
        <f>IFERROR((VLOOKUP($BO$1&amp;C3,Teams!D:M,5,0)),0)</f>
        <v>0</v>
      </c>
      <c r="AA67" s="5">
        <f>IFERROR((VLOOKUP($BO$1&amp;C3,Teams!D:M,6,0)),0)</f>
        <v>10</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0</v>
      </c>
      <c r="BF67" s="14"/>
      <c r="BG67" s="14"/>
      <c r="BH67" s="178" t="s">
        <v>1222</v>
      </c>
      <c r="BI67" s="50">
        <f>IFERROR((IF(OR(COUNTIF($BU$2,"*Favouredof*"),COUNTIF($BU$2,"*ElvenKingdomsLeague*")),150000,0)),0)</f>
        <v>0</v>
      </c>
      <c r="BJ67" s="14"/>
      <c r="BK67" s="5"/>
      <c r="BL67" s="178" t="s">
        <v>1233</v>
      </c>
      <c r="BM67" s="50">
        <f>IFERROR((IF(OR(COUNTIF($BU$2,"*WorldsEdgeSuperleague*")),120000,0)),0)</f>
        <v>0</v>
      </c>
      <c r="BN67" s="5"/>
      <c r="BO67" s="178" t="s">
        <v>1238</v>
      </c>
      <c r="BP67" s="50">
        <f>IFERROR((IF(OR(COUNTIF($BU$2,"*OldWorldClassic*"),COUNTIF($BU$2,"*WorldsEdgeSuperleague*")),50000,0)),0)</f>
        <v>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str">
        <f t="shared" si="110"/>
        <v>AV+</v>
      </c>
      <c r="CK67" s="5" t="str">
        <f t="shared" si="111"/>
        <v>AV+</v>
      </c>
      <c r="CL67" s="5" t="str">
        <f t="shared" si="112"/>
        <v>AV+</v>
      </c>
      <c r="CM67" s="5" t="str">
        <f t="shared" si="113"/>
        <v>AV+</v>
      </c>
      <c r="CN67" s="5" t="str">
        <f t="shared" si="114"/>
        <v>AV+</v>
      </c>
      <c r="CO67" s="5" t="str">
        <f t="shared" si="115"/>
        <v>AV+</v>
      </c>
      <c r="CP67" s="5" t="str">
        <f t="shared" si="116"/>
        <v>AV+</v>
      </c>
      <c r="CQ67" s="5" t="str">
        <f t="shared" si="117"/>
        <v>AV+</v>
      </c>
      <c r="CR67" s="5" t="str">
        <f t="shared" si="118"/>
        <v>AV+</v>
      </c>
      <c r="CS67" s="5" t="b">
        <f t="shared" si="119"/>
        <v>0</v>
      </c>
      <c r="CT67" s="5" t="b">
        <f t="shared" si="120"/>
        <v>0</v>
      </c>
      <c r="CU67" s="5" t="b">
        <f t="shared" si="121"/>
        <v>0</v>
      </c>
      <c r="CV67" s="5" t="b">
        <f t="shared" si="122"/>
        <v>0</v>
      </c>
      <c r="CW67" s="5"/>
      <c r="CX67" s="5"/>
      <c r="CY67" s="5"/>
      <c r="CZ67" s="5"/>
    </row>
    <row r="68" spans="1:104" ht="15" hidden="1" customHeight="1">
      <c r="A68" s="5"/>
      <c r="B68" s="358" t="str">
        <f>IF(K37&lt;AX65,(IF(J24="Italiano","TROPPE ABILITÀ PRIMARIE!   ",IF(J24="Español","¡DEMASIADAS HABILIDADES PRIMARIAS!   ",(IF(J24="Deutsch","ZU VIELE PRIMÄRE FERTIGKEITEN!   ",(IF(J24="Français","TROP DE COMP PRIMAIRES!   ","TOO MANY PRIMARY SKILLS!   "))))))),"")</f>
        <v/>
      </c>
      <c r="C68" s="357"/>
      <c r="D68" s="357"/>
      <c r="E68" s="357"/>
      <c r="F68" s="357"/>
      <c r="G68" s="5"/>
      <c r="H68" s="5"/>
      <c r="I68" s="5"/>
      <c r="J68" s="5"/>
      <c r="K68" s="5">
        <f t="shared" si="123"/>
        <v>6</v>
      </c>
      <c r="L68" s="5">
        <f t="shared" si="124"/>
        <v>3</v>
      </c>
      <c r="M68" s="5">
        <f t="shared" ref="M68:N68" si="139">IF(S68=0,0,(IF(S68&gt;6,6,(IF(S68&lt;1,1,S68)))))</f>
        <v>3</v>
      </c>
      <c r="N68" s="5">
        <f t="shared" si="139"/>
        <v>0</v>
      </c>
      <c r="O68" s="5">
        <f t="shared" si="126"/>
        <v>9</v>
      </c>
      <c r="P68" s="5"/>
      <c r="Q68" s="4">
        <f>IFERROR((VLOOKUP($BO$1&amp;C4,Teams!D:M,2,0)+AK68+AC68),0)</f>
        <v>6</v>
      </c>
      <c r="R68" s="4">
        <f>IFERROR((VLOOKUP($BO$1&amp;C4,Teams!D:M,3,0)+AL68+AD68),0)</f>
        <v>3</v>
      </c>
      <c r="S68" s="4">
        <f>IFERROR((VLOOKUP($BO$1&amp;C4,Teams!D:M,4,0)+AM68-AE68),0)</f>
        <v>3</v>
      </c>
      <c r="T68" s="4">
        <f>IFERROR((VLOOKUP($BO$1&amp;C4,Teams!D:M,5,0)+AN68-AF68),0)</f>
        <v>0</v>
      </c>
      <c r="U68" s="4">
        <f>IFERROR((VLOOKUP($BO$1&amp;C4,Teams!D:M,6,0)+AO68+AG68),0)</f>
        <v>9</v>
      </c>
      <c r="V68" s="5"/>
      <c r="W68" s="5">
        <f>IFERROR((VLOOKUP($BO$1&amp;C4,Teams!D:M,2,0)),0)</f>
        <v>6</v>
      </c>
      <c r="X68" s="5">
        <f>IFERROR((VLOOKUP($BO$1&amp;C4,Teams!D:M,3,0)),0)</f>
        <v>3</v>
      </c>
      <c r="Y68" s="5">
        <f>IFERROR((VLOOKUP($BO$1&amp;C4,Teams!D:M,4,0)),0)</f>
        <v>3</v>
      </c>
      <c r="Z68" s="5">
        <f>IFERROR((VLOOKUP($BO$1&amp;C4,Teams!D:M,5,0)),0)</f>
        <v>0</v>
      </c>
      <c r="AA68" s="5">
        <f>IFERROR((VLOOKUP($BO$1&amp;C4,Teams!D:M,6,0)),0)</f>
        <v>9</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0</v>
      </c>
      <c r="BF68" s="14"/>
      <c r="BG68" s="14"/>
      <c r="BH68" s="178" t="s">
        <v>1223</v>
      </c>
      <c r="BI68" s="50">
        <f>IFERROR((IF(OR(COUNTIF($BU$2,"*ElvenKingdomsLeague*")),150000,0)),0)</f>
        <v>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str">
        <f t="shared" si="110"/>
        <v>AG-</v>
      </c>
      <c r="CK68" s="5" t="str">
        <f t="shared" si="111"/>
        <v>AG-</v>
      </c>
      <c r="CL68" s="5" t="str">
        <f t="shared" si="112"/>
        <v>AG-</v>
      </c>
      <c r="CM68" s="5" t="str">
        <f t="shared" si="113"/>
        <v>AG-</v>
      </c>
      <c r="CN68" s="5" t="str">
        <f t="shared" si="114"/>
        <v>AG-</v>
      </c>
      <c r="CO68" s="5" t="str">
        <f t="shared" si="115"/>
        <v>AG-</v>
      </c>
      <c r="CP68" s="5" t="str">
        <f t="shared" si="116"/>
        <v>AG-</v>
      </c>
      <c r="CQ68" s="5" t="str">
        <f t="shared" si="117"/>
        <v>AG-</v>
      </c>
      <c r="CR68" s="5" t="str">
        <f t="shared" si="118"/>
        <v>AG-</v>
      </c>
      <c r="CS68" s="5" t="b">
        <f t="shared" si="119"/>
        <v>0</v>
      </c>
      <c r="CT68" s="5" t="b">
        <f t="shared" si="120"/>
        <v>0</v>
      </c>
      <c r="CU68" s="5" t="b">
        <f t="shared" si="121"/>
        <v>0</v>
      </c>
      <c r="CV68" s="5" t="b">
        <f t="shared" si="122"/>
        <v>0</v>
      </c>
      <c r="CW68" s="5"/>
      <c r="CX68" s="5"/>
      <c r="CY68" s="5"/>
      <c r="CZ68" s="5"/>
    </row>
    <row r="69" spans="1:104" ht="15" hidden="1" customHeight="1">
      <c r="A69" s="5"/>
      <c r="B69" s="358" t="str">
        <f>IF(Q37&lt;AY65,(IF(J24="Italiano","TROPPE ABILITÀ SECONDARIE!   ",IF(J24="Español","¡DEMASIADAS HABILIDADES SECUNDARIAS!   ",(IF(J24="Deutsch","ZU VIELE SEKUNDÄRE FERTIGKEITEN!   ",(IF(J24="Français","TROP DE COMP SECONDAIRES!   ","TOO MANY SECONDARY SKILLS!   "))))))),"")</f>
        <v/>
      </c>
      <c r="C69" s="357"/>
      <c r="D69" s="357"/>
      <c r="E69" s="357"/>
      <c r="F69" s="357"/>
      <c r="G69" s="5"/>
      <c r="H69" s="5"/>
      <c r="I69" s="5"/>
      <c r="J69" s="5"/>
      <c r="K69" s="5">
        <f t="shared" si="123"/>
        <v>6</v>
      </c>
      <c r="L69" s="5">
        <f t="shared" si="124"/>
        <v>3</v>
      </c>
      <c r="M69" s="5">
        <f t="shared" ref="M69:N69" si="140">IF(S69=0,0,(IF(S69&gt;6,6,(IF(S69&lt;1,1,S69)))))</f>
        <v>3</v>
      </c>
      <c r="N69" s="5">
        <f t="shared" si="140"/>
        <v>0</v>
      </c>
      <c r="O69" s="5">
        <f t="shared" si="126"/>
        <v>9</v>
      </c>
      <c r="P69" s="5" t="s">
        <v>241</v>
      </c>
      <c r="Q69" s="4">
        <f>IFERROR((VLOOKUP($BO$1&amp;C5,Teams!D:M,2,0)+AK69+AC69),0)</f>
        <v>6</v>
      </c>
      <c r="R69" s="4">
        <f>IFERROR((VLOOKUP($BO$1&amp;C5,Teams!D:M,3,0)+AL69+AD69),0)</f>
        <v>3</v>
      </c>
      <c r="S69" s="4">
        <f>IFERROR((VLOOKUP($BO$1&amp;C5,Teams!D:M,4,0)+AM69-AE69),0)</f>
        <v>3</v>
      </c>
      <c r="T69" s="4">
        <f>IFERROR((VLOOKUP($BO$1&amp;C5,Teams!D:M,5,0)+AN69-AF69),0)</f>
        <v>0</v>
      </c>
      <c r="U69" s="4">
        <f>IFERROR((VLOOKUP($BO$1&amp;C5,Teams!D:M,6,0)+AO69+AG69),0)</f>
        <v>9</v>
      </c>
      <c r="V69" s="5"/>
      <c r="W69" s="5">
        <f>IFERROR((VLOOKUP($BO$1&amp;C5,Teams!D:M,2,0)),0)</f>
        <v>6</v>
      </c>
      <c r="X69" s="5">
        <f>IFERROR((VLOOKUP($BO$1&amp;C5,Teams!D:M,3,0)),0)</f>
        <v>3</v>
      </c>
      <c r="Y69" s="5">
        <f>IFERROR((VLOOKUP($BO$1&amp;C5,Teams!D:M,4,0)),0)</f>
        <v>3</v>
      </c>
      <c r="Z69" s="5">
        <f>IFERROR((VLOOKUP($BO$1&amp;C5,Teams!D:M,5,0)),0)</f>
        <v>0</v>
      </c>
      <c r="AA69" s="5">
        <f>IFERROR((VLOOKUP($BO$1&amp;C5,Teams!D:M,6,0)),0)</f>
        <v>9</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str">
        <f t="shared" si="110"/>
        <v>PA-</v>
      </c>
      <c r="CK69" s="5" t="str">
        <f t="shared" si="111"/>
        <v>PA-</v>
      </c>
      <c r="CL69" s="5" t="str">
        <f t="shared" si="112"/>
        <v>PA-</v>
      </c>
      <c r="CM69" s="5" t="str">
        <f t="shared" si="113"/>
        <v>PA-</v>
      </c>
      <c r="CN69" s="5" t="str">
        <f t="shared" si="114"/>
        <v>PA-</v>
      </c>
      <c r="CO69" s="5" t="str">
        <f t="shared" si="115"/>
        <v>PA-</v>
      </c>
      <c r="CP69" s="5" t="str">
        <f t="shared" si="116"/>
        <v>PA-</v>
      </c>
      <c r="CQ69" s="5" t="str">
        <f t="shared" si="117"/>
        <v>PA-</v>
      </c>
      <c r="CR69" s="5" t="str">
        <f t="shared" si="118"/>
        <v>PA-</v>
      </c>
      <c r="CS69" s="5" t="b">
        <f t="shared" si="119"/>
        <v>0</v>
      </c>
      <c r="CT69" s="5" t="b">
        <f t="shared" si="120"/>
        <v>0</v>
      </c>
      <c r="CU69" s="5" t="b">
        <f t="shared" si="121"/>
        <v>0</v>
      </c>
      <c r="CV69" s="5" t="b">
        <f t="shared" si="122"/>
        <v>0</v>
      </c>
      <c r="CW69" s="5"/>
      <c r="CX69" s="5"/>
      <c r="CY69" s="5"/>
      <c r="CZ69" s="5"/>
    </row>
    <row r="70" spans="1:104" ht="15" hidden="1" customHeight="1">
      <c r="A70" s="5"/>
      <c r="B70" s="358" t="str">
        <f>IF(W37&lt;BA65,(IF(J24="Italiano","TROPPE STATISTICHE!   ",IF(J24="Español","¡DEMASIADAS ATRIBUTOS!   ",(IF(J24="Deutsch","ZU VIELE EIGENSCHAFTEN!   ",(IF(J24="Français","TROP D’AMÉLIO. CARACACTÉRISTIQUES!   ","TOO MANY STATS!   "))))))),"")</f>
        <v/>
      </c>
      <c r="C70" s="357"/>
      <c r="D70" s="357"/>
      <c r="E70" s="357"/>
      <c r="F70" s="357"/>
      <c r="G70" s="5"/>
      <c r="H70" s="5"/>
      <c r="I70" s="5"/>
      <c r="J70" s="5"/>
      <c r="K70" s="5">
        <f t="shared" si="123"/>
        <v>8</v>
      </c>
      <c r="L70" s="5">
        <f t="shared" si="124"/>
        <v>3</v>
      </c>
      <c r="M70" s="5">
        <f t="shared" ref="M70:N70" si="141">IF(S70=0,0,(IF(S70&gt;6,6,(IF(S70&lt;1,1,S70)))))</f>
        <v>3</v>
      </c>
      <c r="N70" s="5">
        <f t="shared" si="141"/>
        <v>4</v>
      </c>
      <c r="O70" s="5">
        <f t="shared" si="126"/>
        <v>9</v>
      </c>
      <c r="P70" s="5"/>
      <c r="Q70" s="4">
        <f>IFERROR((VLOOKUP($BO$1&amp;C6,Teams!D:M,2,0)+AK70+AC70),0)</f>
        <v>8</v>
      </c>
      <c r="R70" s="4">
        <f>IFERROR((VLOOKUP($BO$1&amp;C6,Teams!D:M,3,0)+AL70+AD70),0)</f>
        <v>3</v>
      </c>
      <c r="S70" s="4">
        <f>IFERROR((VLOOKUP($BO$1&amp;C6,Teams!D:M,4,0)+AM70-AE70),0)</f>
        <v>3</v>
      </c>
      <c r="T70" s="4">
        <f>IFERROR((VLOOKUP($BO$1&amp;C6,Teams!D:M,5,0)+AN70-AF70),0)</f>
        <v>4</v>
      </c>
      <c r="U70" s="4">
        <f>IFERROR((VLOOKUP($BO$1&amp;C6,Teams!D:M,6,0)+AO70+AG70),0)</f>
        <v>9</v>
      </c>
      <c r="V70" s="5"/>
      <c r="W70" s="5">
        <f>IFERROR((VLOOKUP($BO$1&amp;C6,Teams!D:M,2,0)),0)</f>
        <v>8</v>
      </c>
      <c r="X70" s="5">
        <f>IFERROR((VLOOKUP($BO$1&amp;C6,Teams!D:M,3,0)),0)</f>
        <v>3</v>
      </c>
      <c r="Y70" s="5">
        <f>IFERROR((VLOOKUP($BO$1&amp;C6,Teams!D:M,4,0)),0)</f>
        <v>3</v>
      </c>
      <c r="Z70" s="5">
        <f>IFERROR((VLOOKUP($BO$1&amp;C6,Teams!D:M,5,0)),0)</f>
        <v>4</v>
      </c>
      <c r="AA70" s="5">
        <f>IFERROR((VLOOKUP($BO$1&amp;C6,Teams!D:M,6,0)),0)</f>
        <v>9</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str">
        <f t="shared" si="110"/>
        <v>ST+</v>
      </c>
      <c r="CK70" s="5" t="str">
        <f t="shared" si="111"/>
        <v>ST+</v>
      </c>
      <c r="CL70" s="5" t="str">
        <f t="shared" si="112"/>
        <v>ST+</v>
      </c>
      <c r="CM70" s="5" t="str">
        <f t="shared" si="113"/>
        <v>ST+</v>
      </c>
      <c r="CN70" s="5" t="str">
        <f t="shared" si="114"/>
        <v>ST+</v>
      </c>
      <c r="CO70" s="5" t="str">
        <f t="shared" si="115"/>
        <v>ST+</v>
      </c>
      <c r="CP70" s="5" t="str">
        <f t="shared" si="116"/>
        <v>ST+</v>
      </c>
      <c r="CQ70" s="5" t="str">
        <f t="shared" si="117"/>
        <v>ST+</v>
      </c>
      <c r="CR70" s="5" t="str">
        <f t="shared" si="118"/>
        <v>ST+</v>
      </c>
      <c r="CS70" s="5" t="b">
        <f t="shared" si="119"/>
        <v>0</v>
      </c>
      <c r="CT70" s="5" t="b">
        <f t="shared" si="120"/>
        <v>0</v>
      </c>
      <c r="CU70" s="5" t="b">
        <f t="shared" si="121"/>
        <v>0</v>
      </c>
      <c r="CV70" s="5" t="b">
        <f t="shared" si="122"/>
        <v>0</v>
      </c>
      <c r="CW70" s="5"/>
      <c r="CX70" s="5"/>
      <c r="CY70" s="5"/>
      <c r="CZ70" s="5"/>
    </row>
    <row r="71" spans="1:104" ht="15" hidden="1" customHeight="1">
      <c r="A71" s="5"/>
      <c r="B71" s="358" t="str">
        <f>IF(C35&lt;AI83,(IF(J24="Italiano","TROPPE ABILITÀ!   ",IF(J24="Español","¡DEMASIADAS HABILIDADES!   ",(IF(J24="Deutsch","ZU VIELE FERTIGKEITEN!   ",(IF(J24="Français","TROP DE COMPÉTENCES!   ","TOO MANY SKILLS!   "))))))),"")</f>
        <v/>
      </c>
      <c r="C71" s="357"/>
      <c r="D71" s="357"/>
      <c r="E71" s="357"/>
      <c r="F71" s="357"/>
      <c r="G71" s="5"/>
      <c r="H71" s="5"/>
      <c r="I71" s="5"/>
      <c r="J71" s="5"/>
      <c r="K71" s="5">
        <f t="shared" si="123"/>
        <v>8</v>
      </c>
      <c r="L71" s="5">
        <f t="shared" si="124"/>
        <v>3</v>
      </c>
      <c r="M71" s="5">
        <f t="shared" ref="M71:N71" si="142">IF(S71=0,0,(IF(S71&gt;6,6,(IF(S71&lt;1,1,S71)))))</f>
        <v>3</v>
      </c>
      <c r="N71" s="5">
        <f t="shared" si="142"/>
        <v>4</v>
      </c>
      <c r="O71" s="5">
        <f t="shared" si="126"/>
        <v>9</v>
      </c>
      <c r="P71" s="5"/>
      <c r="Q71" s="4">
        <f>IFERROR((VLOOKUP($BO$1&amp;C7,Teams!D:M,2,0)+AK71+AC71),0)</f>
        <v>8</v>
      </c>
      <c r="R71" s="4">
        <f>IFERROR((VLOOKUP($BO$1&amp;C7,Teams!D:M,3,0)+AL71+AD71),0)</f>
        <v>3</v>
      </c>
      <c r="S71" s="4">
        <f>IFERROR((VLOOKUP($BO$1&amp;C7,Teams!D:M,4,0)+AM71-AE71),0)</f>
        <v>3</v>
      </c>
      <c r="T71" s="4">
        <f>IFERROR((VLOOKUP($BO$1&amp;C7,Teams!D:M,5,0)+AN71-AF71),0)</f>
        <v>4</v>
      </c>
      <c r="U71" s="4">
        <f>IFERROR((VLOOKUP($BO$1&amp;C7,Teams!D:M,6,0)+AO71+AG71),0)</f>
        <v>9</v>
      </c>
      <c r="V71" s="5"/>
      <c r="W71" s="5">
        <f>IFERROR((VLOOKUP($BO$1&amp;C7,Teams!D:M,2,0)),0)</f>
        <v>8</v>
      </c>
      <c r="X71" s="5">
        <f>IFERROR((VLOOKUP($BO$1&amp;C7,Teams!D:M,3,0)),0)</f>
        <v>3</v>
      </c>
      <c r="Y71" s="5">
        <f>IFERROR((VLOOKUP($BO$1&amp;C7,Teams!D:M,4,0)),0)</f>
        <v>3</v>
      </c>
      <c r="Z71" s="5">
        <f>IFERROR((VLOOKUP($BO$1&amp;C7,Teams!D:M,5,0)),0)</f>
        <v>4</v>
      </c>
      <c r="AA71" s="5">
        <f>IFERROR((VLOOKUP($BO$1&amp;C7,Teams!D:M,6,0)),0)</f>
        <v>9</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130000</v>
      </c>
      <c r="BF71" s="14"/>
      <c r="BG71" s="14"/>
      <c r="BH71" s="178" t="s">
        <v>1226</v>
      </c>
      <c r="BI71" s="50">
        <f>IFERROR((IF(COUNTIF($BU$2,"*SylvanianSpotlight*"),150000,0)),0)</f>
        <v>150000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str">
        <f t="shared" si="110"/>
        <v>Block</v>
      </c>
      <c r="CK71" s="5" t="str">
        <f t="shared" si="111"/>
        <v>Block</v>
      </c>
      <c r="CL71" s="5" t="str">
        <f t="shared" si="112"/>
        <v>Block</v>
      </c>
      <c r="CM71" s="5" t="str">
        <f t="shared" si="113"/>
        <v>Block</v>
      </c>
      <c r="CN71" s="5" t="str">
        <f t="shared" si="114"/>
        <v>Block</v>
      </c>
      <c r="CO71" s="5" t="str">
        <f t="shared" si="115"/>
        <v>Block</v>
      </c>
      <c r="CP71" s="5" t="str">
        <f t="shared" si="116"/>
        <v>Block</v>
      </c>
      <c r="CQ71" s="5" t="str">
        <f t="shared" si="117"/>
        <v>Block</v>
      </c>
      <c r="CR71" s="5" t="str">
        <f t="shared" si="118"/>
        <v>Block</v>
      </c>
      <c r="CS71" s="5" t="b">
        <f t="shared" si="119"/>
        <v>0</v>
      </c>
      <c r="CT71" s="5" t="b">
        <f t="shared" si="120"/>
        <v>0</v>
      </c>
      <c r="CU71" s="5" t="b">
        <f t="shared" si="121"/>
        <v>0</v>
      </c>
      <c r="CV71" s="5" t="b">
        <f t="shared" si="122"/>
        <v>0</v>
      </c>
      <c r="CW71" s="5"/>
      <c r="CX71" s="5"/>
      <c r="CY71" s="5"/>
      <c r="CZ71" s="5"/>
    </row>
    <row r="72" spans="1:104" ht="15" hidden="1" customHeight="1">
      <c r="A72" s="5"/>
      <c r="B72" s="358" t="str">
        <f>IF(AC37&lt;AI83,(IF(J24="Italiano","HAI SPESO TROPPO SPP!   ",IF(J24="Español","¡HAS GASTADO DEMASIADOS SPP!   ",(IF(J24="Deutsch","ZU VIEL AUSGEGEBEN SPP!   ",(IF(J24="Français","TU DÉPENSES TROP PSP!   ","YOU HAVE EXPENT TOO MUCH SPP!   "))))))),"")</f>
        <v/>
      </c>
      <c r="C72" s="357"/>
      <c r="D72" s="357"/>
      <c r="E72" s="357"/>
      <c r="F72" s="357"/>
      <c r="G72" s="5"/>
      <c r="H72" s="5"/>
      <c r="I72" s="5"/>
      <c r="J72" s="5"/>
      <c r="K72" s="5">
        <f t="shared" si="123"/>
        <v>7</v>
      </c>
      <c r="L72" s="5">
        <f t="shared" si="124"/>
        <v>3</v>
      </c>
      <c r="M72" s="5">
        <f t="shared" ref="M72:N72" si="143">IF(S72=0,0,(IF(S72&gt;6,6,(IF(S72&lt;1,1,S72)))))</f>
        <v>3</v>
      </c>
      <c r="N72" s="5">
        <f t="shared" si="143"/>
        <v>4</v>
      </c>
      <c r="O72" s="5">
        <f t="shared" si="126"/>
        <v>8</v>
      </c>
      <c r="P72" s="5"/>
      <c r="Q72" s="4">
        <f>IFERROR((VLOOKUP($BO$1&amp;C8,Teams!D:M,2,0)+AK72+AC72),0)</f>
        <v>7</v>
      </c>
      <c r="R72" s="4">
        <f>IFERROR((VLOOKUP($BO$1&amp;C8,Teams!D:M,3,0)+AL72+AD72),0)</f>
        <v>3</v>
      </c>
      <c r="S72" s="4">
        <f>IFERROR((VLOOKUP($BO$1&amp;C8,Teams!D:M,4,0)+AM72-AE72),0)</f>
        <v>3</v>
      </c>
      <c r="T72" s="4">
        <f>IFERROR((VLOOKUP($BO$1&amp;C8,Teams!D:M,5,0)+AN72-AF72),0)</f>
        <v>4</v>
      </c>
      <c r="U72" s="4">
        <f>IFERROR((VLOOKUP($BO$1&amp;C8,Teams!D:M,6,0)+AO72+AG72),0)</f>
        <v>8</v>
      </c>
      <c r="V72" s="5"/>
      <c r="W72" s="5">
        <f>IFERROR((VLOOKUP($BO$1&amp;C8,Teams!D:M,2,0)),0)</f>
        <v>7</v>
      </c>
      <c r="X72" s="5">
        <f>IFERROR((VLOOKUP($BO$1&amp;C8,Teams!D:M,3,0)),0)</f>
        <v>3</v>
      </c>
      <c r="Y72" s="5">
        <f>IFERROR((VLOOKUP($BO$1&amp;C8,Teams!D:M,4,0)),0)</f>
        <v>3</v>
      </c>
      <c r="Z72" s="5">
        <f>IFERROR((VLOOKUP($BO$1&amp;C8,Teams!D:M,5,0)),0)</f>
        <v>4</v>
      </c>
      <c r="AA72" s="5">
        <f>IFERROR((VLOOKUP($BO$1&amp;C8,Teams!D:M,6,0)),0)</f>
        <v>8</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150000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str">
        <f t="shared" si="110"/>
        <v>Dauntless</v>
      </c>
      <c r="CK72" s="5" t="str">
        <f t="shared" si="111"/>
        <v>Dauntless</v>
      </c>
      <c r="CL72" s="5" t="str">
        <f t="shared" si="112"/>
        <v>Dauntless</v>
      </c>
      <c r="CM72" s="5" t="str">
        <f t="shared" si="113"/>
        <v>Dauntless</v>
      </c>
      <c r="CN72" s="5" t="str">
        <f t="shared" si="114"/>
        <v>Dauntless</v>
      </c>
      <c r="CO72" s="5" t="str">
        <f t="shared" si="115"/>
        <v>Dauntless</v>
      </c>
      <c r="CP72" s="5" t="str">
        <f t="shared" si="116"/>
        <v>Dauntless</v>
      </c>
      <c r="CQ72" s="5" t="str">
        <f t="shared" si="117"/>
        <v>Dauntless</v>
      </c>
      <c r="CR72" s="5" t="str">
        <f t="shared" si="118"/>
        <v>Dauntless</v>
      </c>
      <c r="CS72" s="5" t="b">
        <f t="shared" si="119"/>
        <v>0</v>
      </c>
      <c r="CT72" s="5" t="b">
        <f t="shared" si="120"/>
        <v>0</v>
      </c>
      <c r="CU72" s="5" t="b">
        <f t="shared" si="121"/>
        <v>0</v>
      </c>
      <c r="CV72" s="5" t="b">
        <f t="shared" si="122"/>
        <v>0</v>
      </c>
      <c r="CW72" s="5"/>
      <c r="CX72" s="5"/>
      <c r="CY72" s="5"/>
      <c r="CZ72" s="5"/>
    </row>
    <row r="73" spans="1:104" ht="15" hidden="1" customHeight="1">
      <c r="A73" s="5"/>
      <c r="B73" s="358"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57"/>
      <c r="D73" s="357"/>
      <c r="E73" s="357"/>
      <c r="F73" s="357"/>
      <c r="G73" s="5"/>
      <c r="H73" s="5"/>
      <c r="I73" s="5"/>
      <c r="J73" s="5"/>
      <c r="K73" s="5">
        <f t="shared" si="123"/>
        <v>7</v>
      </c>
      <c r="L73" s="5">
        <f t="shared" si="124"/>
        <v>3</v>
      </c>
      <c r="M73" s="5">
        <f t="shared" ref="M73:N73" si="144">IF(S73=0,0,(IF(S73&gt;6,6,(IF(S73&lt;1,1,S73)))))</f>
        <v>3</v>
      </c>
      <c r="N73" s="5">
        <f t="shared" si="144"/>
        <v>4</v>
      </c>
      <c r="O73" s="5">
        <f t="shared" si="126"/>
        <v>8</v>
      </c>
      <c r="P73" s="5"/>
      <c r="Q73" s="4">
        <f>IFERROR((VLOOKUP($BO$1&amp;C9,Teams!D:M,2,0)+AK73+AC73),0)</f>
        <v>7</v>
      </c>
      <c r="R73" s="4">
        <f>IFERROR((VLOOKUP($BO$1&amp;C9,Teams!D:M,3,0)+AL73+AD73),0)</f>
        <v>3</v>
      </c>
      <c r="S73" s="4">
        <f>IFERROR((VLOOKUP($BO$1&amp;C9,Teams!D:M,4,0)+AM73-AE73),0)</f>
        <v>3</v>
      </c>
      <c r="T73" s="4">
        <f>IFERROR((VLOOKUP($BO$1&amp;C9,Teams!D:M,5,0)+AN73-AF73),0)</f>
        <v>4</v>
      </c>
      <c r="U73" s="4">
        <f>IFERROR((VLOOKUP($BO$1&amp;C9,Teams!D:M,6,0)+AO73+AG73),0)</f>
        <v>8</v>
      </c>
      <c r="V73" s="5"/>
      <c r="W73" s="5">
        <f>IFERROR((VLOOKUP($BO$1&amp;C9,Teams!D:M,2,0)),0)</f>
        <v>7</v>
      </c>
      <c r="X73" s="5">
        <f>IFERROR((VLOOKUP($BO$1&amp;C9,Teams!D:M,3,0)),0)</f>
        <v>3</v>
      </c>
      <c r="Y73" s="5">
        <f>IFERROR((VLOOKUP($BO$1&amp;C9,Teams!D:M,4,0)),0)</f>
        <v>3</v>
      </c>
      <c r="Z73" s="5">
        <f>IFERROR((VLOOKUP($BO$1&amp;C9,Teams!D:M,5,0)),0)</f>
        <v>4</v>
      </c>
      <c r="AA73" s="5">
        <f>IFERROR((VLOOKUP($BO$1&amp;C9,Teams!D:M,6,0)),0)</f>
        <v>8</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str">
        <f t="shared" si="110"/>
        <v>Dirty Player (+1)</v>
      </c>
      <c r="CK73" s="5" t="str">
        <f t="shared" si="111"/>
        <v>Dirty Player (+1)</v>
      </c>
      <c r="CL73" s="5" t="str">
        <f t="shared" si="112"/>
        <v>Dirty Player (+1)</v>
      </c>
      <c r="CM73" s="5" t="str">
        <f t="shared" si="113"/>
        <v>Dirty Player (+1)</v>
      </c>
      <c r="CN73" s="5" t="str">
        <f t="shared" si="114"/>
        <v>Dirty Player (+1)</v>
      </c>
      <c r="CO73" s="5" t="str">
        <f t="shared" si="115"/>
        <v>Dirty Player (+1)</v>
      </c>
      <c r="CP73" s="5" t="str">
        <f t="shared" si="116"/>
        <v>Dirty Player (+1)</v>
      </c>
      <c r="CQ73" s="5" t="str">
        <f t="shared" si="117"/>
        <v>Dirty Player (+1)</v>
      </c>
      <c r="CR73" s="5" t="str">
        <f t="shared" si="118"/>
        <v>Dirty Player (+1)</v>
      </c>
      <c r="CS73" s="5" t="b">
        <f t="shared" si="119"/>
        <v>0</v>
      </c>
      <c r="CT73" s="5" t="b">
        <f t="shared" si="120"/>
        <v>0</v>
      </c>
      <c r="CU73" s="5" t="b">
        <f t="shared" si="121"/>
        <v>0</v>
      </c>
      <c r="CV73" s="5" t="b">
        <f t="shared" si="122"/>
        <v>0</v>
      </c>
      <c r="CW73" s="5"/>
      <c r="CX73" s="5"/>
      <c r="CY73" s="5"/>
      <c r="CZ73" s="5"/>
    </row>
    <row r="74" spans="1:104" ht="15" hidden="1" customHeight="1">
      <c r="A74" s="5"/>
      <c r="B74" s="41"/>
      <c r="C74" s="41"/>
      <c r="D74" s="41"/>
      <c r="E74" s="41"/>
      <c r="F74" s="41"/>
      <c r="G74" s="5"/>
      <c r="H74" s="5"/>
      <c r="I74" s="5"/>
      <c r="J74" s="5"/>
      <c r="K74" s="5">
        <f t="shared" si="123"/>
        <v>4</v>
      </c>
      <c r="L74" s="5">
        <f t="shared" si="124"/>
        <v>3</v>
      </c>
      <c r="M74" s="5">
        <f t="shared" ref="M74:N74" si="145">IF(S74=0,0,(IF(S74&gt;6,6,(IF(S74&lt;1,1,S74)))))</f>
        <v>4</v>
      </c>
      <c r="N74" s="5">
        <f t="shared" si="145"/>
        <v>0</v>
      </c>
      <c r="O74" s="5">
        <f t="shared" si="126"/>
        <v>9</v>
      </c>
      <c r="P74" s="5"/>
      <c r="Q74" s="4">
        <f>IFERROR((VLOOKUP($BO$1&amp;C10,Teams!D:M,2,0)+AK74+AC74),0)</f>
        <v>4</v>
      </c>
      <c r="R74" s="4">
        <f>IFERROR((VLOOKUP($BO$1&amp;C10,Teams!D:M,3,0)+AL74+AD74),0)</f>
        <v>3</v>
      </c>
      <c r="S74" s="4">
        <f>IFERROR((VLOOKUP($BO$1&amp;C10,Teams!D:M,4,0)+AM74-AE74),0)</f>
        <v>4</v>
      </c>
      <c r="T74" s="4">
        <f>IFERROR((VLOOKUP($BO$1&amp;C10,Teams!D:M,5,0)+AN74-AF74),0)</f>
        <v>0</v>
      </c>
      <c r="U74" s="4">
        <f>IFERROR((VLOOKUP($BO$1&amp;C10,Teams!D:M,6,0)+AO74+AG74),0)</f>
        <v>9</v>
      </c>
      <c r="V74" s="5"/>
      <c r="W74" s="5">
        <f>IFERROR((VLOOKUP($BO$1&amp;C10,Teams!D:M,2,0)),0)</f>
        <v>4</v>
      </c>
      <c r="X74" s="5">
        <f>IFERROR((VLOOKUP($BO$1&amp;C10,Teams!D:M,3,0)),0)</f>
        <v>3</v>
      </c>
      <c r="Y74" s="5">
        <f>IFERROR((VLOOKUP($BO$1&amp;C10,Teams!D:M,4,0)),0)</f>
        <v>4</v>
      </c>
      <c r="Z74" s="5">
        <f>IFERROR((VLOOKUP($BO$1&amp;C10,Teams!D:M,5,0)),0)</f>
        <v>0</v>
      </c>
      <c r="AA74" s="5">
        <f>IFERROR((VLOOKUP($BO$1&amp;C10,Teams!D:M,6,0)),0)</f>
        <v>9</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str">
        <f t="shared" si="110"/>
        <v>Fend</v>
      </c>
      <c r="CK74" s="5" t="str">
        <f t="shared" si="111"/>
        <v>Fend</v>
      </c>
      <c r="CL74" s="5" t="str">
        <f t="shared" si="112"/>
        <v>Fend</v>
      </c>
      <c r="CM74" s="5" t="str">
        <f t="shared" si="113"/>
        <v>Fend</v>
      </c>
      <c r="CN74" s="5" t="str">
        <f t="shared" si="114"/>
        <v>Fend</v>
      </c>
      <c r="CO74" s="5" t="str">
        <f t="shared" si="115"/>
        <v>Fend</v>
      </c>
      <c r="CP74" s="5" t="str">
        <f t="shared" si="116"/>
        <v>Fend</v>
      </c>
      <c r="CQ74" s="5" t="str">
        <f t="shared" si="117"/>
        <v>Fend</v>
      </c>
      <c r="CR74" s="5" t="str">
        <f t="shared" si="118"/>
        <v>Fend</v>
      </c>
      <c r="CS74" s="5" t="b">
        <f t="shared" si="119"/>
        <v>0</v>
      </c>
      <c r="CT74" s="5" t="b">
        <f t="shared" si="120"/>
        <v>0</v>
      </c>
      <c r="CU74" s="5" t="b">
        <f t="shared" si="121"/>
        <v>0</v>
      </c>
      <c r="CV74" s="5" t="b">
        <f t="shared" si="122"/>
        <v>0</v>
      </c>
      <c r="CW74" s="5"/>
      <c r="CX74" s="5"/>
      <c r="CY74" s="5"/>
      <c r="CZ74" s="5"/>
    </row>
    <row r="75" spans="1:104" ht="15" hidden="1" customHeight="1">
      <c r="A75" s="5"/>
      <c r="B75" s="5"/>
      <c r="C75" s="41"/>
      <c r="D75" s="41"/>
      <c r="E75" s="41"/>
      <c r="F75" s="41"/>
      <c r="G75" s="5"/>
      <c r="H75" s="5"/>
      <c r="I75" s="5"/>
      <c r="J75" s="5"/>
      <c r="K75" s="5">
        <f t="shared" si="123"/>
        <v>4</v>
      </c>
      <c r="L75" s="5">
        <f t="shared" si="124"/>
        <v>3</v>
      </c>
      <c r="M75" s="5">
        <f t="shared" ref="M75:N75" si="146">IF(S75=0,0,(IF(S75&gt;6,6,(IF(S75&lt;1,1,S75)))))</f>
        <v>4</v>
      </c>
      <c r="N75" s="5">
        <f t="shared" si="146"/>
        <v>0</v>
      </c>
      <c r="O75" s="5">
        <f t="shared" si="126"/>
        <v>9</v>
      </c>
      <c r="P75" s="5"/>
      <c r="Q75" s="4">
        <f>IFERROR((VLOOKUP($BO$1&amp;C11,Teams!D:M,2,0)+AK75+AC75),0)</f>
        <v>4</v>
      </c>
      <c r="R75" s="4">
        <f>IFERROR((VLOOKUP($BO$1&amp;C11,Teams!D:M,3,0)+AL75+AD75),0)</f>
        <v>3</v>
      </c>
      <c r="S75" s="4">
        <f>IFERROR((VLOOKUP($BO$1&amp;C11,Teams!D:M,4,0)+AM75-AE75),0)</f>
        <v>4</v>
      </c>
      <c r="T75" s="4">
        <f>IFERROR((VLOOKUP($BO$1&amp;C11,Teams!D:M,5,0)+AN75-AF75),0)</f>
        <v>0</v>
      </c>
      <c r="U75" s="4">
        <f>IFERROR((VLOOKUP($BO$1&amp;C11,Teams!D:M,6,0)+AO75+AG75),0)</f>
        <v>9</v>
      </c>
      <c r="V75" s="5"/>
      <c r="W75" s="5">
        <f>IFERROR((VLOOKUP($BO$1&amp;C11,Teams!D:M,2,0)),0)</f>
        <v>4</v>
      </c>
      <c r="X75" s="5">
        <f>IFERROR((VLOOKUP($BO$1&amp;C11,Teams!D:M,3,0)),0)</f>
        <v>3</v>
      </c>
      <c r="Y75" s="5">
        <f>IFERROR((VLOOKUP($BO$1&amp;C11,Teams!D:M,4,0)),0)</f>
        <v>4</v>
      </c>
      <c r="Z75" s="5">
        <f>IFERROR((VLOOKUP($BO$1&amp;C11,Teams!D:M,5,0)),0)</f>
        <v>0</v>
      </c>
      <c r="AA75" s="5">
        <f>IFERROR((VLOOKUP($BO$1&amp;C11,Teams!D:M,6,0)),0)</f>
        <v>9</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str">
        <f t="shared" si="110"/>
        <v>Frenzy</v>
      </c>
      <c r="CK75" s="5" t="str">
        <f t="shared" si="111"/>
        <v>Frenzy</v>
      </c>
      <c r="CL75" s="5" t="str">
        <f t="shared" si="112"/>
        <v>Frenzy</v>
      </c>
      <c r="CM75" s="5" t="str">
        <f t="shared" si="113"/>
        <v>Frenzy</v>
      </c>
      <c r="CN75" s="5" t="str">
        <f t="shared" si="114"/>
        <v>Frenzy</v>
      </c>
      <c r="CO75" s="5" t="str">
        <f t="shared" si="115"/>
        <v>Frenzy</v>
      </c>
      <c r="CP75" s="5" t="str">
        <f t="shared" si="116"/>
        <v>Frenzy</v>
      </c>
      <c r="CQ75" s="5" t="str">
        <f t="shared" si="117"/>
        <v>Frenzy</v>
      </c>
      <c r="CR75" s="5" t="str">
        <f t="shared" si="118"/>
        <v>Frenzy</v>
      </c>
      <c r="CS75" s="5" t="b">
        <f t="shared" si="119"/>
        <v>0</v>
      </c>
      <c r="CT75" s="5" t="b">
        <f t="shared" si="120"/>
        <v>0</v>
      </c>
      <c r="CU75" s="5" t="b">
        <f t="shared" si="121"/>
        <v>0</v>
      </c>
      <c r="CV75" s="5" t="b">
        <f t="shared" si="122"/>
        <v>0</v>
      </c>
      <c r="CW75" s="5"/>
      <c r="CX75" s="5"/>
      <c r="CY75" s="5"/>
      <c r="CZ75" s="5"/>
    </row>
    <row r="76" spans="1:104" ht="15" hidden="1" customHeight="1">
      <c r="A76" s="5"/>
      <c r="B76" s="41"/>
      <c r="C76" s="41"/>
      <c r="D76" s="41"/>
      <c r="E76" s="41"/>
      <c r="F76" s="41"/>
      <c r="G76" s="5"/>
      <c r="H76" s="5"/>
      <c r="I76" s="5"/>
      <c r="J76" s="5"/>
      <c r="K76" s="5">
        <f t="shared" si="123"/>
        <v>4</v>
      </c>
      <c r="L76" s="5">
        <f t="shared" si="124"/>
        <v>3</v>
      </c>
      <c r="M76" s="5">
        <f t="shared" ref="M76:N76" si="147">IF(S76=0,0,(IF(S76&gt;6,6,(IF(S76&lt;1,1,S76)))))</f>
        <v>4</v>
      </c>
      <c r="N76" s="5">
        <f t="shared" si="147"/>
        <v>0</v>
      </c>
      <c r="O76" s="5">
        <f t="shared" si="126"/>
        <v>9</v>
      </c>
      <c r="P76" s="5"/>
      <c r="Q76" s="4">
        <f>IFERROR((VLOOKUP($BO$1&amp;C12,Teams!D:M,2,0)+AK76+AC76),0)</f>
        <v>4</v>
      </c>
      <c r="R76" s="4">
        <f>IFERROR((VLOOKUP($BO$1&amp;C12,Teams!D:M,3,0)+AL76+AD76),0)</f>
        <v>3</v>
      </c>
      <c r="S76" s="4">
        <f>IFERROR((VLOOKUP($BO$1&amp;C12,Teams!D:M,4,0)+AM76-AE76),0)</f>
        <v>4</v>
      </c>
      <c r="T76" s="4">
        <f>IFERROR((VLOOKUP($BO$1&amp;C12,Teams!D:M,5,0)+AN76-AF76),0)</f>
        <v>0</v>
      </c>
      <c r="U76" s="4">
        <f>IFERROR((VLOOKUP($BO$1&amp;C12,Teams!D:M,6,0)+AO76+AG76),0)</f>
        <v>9</v>
      </c>
      <c r="V76" s="5"/>
      <c r="W76" s="5">
        <f>IFERROR((VLOOKUP($BO$1&amp;C12,Teams!D:M,2,0)),0)</f>
        <v>4</v>
      </c>
      <c r="X76" s="5">
        <f>IFERROR((VLOOKUP($BO$1&amp;C12,Teams!D:M,3,0)),0)</f>
        <v>3</v>
      </c>
      <c r="Y76" s="5">
        <f>IFERROR((VLOOKUP($BO$1&amp;C12,Teams!D:M,4,0)),0)</f>
        <v>4</v>
      </c>
      <c r="Z76" s="5">
        <f>IFERROR((VLOOKUP($BO$1&amp;C12,Teams!D:M,5,0)),0)</f>
        <v>0</v>
      </c>
      <c r="AA76" s="5">
        <f>IFERROR((VLOOKUP($BO$1&amp;C12,Teams!D:M,6,0)),0)</f>
        <v>9</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str">
        <f t="shared" si="110"/>
        <v>Kick</v>
      </c>
      <c r="CK76" s="5" t="str">
        <f t="shared" si="111"/>
        <v>Kick</v>
      </c>
      <c r="CL76" s="5" t="str">
        <f t="shared" si="112"/>
        <v>Kick</v>
      </c>
      <c r="CM76" s="5" t="str">
        <f t="shared" si="113"/>
        <v>Kick</v>
      </c>
      <c r="CN76" s="5" t="str">
        <f t="shared" si="114"/>
        <v>Kick</v>
      </c>
      <c r="CO76" s="5" t="str">
        <f t="shared" si="115"/>
        <v>Kick</v>
      </c>
      <c r="CP76" s="5" t="str">
        <f t="shared" si="116"/>
        <v>Kick</v>
      </c>
      <c r="CQ76" s="5" t="str">
        <f t="shared" si="117"/>
        <v>Kick</v>
      </c>
      <c r="CR76" s="5" t="str">
        <f t="shared" si="118"/>
        <v>Kick</v>
      </c>
      <c r="CS76" s="5" t="b">
        <f t="shared" si="119"/>
        <v>0</v>
      </c>
      <c r="CT76" s="5" t="b">
        <f t="shared" si="120"/>
        <v>0</v>
      </c>
      <c r="CU76" s="5" t="b">
        <f t="shared" si="121"/>
        <v>0</v>
      </c>
      <c r="CV76" s="5" t="b">
        <f t="shared" si="122"/>
        <v>0</v>
      </c>
      <c r="CW76" s="5"/>
      <c r="CX76" s="5"/>
      <c r="CY76" s="5"/>
      <c r="CZ76" s="5"/>
    </row>
    <row r="77" spans="1:104" ht="15" hidden="1" customHeight="1">
      <c r="A77" s="5"/>
      <c r="B77" s="57"/>
      <c r="C77" s="57"/>
      <c r="D77" s="57"/>
      <c r="E77" s="57"/>
      <c r="F77" s="57"/>
      <c r="G77" s="5"/>
      <c r="H77" s="5"/>
      <c r="I77" s="5"/>
      <c r="J77" s="5"/>
      <c r="K77" s="5">
        <f t="shared" si="123"/>
        <v>4</v>
      </c>
      <c r="L77" s="5">
        <f t="shared" si="124"/>
        <v>3</v>
      </c>
      <c r="M77" s="5">
        <f t="shared" ref="M77:N77" si="148">IF(S77=0,0,(IF(S77&gt;6,6,(IF(S77&lt;1,1,S77)))))</f>
        <v>4</v>
      </c>
      <c r="N77" s="5">
        <f t="shared" si="148"/>
        <v>0</v>
      </c>
      <c r="O77" s="5">
        <f t="shared" si="126"/>
        <v>9</v>
      </c>
      <c r="P77" s="5"/>
      <c r="Q77" s="4">
        <f>IFERROR((VLOOKUP($BO$1&amp;C13,Teams!D:M,2,0)+AK77+AC77),0)</f>
        <v>4</v>
      </c>
      <c r="R77" s="4">
        <f>IFERROR((VLOOKUP($BO$1&amp;C13,Teams!D:M,3,0)+AL77+AD77),0)</f>
        <v>3</v>
      </c>
      <c r="S77" s="4">
        <f>IFERROR((VLOOKUP($BO$1&amp;C13,Teams!D:M,4,0)+AM77-AE77),0)</f>
        <v>4</v>
      </c>
      <c r="T77" s="4">
        <f>IFERROR((VLOOKUP($BO$1&amp;C13,Teams!D:M,5,0)+AN77-AF77),0)</f>
        <v>0</v>
      </c>
      <c r="U77" s="4">
        <f>IFERROR((VLOOKUP($BO$1&amp;C13,Teams!D:M,6,0)+AO77+AG77),0)</f>
        <v>9</v>
      </c>
      <c r="V77" s="5"/>
      <c r="W77" s="5">
        <f>IFERROR((VLOOKUP($BO$1&amp;C13,Teams!D:M,2,0)),0)</f>
        <v>4</v>
      </c>
      <c r="X77" s="5">
        <f>IFERROR((VLOOKUP($BO$1&amp;C13,Teams!D:M,3,0)),0)</f>
        <v>3</v>
      </c>
      <c r="Y77" s="5">
        <f>IFERROR((VLOOKUP($BO$1&amp;C13,Teams!D:M,4,0)),0)</f>
        <v>4</v>
      </c>
      <c r="Z77" s="5">
        <f>IFERROR((VLOOKUP($BO$1&amp;C13,Teams!D:M,5,0)),0)</f>
        <v>0</v>
      </c>
      <c r="AA77" s="5">
        <f>IFERROR((VLOOKUP($BO$1&amp;C13,Teams!D:M,6,0)),0)</f>
        <v>9</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0</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str">
        <f t="shared" si="110"/>
        <v>Pro</v>
      </c>
      <c r="CK77" s="5" t="str">
        <f t="shared" si="111"/>
        <v>Pro</v>
      </c>
      <c r="CL77" s="5" t="str">
        <f t="shared" si="112"/>
        <v>Pro</v>
      </c>
      <c r="CM77" s="5" t="str">
        <f t="shared" si="113"/>
        <v>Pro</v>
      </c>
      <c r="CN77" s="5" t="str">
        <f t="shared" si="114"/>
        <v>Pro</v>
      </c>
      <c r="CO77" s="5" t="str">
        <f t="shared" si="115"/>
        <v>Pro</v>
      </c>
      <c r="CP77" s="5" t="str">
        <f t="shared" si="116"/>
        <v>Pro</v>
      </c>
      <c r="CQ77" s="5" t="str">
        <f t="shared" si="117"/>
        <v>Pro</v>
      </c>
      <c r="CR77" s="5" t="str">
        <f t="shared" si="118"/>
        <v>Pro</v>
      </c>
      <c r="CS77" s="5" t="b">
        <f t="shared" si="119"/>
        <v>0</v>
      </c>
      <c r="CT77" s="5" t="b">
        <f t="shared" si="120"/>
        <v>0</v>
      </c>
      <c r="CU77" s="5" t="b">
        <f t="shared" si="121"/>
        <v>0</v>
      </c>
      <c r="CV77" s="5" t="b">
        <f t="shared" si="122"/>
        <v>0</v>
      </c>
      <c r="CW77" s="5"/>
      <c r="CX77" s="5"/>
      <c r="CY77" s="5"/>
      <c r="CZ77" s="5"/>
    </row>
    <row r="78" spans="1:104" ht="15" hidden="1" customHeight="1">
      <c r="A78" s="5"/>
      <c r="B78" s="41"/>
      <c r="C78" s="41"/>
      <c r="D78" s="41"/>
      <c r="E78" s="41"/>
      <c r="F78" s="41"/>
      <c r="G78" s="5"/>
      <c r="H78" s="5"/>
      <c r="I78" s="5"/>
      <c r="J78" s="5"/>
      <c r="K78" s="5">
        <f t="shared" si="123"/>
        <v>0</v>
      </c>
      <c r="L78" s="5">
        <f t="shared" si="124"/>
        <v>0</v>
      </c>
      <c r="M78" s="5">
        <f t="shared" ref="M78:N78" si="149">IF(S78=0,0,(IF(S78&gt;6,6,(IF(S78&lt;1,1,S78)))))</f>
        <v>0</v>
      </c>
      <c r="N78" s="5">
        <f t="shared" si="149"/>
        <v>0</v>
      </c>
      <c r="O78" s="5">
        <f t="shared" si="126"/>
        <v>0</v>
      </c>
      <c r="P78" s="5"/>
      <c r="Q78" s="4">
        <f>IFERROR((VLOOKUP($BO$1&amp;C14,Teams!D:M,2,0)+AK78+AC78),0)</f>
        <v>0</v>
      </c>
      <c r="R78" s="4">
        <f>IFERROR((VLOOKUP($BO$1&amp;C14,Teams!D:M,3,0)+AL78+AD78),0)</f>
        <v>0</v>
      </c>
      <c r="S78" s="4">
        <f>IFERROR((VLOOKUP($BO$1&amp;C14,Teams!D:M,4,0)+AM78-AE78),0)</f>
        <v>0</v>
      </c>
      <c r="T78" s="4">
        <f>IFERROR((VLOOKUP($BO$1&amp;C14,Teams!D:M,5,0)+AN78-AF78),0)</f>
        <v>0</v>
      </c>
      <c r="U78" s="4">
        <f>IFERROR((VLOOKUP($BO$1&amp;C14,Teams!D:M,6,0)+AO78+AG78),0)</f>
        <v>0</v>
      </c>
      <c r="V78" s="5"/>
      <c r="W78" s="5">
        <f>IFERROR((VLOOKUP($BO$1&amp;C14,Teams!D:M,2,0)),0)</f>
        <v>0</v>
      </c>
      <c r="X78" s="5">
        <f>IFERROR((VLOOKUP($BO$1&amp;C14,Teams!D:M,3,0)),0)</f>
        <v>0</v>
      </c>
      <c r="Y78" s="5">
        <f>IFERROR((VLOOKUP($BO$1&amp;C14,Teams!D:M,4,0)),0)</f>
        <v>0</v>
      </c>
      <c r="Z78" s="5">
        <f>IFERROR((VLOOKUP($BO$1&amp;C14,Teams!D:M,5,0)),0)</f>
        <v>0</v>
      </c>
      <c r="AA78" s="5">
        <f>IFERROR((VLOOKUP($BO$1&amp;C14,Teams!D:M,6,0)),0)</f>
        <v>0</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str">
        <f t="shared" si="110"/>
        <v>Shadowing</v>
      </c>
      <c r="CK78" s="5" t="str">
        <f t="shared" si="111"/>
        <v>Shadowing</v>
      </c>
      <c r="CL78" s="5" t="str">
        <f t="shared" si="112"/>
        <v>Shadowing</v>
      </c>
      <c r="CM78" s="5" t="str">
        <f t="shared" si="113"/>
        <v>Shadowing</v>
      </c>
      <c r="CN78" s="5" t="str">
        <f t="shared" si="114"/>
        <v>Shadowing</v>
      </c>
      <c r="CO78" s="5" t="str">
        <f t="shared" si="115"/>
        <v>Shadowing</v>
      </c>
      <c r="CP78" s="5" t="str">
        <f t="shared" si="116"/>
        <v>Shadowing</v>
      </c>
      <c r="CQ78" s="5" t="str">
        <f t="shared" si="117"/>
        <v>Shadowing</v>
      </c>
      <c r="CR78" s="5" t="str">
        <f t="shared" si="118"/>
        <v>Shadowing</v>
      </c>
      <c r="CS78" s="5" t="b">
        <f t="shared" si="119"/>
        <v>0</v>
      </c>
      <c r="CT78" s="5" t="b">
        <f t="shared" si="120"/>
        <v>0</v>
      </c>
      <c r="CU78" s="5" t="b">
        <f t="shared" si="121"/>
        <v>0</v>
      </c>
      <c r="CV78" s="5" t="b">
        <f t="shared" si="122"/>
        <v>0</v>
      </c>
      <c r="CW78" s="5"/>
      <c r="CX78" s="5"/>
      <c r="CY78" s="5"/>
      <c r="CZ78" s="5"/>
    </row>
    <row r="79" spans="1:104" ht="15" hidden="1" customHeight="1">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0</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str">
        <f t="shared" si="110"/>
        <v>Strip Ball</v>
      </c>
      <c r="CK79" s="5" t="str">
        <f t="shared" si="111"/>
        <v>Strip Ball</v>
      </c>
      <c r="CL79" s="5" t="str">
        <f t="shared" si="112"/>
        <v>Strip Ball</v>
      </c>
      <c r="CM79" s="5" t="str">
        <f t="shared" si="113"/>
        <v>Strip Ball</v>
      </c>
      <c r="CN79" s="5" t="str">
        <f t="shared" si="114"/>
        <v>Strip Ball</v>
      </c>
      <c r="CO79" s="5" t="str">
        <f t="shared" si="115"/>
        <v>Strip Ball</v>
      </c>
      <c r="CP79" s="5" t="str">
        <f t="shared" si="116"/>
        <v>Strip Ball</v>
      </c>
      <c r="CQ79" s="5" t="str">
        <f t="shared" si="117"/>
        <v>Strip Ball</v>
      </c>
      <c r="CR79" s="5" t="str">
        <f t="shared" si="118"/>
        <v>Strip Ball</v>
      </c>
      <c r="CS79" s="5" t="b">
        <f t="shared" si="119"/>
        <v>0</v>
      </c>
      <c r="CT79" s="5" t="b">
        <f t="shared" si="120"/>
        <v>0</v>
      </c>
      <c r="CU79" s="5" t="b">
        <f t="shared" si="121"/>
        <v>0</v>
      </c>
      <c r="CV79" s="5" t="b">
        <f t="shared" si="122"/>
        <v>0</v>
      </c>
      <c r="CW79" s="5"/>
      <c r="CX79" s="5"/>
      <c r="CY79" s="5"/>
      <c r="CZ79" s="5"/>
    </row>
    <row r="80" spans="1:104" ht="15" hidden="1" customHeight="1">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str">
        <f t="shared" si="110"/>
        <v>Sure Hands</v>
      </c>
      <c r="CK80" s="5" t="str">
        <f t="shared" si="111"/>
        <v>Sure Hands</v>
      </c>
      <c r="CL80" s="5" t="str">
        <f t="shared" si="112"/>
        <v>Sure Hands</v>
      </c>
      <c r="CM80" s="5" t="str">
        <f t="shared" si="113"/>
        <v>Sure Hands</v>
      </c>
      <c r="CN80" s="5" t="str">
        <f t="shared" si="114"/>
        <v>Sure Hands</v>
      </c>
      <c r="CO80" s="5" t="str">
        <f t="shared" si="115"/>
        <v>Sure Hands</v>
      </c>
      <c r="CP80" s="5" t="str">
        <f t="shared" si="116"/>
        <v>Sure Hands</v>
      </c>
      <c r="CQ80" s="5" t="str">
        <f t="shared" si="117"/>
        <v>Sure Hands</v>
      </c>
      <c r="CR80" s="5" t="str">
        <f t="shared" si="118"/>
        <v>Sure Hands</v>
      </c>
      <c r="CS80" s="5" t="b">
        <f t="shared" si="119"/>
        <v>0</v>
      </c>
      <c r="CT80" s="5" t="b">
        <f t="shared" si="120"/>
        <v>0</v>
      </c>
      <c r="CU80" s="5" t="b">
        <f t="shared" si="121"/>
        <v>0</v>
      </c>
      <c r="CV80" s="5" t="b">
        <f t="shared" si="122"/>
        <v>0</v>
      </c>
      <c r="CW80" s="5"/>
      <c r="CX80" s="5"/>
      <c r="CY80" s="5"/>
      <c r="CZ80" s="5"/>
    </row>
    <row r="81" spans="1:104" ht="15" hidden="1" customHeight="1">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str">
        <f t="shared" si="110"/>
        <v>Tackle</v>
      </c>
      <c r="CK81" s="5" t="str">
        <f t="shared" si="111"/>
        <v>Tackle</v>
      </c>
      <c r="CL81" s="5" t="str">
        <f t="shared" si="112"/>
        <v>Tackle</v>
      </c>
      <c r="CM81" s="5" t="str">
        <f t="shared" si="113"/>
        <v>Tackle</v>
      </c>
      <c r="CN81" s="5" t="str">
        <f t="shared" si="114"/>
        <v>Tackle</v>
      </c>
      <c r="CO81" s="5" t="str">
        <f t="shared" si="115"/>
        <v>Tackle</v>
      </c>
      <c r="CP81" s="5" t="str">
        <f t="shared" si="116"/>
        <v>Tackle</v>
      </c>
      <c r="CQ81" s="5" t="str">
        <f t="shared" si="117"/>
        <v>Tackle</v>
      </c>
      <c r="CR81" s="5" t="str">
        <f t="shared" si="118"/>
        <v>Tackle</v>
      </c>
      <c r="CS81" s="5" t="b">
        <f t="shared" si="119"/>
        <v>0</v>
      </c>
      <c r="CT81" s="5" t="b">
        <f t="shared" si="120"/>
        <v>0</v>
      </c>
      <c r="CU81" s="5" t="b">
        <f t="shared" si="121"/>
        <v>0</v>
      </c>
      <c r="CV81" s="5" t="b">
        <f t="shared" si="122"/>
        <v>0</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str">
        <f t="shared" si="110"/>
        <v>Wrestle</v>
      </c>
      <c r="CK82" s="5" t="str">
        <f t="shared" si="111"/>
        <v>Wrestle</v>
      </c>
      <c r="CL82" s="5" t="str">
        <f t="shared" si="112"/>
        <v>Wrestle</v>
      </c>
      <c r="CM82" s="5" t="str">
        <f t="shared" si="113"/>
        <v>Wrestle</v>
      </c>
      <c r="CN82" s="5" t="str">
        <f t="shared" si="114"/>
        <v>Wrestle</v>
      </c>
      <c r="CO82" s="5" t="str">
        <f t="shared" si="115"/>
        <v>Wrestle</v>
      </c>
      <c r="CP82" s="5" t="str">
        <f t="shared" si="116"/>
        <v>Wrestle</v>
      </c>
      <c r="CQ82" s="5" t="str">
        <f t="shared" si="117"/>
        <v>Wrestle</v>
      </c>
      <c r="CR82" s="5" t="str">
        <f t="shared" si="118"/>
        <v>Wrestle</v>
      </c>
      <c r="CS82" s="5" t="b">
        <f t="shared" si="119"/>
        <v>0</v>
      </c>
      <c r="CT82" s="5" t="b">
        <f t="shared" si="120"/>
        <v>0</v>
      </c>
      <c r="CU82" s="5" t="b">
        <f t="shared" si="121"/>
        <v>0</v>
      </c>
      <c r="CV82" s="5" t="b">
        <f t="shared" si="122"/>
        <v>0</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str">
        <f t="shared" si="110"/>
        <v>Catch</v>
      </c>
      <c r="CK83" s="5" t="str">
        <f t="shared" si="111"/>
        <v>Catch</v>
      </c>
      <c r="CL83" s="5" t="str">
        <f t="shared" si="112"/>
        <v>Catch</v>
      </c>
      <c r="CM83" s="5" t="str">
        <f t="shared" si="113"/>
        <v>Catch</v>
      </c>
      <c r="CN83" s="5" t="str">
        <f t="shared" si="114"/>
        <v>Catch</v>
      </c>
      <c r="CO83" s="5" t="str">
        <f t="shared" si="115"/>
        <v>Catch</v>
      </c>
      <c r="CP83" s="5" t="str">
        <f t="shared" si="116"/>
        <v>Catch</v>
      </c>
      <c r="CQ83" s="5" t="str">
        <f t="shared" si="117"/>
        <v>Catch</v>
      </c>
      <c r="CR83" s="5" t="str">
        <f t="shared" si="118"/>
        <v>Catch</v>
      </c>
      <c r="CS83" s="5" t="b">
        <f t="shared" si="119"/>
        <v>0</v>
      </c>
      <c r="CT83" s="5" t="b">
        <f t="shared" si="120"/>
        <v>0</v>
      </c>
      <c r="CU83" s="5" t="b">
        <f t="shared" si="121"/>
        <v>0</v>
      </c>
      <c r="CV83" s="5" t="b">
        <f t="shared" si="122"/>
        <v>0</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str">
        <f t="shared" si="110"/>
        <v>Diving Catch</v>
      </c>
      <c r="CK84" s="5" t="str">
        <f t="shared" si="111"/>
        <v>Diving Catch</v>
      </c>
      <c r="CL84" s="5" t="str">
        <f t="shared" si="112"/>
        <v>Diving Catch</v>
      </c>
      <c r="CM84" s="5" t="str">
        <f t="shared" si="113"/>
        <v>Diving Catch</v>
      </c>
      <c r="CN84" s="5" t="str">
        <f t="shared" si="114"/>
        <v>Diving Catch</v>
      </c>
      <c r="CO84" s="5" t="str">
        <f t="shared" si="115"/>
        <v>Diving Catch</v>
      </c>
      <c r="CP84" s="5" t="str">
        <f t="shared" si="116"/>
        <v>Diving Catch</v>
      </c>
      <c r="CQ84" s="5" t="str">
        <f t="shared" si="117"/>
        <v>Diving Catch</v>
      </c>
      <c r="CR84" s="5" t="str">
        <f t="shared" si="118"/>
        <v>Diving Catch</v>
      </c>
      <c r="CS84" s="5" t="b">
        <f t="shared" si="119"/>
        <v>0</v>
      </c>
      <c r="CT84" s="5" t="b">
        <f t="shared" si="120"/>
        <v>0</v>
      </c>
      <c r="CU84" s="5" t="b">
        <f t="shared" si="121"/>
        <v>0</v>
      </c>
      <c r="CV84" s="5" t="b">
        <f t="shared" si="122"/>
        <v>0</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str">
        <f t="shared" si="110"/>
        <v>Diving Tackle</v>
      </c>
      <c r="CK85" s="5" t="str">
        <f t="shared" si="111"/>
        <v>Diving Tackle</v>
      </c>
      <c r="CL85" s="5" t="str">
        <f t="shared" si="112"/>
        <v>Diving Tackle</v>
      </c>
      <c r="CM85" s="5" t="str">
        <f t="shared" si="113"/>
        <v>Diving Tackle</v>
      </c>
      <c r="CN85" s="5" t="str">
        <f t="shared" si="114"/>
        <v>Diving Tackle</v>
      </c>
      <c r="CO85" s="5" t="str">
        <f t="shared" si="115"/>
        <v>Diving Tackle</v>
      </c>
      <c r="CP85" s="5" t="str">
        <f t="shared" si="116"/>
        <v>Diving Tackle</v>
      </c>
      <c r="CQ85" s="5" t="str">
        <f t="shared" si="117"/>
        <v>Diving Tackle</v>
      </c>
      <c r="CR85" s="5" t="str">
        <f t="shared" si="118"/>
        <v>Diving Tackle</v>
      </c>
      <c r="CS85" s="5" t="b">
        <f t="shared" si="119"/>
        <v>0</v>
      </c>
      <c r="CT85" s="5" t="b">
        <f t="shared" si="120"/>
        <v>0</v>
      </c>
      <c r="CU85" s="5" t="b">
        <f t="shared" si="121"/>
        <v>0</v>
      </c>
      <c r="CV85" s="5" t="b">
        <f t="shared" si="122"/>
        <v>0</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str">
        <f t="shared" si="110"/>
        <v>Dodge</v>
      </c>
      <c r="CK86" s="5" t="str">
        <f t="shared" si="111"/>
        <v>Dodge</v>
      </c>
      <c r="CL86" s="5" t="str">
        <f t="shared" si="112"/>
        <v>Dodge</v>
      </c>
      <c r="CM86" s="5" t="str">
        <f t="shared" si="113"/>
        <v>Dodge</v>
      </c>
      <c r="CN86" s="5" t="str">
        <f t="shared" si="114"/>
        <v>Dodge</v>
      </c>
      <c r="CO86" s="5" t="str">
        <f t="shared" si="115"/>
        <v>Dodge</v>
      </c>
      <c r="CP86" s="5" t="str">
        <f t="shared" si="116"/>
        <v>Dodge</v>
      </c>
      <c r="CQ86" s="5" t="str">
        <f t="shared" si="117"/>
        <v>Dodge</v>
      </c>
      <c r="CR86" s="5" t="str">
        <f t="shared" si="118"/>
        <v>Dodge</v>
      </c>
      <c r="CS86" s="5" t="b">
        <f t="shared" si="119"/>
        <v>0</v>
      </c>
      <c r="CT86" s="5" t="b">
        <f t="shared" si="120"/>
        <v>0</v>
      </c>
      <c r="CU86" s="5" t="b">
        <f t="shared" si="121"/>
        <v>0</v>
      </c>
      <c r="CV86" s="5" t="b">
        <f t="shared" si="122"/>
        <v>0</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str">
        <f t="shared" si="110"/>
        <v>Defensive</v>
      </c>
      <c r="CK87" s="5" t="str">
        <f t="shared" si="111"/>
        <v>Defensive</v>
      </c>
      <c r="CL87" s="5" t="str">
        <f t="shared" si="112"/>
        <v>Defensive</v>
      </c>
      <c r="CM87" s="5" t="str">
        <f t="shared" si="113"/>
        <v>Defensive</v>
      </c>
      <c r="CN87" s="5" t="str">
        <f t="shared" si="114"/>
        <v>Defensive</v>
      </c>
      <c r="CO87" s="5" t="str">
        <f t="shared" si="115"/>
        <v>Defensive</v>
      </c>
      <c r="CP87" s="5" t="str">
        <f t="shared" si="116"/>
        <v>Defensive</v>
      </c>
      <c r="CQ87" s="5" t="str">
        <f t="shared" si="117"/>
        <v>Defensive</v>
      </c>
      <c r="CR87" s="5" t="str">
        <f t="shared" si="118"/>
        <v>Defensive</v>
      </c>
      <c r="CS87" s="5" t="b">
        <f t="shared" si="119"/>
        <v>0</v>
      </c>
      <c r="CT87" s="5" t="b">
        <f t="shared" si="120"/>
        <v>0</v>
      </c>
      <c r="CU87" s="5" t="b">
        <f t="shared" si="121"/>
        <v>0</v>
      </c>
      <c r="CV87" s="5" t="b">
        <f t="shared" si="122"/>
        <v>0</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str">
        <f t="shared" si="110"/>
        <v>Jump Up</v>
      </c>
      <c r="CK88" s="5" t="str">
        <f t="shared" si="111"/>
        <v>Jump Up</v>
      </c>
      <c r="CL88" s="5" t="str">
        <f t="shared" si="112"/>
        <v>Jump Up</v>
      </c>
      <c r="CM88" s="5" t="str">
        <f t="shared" si="113"/>
        <v>Jump Up</v>
      </c>
      <c r="CN88" s="5" t="str">
        <f t="shared" si="114"/>
        <v>Jump Up</v>
      </c>
      <c r="CO88" s="5" t="str">
        <f t="shared" si="115"/>
        <v>Jump Up</v>
      </c>
      <c r="CP88" s="5" t="str">
        <f t="shared" si="116"/>
        <v>Jump Up</v>
      </c>
      <c r="CQ88" s="5" t="str">
        <f t="shared" si="117"/>
        <v>Jump Up</v>
      </c>
      <c r="CR88" s="5" t="str">
        <f t="shared" si="118"/>
        <v>Jump Up</v>
      </c>
      <c r="CS88" s="5" t="b">
        <f t="shared" si="119"/>
        <v>0</v>
      </c>
      <c r="CT88" s="5" t="b">
        <f t="shared" si="120"/>
        <v>0</v>
      </c>
      <c r="CU88" s="5" t="b">
        <f t="shared" si="121"/>
        <v>0</v>
      </c>
      <c r="CV88" s="5" t="b">
        <f t="shared" si="122"/>
        <v>0</v>
      </c>
      <c r="CW88" s="5"/>
      <c r="CX88" s="5"/>
      <c r="CY88" s="5"/>
      <c r="CZ88" s="5"/>
    </row>
    <row r="89" spans="1:104" ht="15" hidden="1" customHeight="1">
      <c r="A89" s="5"/>
      <c r="B89" s="358"/>
      <c r="C89" s="357"/>
      <c r="D89" s="357"/>
      <c r="E89" s="357"/>
      <c r="F89" s="357"/>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str">
        <f t="shared" si="110"/>
        <v>Leap</v>
      </c>
      <c r="CK89" s="5" t="str">
        <f t="shared" si="111"/>
        <v>Leap</v>
      </c>
      <c r="CL89" s="5" t="str">
        <f t="shared" si="112"/>
        <v>Leap</v>
      </c>
      <c r="CM89" s="5" t="str">
        <f t="shared" si="113"/>
        <v>Leap</v>
      </c>
      <c r="CN89" s="5" t="str">
        <f t="shared" si="114"/>
        <v>Leap</v>
      </c>
      <c r="CO89" s="5" t="str">
        <f t="shared" si="115"/>
        <v>Leap</v>
      </c>
      <c r="CP89" s="5" t="str">
        <f t="shared" si="116"/>
        <v>Leap</v>
      </c>
      <c r="CQ89" s="5" t="str">
        <f t="shared" si="117"/>
        <v>Leap</v>
      </c>
      <c r="CR89" s="5" t="str">
        <f t="shared" si="118"/>
        <v>Leap</v>
      </c>
      <c r="CS89" s="5" t="b">
        <f t="shared" si="119"/>
        <v>0</v>
      </c>
      <c r="CT89" s="5" t="b">
        <f t="shared" si="120"/>
        <v>0</v>
      </c>
      <c r="CU89" s="5" t="b">
        <f t="shared" si="121"/>
        <v>0</v>
      </c>
      <c r="CV89" s="5" t="b">
        <f t="shared" si="122"/>
        <v>0</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str">
        <f t="shared" si="110"/>
        <v>Safe Pair of Hands</v>
      </c>
      <c r="CK90" s="5" t="str">
        <f t="shared" si="111"/>
        <v>Safe Pair of Hands</v>
      </c>
      <c r="CL90" s="5" t="str">
        <f t="shared" si="112"/>
        <v>Safe Pair of Hands</v>
      </c>
      <c r="CM90" s="5" t="str">
        <f t="shared" si="113"/>
        <v>Safe Pair of Hands</v>
      </c>
      <c r="CN90" s="5" t="str">
        <f t="shared" si="114"/>
        <v>Safe Pair of Hands</v>
      </c>
      <c r="CO90" s="5" t="str">
        <f t="shared" si="115"/>
        <v>Safe Pair of Hands</v>
      </c>
      <c r="CP90" s="5" t="str">
        <f t="shared" si="116"/>
        <v>Safe Pair of Hands</v>
      </c>
      <c r="CQ90" s="5" t="str">
        <f t="shared" si="117"/>
        <v>Safe Pair of Hands</v>
      </c>
      <c r="CR90" s="5" t="str">
        <f t="shared" si="118"/>
        <v>Safe Pair of Hands</v>
      </c>
      <c r="CS90" s="5" t="b">
        <f t="shared" si="119"/>
        <v>0</v>
      </c>
      <c r="CT90" s="5" t="b">
        <f t="shared" si="120"/>
        <v>0</v>
      </c>
      <c r="CU90" s="5" t="b">
        <f t="shared" si="121"/>
        <v>0</v>
      </c>
      <c r="CV90" s="5" t="b">
        <f t="shared" si="122"/>
        <v>0</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str">
        <f t="shared" si="110"/>
        <v>Sidestep</v>
      </c>
      <c r="CK91" s="5" t="str">
        <f t="shared" si="111"/>
        <v>Sidestep</v>
      </c>
      <c r="CL91" s="5" t="str">
        <f t="shared" si="112"/>
        <v>Sidestep</v>
      </c>
      <c r="CM91" s="5" t="str">
        <f t="shared" si="113"/>
        <v>Sidestep</v>
      </c>
      <c r="CN91" s="5" t="str">
        <f t="shared" si="114"/>
        <v>Sidestep</v>
      </c>
      <c r="CO91" s="5" t="str">
        <f t="shared" si="115"/>
        <v>Sidestep</v>
      </c>
      <c r="CP91" s="5" t="str">
        <f t="shared" si="116"/>
        <v>Sidestep</v>
      </c>
      <c r="CQ91" s="5" t="str">
        <f t="shared" si="117"/>
        <v>Sidestep</v>
      </c>
      <c r="CR91" s="5" t="str">
        <f t="shared" si="118"/>
        <v>Sidestep</v>
      </c>
      <c r="CS91" s="5" t="b">
        <f t="shared" si="119"/>
        <v>0</v>
      </c>
      <c r="CT91" s="5" t="b">
        <f t="shared" si="120"/>
        <v>0</v>
      </c>
      <c r="CU91" s="5" t="b">
        <f t="shared" si="121"/>
        <v>0</v>
      </c>
      <c r="CV91" s="5" t="b">
        <f t="shared" si="122"/>
        <v>0</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str">
        <f t="shared" si="110"/>
        <v>Sneaky Git</v>
      </c>
      <c r="CK92" s="5" t="str">
        <f t="shared" si="111"/>
        <v>Sneaky Git</v>
      </c>
      <c r="CL92" s="5" t="str">
        <f t="shared" si="112"/>
        <v>Sneaky Git</v>
      </c>
      <c r="CM92" s="5" t="str">
        <f t="shared" si="113"/>
        <v>Sneaky Git</v>
      </c>
      <c r="CN92" s="5" t="str">
        <f t="shared" si="114"/>
        <v>Sneaky Git</v>
      </c>
      <c r="CO92" s="5" t="str">
        <f t="shared" si="115"/>
        <v>Sneaky Git</v>
      </c>
      <c r="CP92" s="5" t="str">
        <f t="shared" si="116"/>
        <v>Sneaky Git</v>
      </c>
      <c r="CQ92" s="5" t="str">
        <f t="shared" si="117"/>
        <v>Sneaky Git</v>
      </c>
      <c r="CR92" s="5" t="str">
        <f t="shared" si="118"/>
        <v>Sneaky Git</v>
      </c>
      <c r="CS92" s="5" t="b">
        <f t="shared" si="119"/>
        <v>0</v>
      </c>
      <c r="CT92" s="5" t="b">
        <f t="shared" si="120"/>
        <v>0</v>
      </c>
      <c r="CU92" s="5" t="b">
        <f t="shared" si="121"/>
        <v>0</v>
      </c>
      <c r="CV92" s="5" t="b">
        <f t="shared" si="122"/>
        <v>0</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str">
        <f t="shared" si="110"/>
        <v>Sprint</v>
      </c>
      <c r="CK93" s="5" t="str">
        <f t="shared" si="111"/>
        <v>Sprint</v>
      </c>
      <c r="CL93" s="5" t="str">
        <f t="shared" si="112"/>
        <v>Sprint</v>
      </c>
      <c r="CM93" s="5" t="str">
        <f t="shared" si="113"/>
        <v>Sprint</v>
      </c>
      <c r="CN93" s="5" t="str">
        <f t="shared" si="114"/>
        <v>Sprint</v>
      </c>
      <c r="CO93" s="5" t="str">
        <f t="shared" si="115"/>
        <v>Sprint</v>
      </c>
      <c r="CP93" s="5" t="str">
        <f t="shared" si="116"/>
        <v>Sprint</v>
      </c>
      <c r="CQ93" s="5" t="str">
        <f t="shared" si="117"/>
        <v>Sprint</v>
      </c>
      <c r="CR93" s="5" t="str">
        <f t="shared" si="118"/>
        <v>Sprint</v>
      </c>
      <c r="CS93" s="5" t="b">
        <f t="shared" si="119"/>
        <v>0</v>
      </c>
      <c r="CT93" s="5" t="b">
        <f t="shared" si="120"/>
        <v>0</v>
      </c>
      <c r="CU93" s="5" t="b">
        <f t="shared" si="121"/>
        <v>0</v>
      </c>
      <c r="CV93" s="5" t="b">
        <f t="shared" si="122"/>
        <v>0</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str">
        <f t="shared" si="110"/>
        <v>Sure Feet</v>
      </c>
      <c r="CK94" s="5" t="str">
        <f t="shared" si="111"/>
        <v>Sure Feet</v>
      </c>
      <c r="CL94" s="5" t="str">
        <f t="shared" si="112"/>
        <v>Sure Feet</v>
      </c>
      <c r="CM94" s="5" t="str">
        <f t="shared" si="113"/>
        <v>Sure Feet</v>
      </c>
      <c r="CN94" s="5" t="str">
        <f t="shared" si="114"/>
        <v>Sure Feet</v>
      </c>
      <c r="CO94" s="5" t="str">
        <f t="shared" si="115"/>
        <v>Sure Feet</v>
      </c>
      <c r="CP94" s="5" t="str">
        <f t="shared" si="116"/>
        <v>Sure Feet</v>
      </c>
      <c r="CQ94" s="5" t="str">
        <f t="shared" si="117"/>
        <v>Sure Feet</v>
      </c>
      <c r="CR94" s="5" t="str">
        <f t="shared" si="118"/>
        <v>Sure Feet</v>
      </c>
      <c r="CS94" s="5" t="b">
        <f t="shared" si="119"/>
        <v>0</v>
      </c>
      <c r="CT94" s="5" t="b">
        <f t="shared" si="120"/>
        <v>0</v>
      </c>
      <c r="CU94" s="5" t="b">
        <f t="shared" si="121"/>
        <v>0</v>
      </c>
      <c r="CV94" s="5" t="b">
        <f t="shared" si="122"/>
        <v>0</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Arm Bar</v>
      </c>
      <c r="CH95" s="207" t="str">
        <f t="shared" si="108"/>
        <v>Arm Bar</v>
      </c>
      <c r="CI95" s="5" t="str">
        <f t="shared" si="109"/>
        <v>Arm Bar</v>
      </c>
      <c r="CJ95" s="5" t="str">
        <f t="shared" si="110"/>
        <v>Arm Bar</v>
      </c>
      <c r="CK95" s="5" t="str">
        <f t="shared" si="111"/>
        <v>Accurate</v>
      </c>
      <c r="CL95" s="5" t="str">
        <f t="shared" si="112"/>
        <v>Accurate</v>
      </c>
      <c r="CM95" s="5" t="str">
        <f t="shared" si="113"/>
        <v>Accurate</v>
      </c>
      <c r="CN95" s="5" t="str">
        <f t="shared" si="114"/>
        <v>Accurate</v>
      </c>
      <c r="CO95" s="5" t="str">
        <f t="shared" si="115"/>
        <v>Arm Bar</v>
      </c>
      <c r="CP95" s="5" t="str">
        <f t="shared" si="116"/>
        <v>Arm Bar</v>
      </c>
      <c r="CQ95" s="5" t="str">
        <f t="shared" si="117"/>
        <v>Arm Bar</v>
      </c>
      <c r="CR95" s="5" t="str">
        <f t="shared" si="118"/>
        <v>Arm Bar</v>
      </c>
      <c r="CS95" s="5" t="b">
        <f t="shared" si="119"/>
        <v>0</v>
      </c>
      <c r="CT95" s="5" t="b">
        <f t="shared" si="120"/>
        <v>0</v>
      </c>
      <c r="CU95" s="5" t="b">
        <f t="shared" si="121"/>
        <v>0</v>
      </c>
      <c r="CV95" s="5" t="b">
        <f t="shared" si="122"/>
        <v>0</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Brawler</v>
      </c>
      <c r="CH96" s="207" t="str">
        <f t="shared" si="108"/>
        <v>Brawler</v>
      </c>
      <c r="CI96" s="5" t="str">
        <f t="shared" si="109"/>
        <v>Brawler</v>
      </c>
      <c r="CJ96" s="5" t="str">
        <f t="shared" si="110"/>
        <v>Brawler</v>
      </c>
      <c r="CK96" s="5" t="str">
        <f t="shared" si="111"/>
        <v>Cannoneer</v>
      </c>
      <c r="CL96" s="5" t="str">
        <f t="shared" si="112"/>
        <v>Cannoneer</v>
      </c>
      <c r="CM96" s="5" t="str">
        <f t="shared" si="113"/>
        <v>Cannoneer</v>
      </c>
      <c r="CN96" s="5" t="str">
        <f t="shared" si="114"/>
        <v>Cannoneer</v>
      </c>
      <c r="CO96" s="5" t="str">
        <f t="shared" si="115"/>
        <v>Brawler</v>
      </c>
      <c r="CP96" s="5" t="str">
        <f t="shared" si="116"/>
        <v>Brawler</v>
      </c>
      <c r="CQ96" s="5" t="str">
        <f t="shared" si="117"/>
        <v>Brawler</v>
      </c>
      <c r="CR96" s="5" t="str">
        <f t="shared" si="118"/>
        <v>Brawler</v>
      </c>
      <c r="CS96" s="5" t="b">
        <f t="shared" si="119"/>
        <v>0</v>
      </c>
      <c r="CT96" s="5" t="b">
        <f t="shared" si="120"/>
        <v>0</v>
      </c>
      <c r="CU96" s="5" t="b">
        <f t="shared" si="121"/>
        <v>0</v>
      </c>
      <c r="CV96" s="5" t="b">
        <f t="shared" si="122"/>
        <v>0</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Break Tackle</v>
      </c>
      <c r="CH97" s="207" t="str">
        <f t="shared" si="108"/>
        <v>Break Tackle</v>
      </c>
      <c r="CI97" s="5" t="str">
        <f t="shared" si="109"/>
        <v>Break Tackle</v>
      </c>
      <c r="CJ97" s="5" t="str">
        <f t="shared" si="110"/>
        <v>Break Tackle</v>
      </c>
      <c r="CK97" s="5" t="str">
        <f t="shared" si="111"/>
        <v>Cloud Burster</v>
      </c>
      <c r="CL97" s="5" t="str">
        <f t="shared" si="112"/>
        <v>Cloud Burster</v>
      </c>
      <c r="CM97" s="5" t="str">
        <f t="shared" si="113"/>
        <v>Cloud Burster</v>
      </c>
      <c r="CN97" s="5" t="str">
        <f t="shared" si="114"/>
        <v>Cloud Burster</v>
      </c>
      <c r="CO97" s="5" t="str">
        <f t="shared" si="115"/>
        <v>Break Tackle</v>
      </c>
      <c r="CP97" s="5" t="str">
        <f t="shared" si="116"/>
        <v>Break Tackle</v>
      </c>
      <c r="CQ97" s="5" t="str">
        <f t="shared" si="117"/>
        <v>Break Tackle</v>
      </c>
      <c r="CR97" s="5" t="str">
        <f t="shared" si="118"/>
        <v>Break Tackle</v>
      </c>
      <c r="CS97" s="5" t="b">
        <f t="shared" si="119"/>
        <v>0</v>
      </c>
      <c r="CT97" s="5" t="b">
        <f t="shared" si="120"/>
        <v>0</v>
      </c>
      <c r="CU97" s="5" t="b">
        <f t="shared" si="121"/>
        <v>0</v>
      </c>
      <c r="CV97" s="5" t="b">
        <f t="shared" si="122"/>
        <v>0</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Grab</v>
      </c>
      <c r="CH98" s="207" t="str">
        <f t="shared" si="108"/>
        <v>Grab</v>
      </c>
      <c r="CI98" s="5" t="str">
        <f t="shared" si="109"/>
        <v>Grab</v>
      </c>
      <c r="CJ98" s="5" t="str">
        <f t="shared" si="110"/>
        <v>Grab</v>
      </c>
      <c r="CK98" s="5" t="str">
        <f t="shared" si="111"/>
        <v>Dump-Off</v>
      </c>
      <c r="CL98" s="5" t="str">
        <f t="shared" si="112"/>
        <v>Dump-Off</v>
      </c>
      <c r="CM98" s="5" t="str">
        <f t="shared" si="113"/>
        <v>Dump-Off</v>
      </c>
      <c r="CN98" s="5" t="str">
        <f t="shared" si="114"/>
        <v>Dump-Off</v>
      </c>
      <c r="CO98" s="5" t="str">
        <f t="shared" si="115"/>
        <v>Grab</v>
      </c>
      <c r="CP98" s="5" t="str">
        <f t="shared" si="116"/>
        <v>Grab</v>
      </c>
      <c r="CQ98" s="5" t="str">
        <f t="shared" si="117"/>
        <v>Grab</v>
      </c>
      <c r="CR98" s="5" t="str">
        <f t="shared" si="118"/>
        <v>Grab</v>
      </c>
      <c r="CS98" s="5" t="b">
        <f t="shared" si="119"/>
        <v>0</v>
      </c>
      <c r="CT98" s="5" t="b">
        <f t="shared" si="120"/>
        <v>0</v>
      </c>
      <c r="CU98" s="5" t="b">
        <f t="shared" si="121"/>
        <v>0</v>
      </c>
      <c r="CV98" s="5" t="b">
        <f t="shared" si="122"/>
        <v>0</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Guard</v>
      </c>
      <c r="CH99" s="207" t="str">
        <f t="shared" si="108"/>
        <v>Guard</v>
      </c>
      <c r="CI99" s="5" t="str">
        <f t="shared" si="109"/>
        <v>Guard</v>
      </c>
      <c r="CJ99" s="5" t="str">
        <f t="shared" si="110"/>
        <v>Guard</v>
      </c>
      <c r="CK99" s="5" t="str">
        <f t="shared" si="111"/>
        <v>Fumblerooskie</v>
      </c>
      <c r="CL99" s="5" t="str">
        <f t="shared" si="112"/>
        <v>Fumblerooskie</v>
      </c>
      <c r="CM99" s="5" t="str">
        <f t="shared" si="113"/>
        <v>Fumblerooskie</v>
      </c>
      <c r="CN99" s="5" t="str">
        <f t="shared" si="114"/>
        <v>Fumblerooskie</v>
      </c>
      <c r="CO99" s="5" t="str">
        <f t="shared" si="115"/>
        <v>Guard</v>
      </c>
      <c r="CP99" s="5" t="str">
        <f t="shared" si="116"/>
        <v>Guard</v>
      </c>
      <c r="CQ99" s="5" t="str">
        <f t="shared" si="117"/>
        <v>Guard</v>
      </c>
      <c r="CR99" s="5" t="str">
        <f t="shared" si="118"/>
        <v>Guard</v>
      </c>
      <c r="CS99" s="5" t="b">
        <f t="shared" si="119"/>
        <v>0</v>
      </c>
      <c r="CT99" s="5" t="b">
        <f t="shared" si="120"/>
        <v>0</v>
      </c>
      <c r="CU99" s="5" t="b">
        <f t="shared" si="121"/>
        <v>0</v>
      </c>
      <c r="CV99" s="5" t="b">
        <f t="shared" si="122"/>
        <v>0</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Juggernaut</v>
      </c>
      <c r="CH100" s="207" t="str">
        <f t="shared" si="108"/>
        <v>Juggernaut</v>
      </c>
      <c r="CI100" s="5" t="str">
        <f t="shared" si="109"/>
        <v>Juggernaut</v>
      </c>
      <c r="CJ100" s="5" t="str">
        <f t="shared" si="110"/>
        <v>Juggernaut</v>
      </c>
      <c r="CK100" s="5" t="str">
        <f t="shared" si="111"/>
        <v>Hail Mary Pass</v>
      </c>
      <c r="CL100" s="5" t="str">
        <f t="shared" si="112"/>
        <v>Hail Mary Pass</v>
      </c>
      <c r="CM100" s="5" t="str">
        <f t="shared" si="113"/>
        <v>Hail Mary Pass</v>
      </c>
      <c r="CN100" s="5" t="str">
        <f t="shared" si="114"/>
        <v>Hail Mary Pass</v>
      </c>
      <c r="CO100" s="5" t="str">
        <f t="shared" si="115"/>
        <v>Juggernaut</v>
      </c>
      <c r="CP100" s="5" t="str">
        <f t="shared" si="116"/>
        <v>Juggernaut</v>
      </c>
      <c r="CQ100" s="5" t="str">
        <f t="shared" si="117"/>
        <v>Juggernaut</v>
      </c>
      <c r="CR100" s="5" t="str">
        <f t="shared" si="118"/>
        <v>Juggernaut</v>
      </c>
      <c r="CS100" s="5" t="b">
        <f t="shared" si="119"/>
        <v>0</v>
      </c>
      <c r="CT100" s="5" t="b">
        <f t="shared" si="120"/>
        <v>0</v>
      </c>
      <c r="CU100" s="5" t="b">
        <f t="shared" si="121"/>
        <v>0</v>
      </c>
      <c r="CV100" s="5" t="b">
        <f t="shared" si="122"/>
        <v>0</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Mighty Blow (+1)</v>
      </c>
      <c r="CH101" s="207" t="str">
        <f t="shared" si="108"/>
        <v>Mighty Blow (+1)</v>
      </c>
      <c r="CI101" s="5" t="str">
        <f t="shared" si="109"/>
        <v>Mighty Blow (+1)</v>
      </c>
      <c r="CJ101" s="5" t="str">
        <f t="shared" si="110"/>
        <v>Mighty Blow (+1)</v>
      </c>
      <c r="CK101" s="5" t="str">
        <f t="shared" si="111"/>
        <v>Leader</v>
      </c>
      <c r="CL101" s="5" t="str">
        <f t="shared" si="112"/>
        <v>Leader</v>
      </c>
      <c r="CM101" s="5" t="str">
        <f t="shared" si="113"/>
        <v>Leader</v>
      </c>
      <c r="CN101" s="5" t="str">
        <f t="shared" si="114"/>
        <v>Leader</v>
      </c>
      <c r="CO101" s="5" t="str">
        <f t="shared" si="115"/>
        <v>Mighty Blow (+1)</v>
      </c>
      <c r="CP101" s="5" t="str">
        <f t="shared" si="116"/>
        <v>Mighty Blow (+1)</v>
      </c>
      <c r="CQ101" s="5" t="str">
        <f t="shared" si="117"/>
        <v>Mighty Blow (+1)</v>
      </c>
      <c r="CR101" s="5" t="str">
        <f t="shared" si="118"/>
        <v>Mighty Blow (+1)</v>
      </c>
      <c r="CS101" s="5" t="b">
        <f t="shared" si="119"/>
        <v>0</v>
      </c>
      <c r="CT101" s="5" t="b">
        <f t="shared" si="120"/>
        <v>0</v>
      </c>
      <c r="CU101" s="5" t="b">
        <f t="shared" si="121"/>
        <v>0</v>
      </c>
      <c r="CV101" s="5" t="b">
        <f t="shared" si="122"/>
        <v>0</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Multiple Blocks</v>
      </c>
      <c r="CH102" s="207" t="str">
        <f t="shared" si="108"/>
        <v>Multiple Blocks</v>
      </c>
      <c r="CI102" s="5" t="str">
        <f t="shared" si="109"/>
        <v>Multiple Blocks</v>
      </c>
      <c r="CJ102" s="5" t="str">
        <f t="shared" si="110"/>
        <v>Multiple Blocks</v>
      </c>
      <c r="CK102" s="5" t="str">
        <f t="shared" si="111"/>
        <v>Nerves of Steel</v>
      </c>
      <c r="CL102" s="5" t="str">
        <f t="shared" si="112"/>
        <v>Nerves of Steel</v>
      </c>
      <c r="CM102" s="5" t="str">
        <f t="shared" si="113"/>
        <v>Nerves of Steel</v>
      </c>
      <c r="CN102" s="5" t="str">
        <f t="shared" si="114"/>
        <v>Nerves of Steel</v>
      </c>
      <c r="CO102" s="5" t="str">
        <f t="shared" si="115"/>
        <v>Multiple Blocks</v>
      </c>
      <c r="CP102" s="5" t="str">
        <f t="shared" si="116"/>
        <v>Multiple Blocks</v>
      </c>
      <c r="CQ102" s="5" t="str">
        <f t="shared" si="117"/>
        <v>Multiple Blocks</v>
      </c>
      <c r="CR102" s="5" t="str">
        <f t="shared" si="118"/>
        <v>Multiple Blocks</v>
      </c>
      <c r="CS102" s="5" t="b">
        <f t="shared" si="119"/>
        <v>0</v>
      </c>
      <c r="CT102" s="5" t="b">
        <f t="shared" si="120"/>
        <v>0</v>
      </c>
      <c r="CU102" s="5" t="b">
        <f t="shared" si="121"/>
        <v>0</v>
      </c>
      <c r="CV102" s="5" t="b">
        <f t="shared" si="122"/>
        <v>0</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Pile Diver</v>
      </c>
      <c r="CH103" s="207" t="str">
        <f t="shared" si="108"/>
        <v>Pile Diver</v>
      </c>
      <c r="CI103" s="5" t="str">
        <f t="shared" si="109"/>
        <v>Pile Diver</v>
      </c>
      <c r="CJ103" s="5" t="str">
        <f t="shared" si="110"/>
        <v>Pile Diver</v>
      </c>
      <c r="CK103" s="5" t="str">
        <f t="shared" si="111"/>
        <v>On the Ball</v>
      </c>
      <c r="CL103" s="5" t="str">
        <f t="shared" si="112"/>
        <v>On the Ball</v>
      </c>
      <c r="CM103" s="5" t="str">
        <f t="shared" si="113"/>
        <v>On the Ball</v>
      </c>
      <c r="CN103" s="5" t="str">
        <f t="shared" si="114"/>
        <v>On the Ball</v>
      </c>
      <c r="CO103" s="5" t="str">
        <f t="shared" si="115"/>
        <v>Pile Diver</v>
      </c>
      <c r="CP103" s="5" t="str">
        <f t="shared" si="116"/>
        <v>Pile Diver</v>
      </c>
      <c r="CQ103" s="5" t="str">
        <f t="shared" si="117"/>
        <v>Pile Diver</v>
      </c>
      <c r="CR103" s="5" t="str">
        <f t="shared" si="118"/>
        <v>Pile Diver</v>
      </c>
      <c r="CS103" s="5" t="b">
        <f t="shared" si="119"/>
        <v>0</v>
      </c>
      <c r="CT103" s="5" t="b">
        <f t="shared" si="120"/>
        <v>0</v>
      </c>
      <c r="CU103" s="5" t="b">
        <f t="shared" si="121"/>
        <v>0</v>
      </c>
      <c r="CV103" s="5" t="b">
        <f t="shared" si="122"/>
        <v>0</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Stand Firm</v>
      </c>
      <c r="CH104" s="207" t="str">
        <f t="shared" si="108"/>
        <v>Stand Firm</v>
      </c>
      <c r="CI104" s="5" t="str">
        <f t="shared" si="109"/>
        <v>Stand Firm</v>
      </c>
      <c r="CJ104" s="5" t="str">
        <f t="shared" si="110"/>
        <v>Stand Firm</v>
      </c>
      <c r="CK104" s="5" t="str">
        <f t="shared" si="111"/>
        <v>Pass</v>
      </c>
      <c r="CL104" s="5" t="str">
        <f t="shared" si="112"/>
        <v>Pass</v>
      </c>
      <c r="CM104" s="5" t="str">
        <f t="shared" si="113"/>
        <v>Pass</v>
      </c>
      <c r="CN104" s="5" t="str">
        <f t="shared" si="114"/>
        <v>Pass</v>
      </c>
      <c r="CO104" s="5" t="str">
        <f t="shared" si="115"/>
        <v>Stand Firm</v>
      </c>
      <c r="CP104" s="5" t="str">
        <f t="shared" si="116"/>
        <v>Stand Firm</v>
      </c>
      <c r="CQ104" s="5" t="str">
        <f t="shared" si="117"/>
        <v>Stand Firm</v>
      </c>
      <c r="CR104" s="5" t="str">
        <f t="shared" si="118"/>
        <v>Stand Firm</v>
      </c>
      <c r="CS104" s="5" t="b">
        <f t="shared" si="119"/>
        <v>0</v>
      </c>
      <c r="CT104" s="5" t="b">
        <f t="shared" si="120"/>
        <v>0</v>
      </c>
      <c r="CU104" s="5" t="b">
        <f t="shared" si="121"/>
        <v>0</v>
      </c>
      <c r="CV104" s="5" t="b">
        <f t="shared" si="122"/>
        <v>0</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Strong Arm</v>
      </c>
      <c r="CH105" s="207" t="str">
        <f t="shared" si="108"/>
        <v>Strong Arm</v>
      </c>
      <c r="CI105" s="5" t="str">
        <f t="shared" si="109"/>
        <v>Strong Arm</v>
      </c>
      <c r="CJ105" s="5" t="str">
        <f t="shared" si="110"/>
        <v>Strong Arm</v>
      </c>
      <c r="CK105" s="5" t="str">
        <f t="shared" si="111"/>
        <v>Running Pass</v>
      </c>
      <c r="CL105" s="5" t="str">
        <f t="shared" si="112"/>
        <v>Running Pass</v>
      </c>
      <c r="CM105" s="5" t="str">
        <f t="shared" si="113"/>
        <v>Running Pass</v>
      </c>
      <c r="CN105" s="5" t="str">
        <f t="shared" si="114"/>
        <v>Running Pass</v>
      </c>
      <c r="CO105" s="5" t="str">
        <f t="shared" si="115"/>
        <v>Strong Arm</v>
      </c>
      <c r="CP105" s="5" t="str">
        <f t="shared" si="116"/>
        <v>Strong Arm</v>
      </c>
      <c r="CQ105" s="5" t="str">
        <f t="shared" si="117"/>
        <v>Strong Arm</v>
      </c>
      <c r="CR105" s="5" t="str">
        <f t="shared" si="118"/>
        <v>Strong Arm</v>
      </c>
      <c r="CS105" s="5" t="b">
        <f t="shared" si="119"/>
        <v>0</v>
      </c>
      <c r="CT105" s="5" t="b">
        <f t="shared" si="120"/>
        <v>0</v>
      </c>
      <c r="CU105" s="5" t="b">
        <f t="shared" si="121"/>
        <v>0</v>
      </c>
      <c r="CV105" s="5" t="b">
        <f t="shared" si="122"/>
        <v>0</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Thick Skull</v>
      </c>
      <c r="CH106" s="207" t="str">
        <f t="shared" si="108"/>
        <v>Thick Skull</v>
      </c>
      <c r="CI106" s="5" t="str">
        <f t="shared" si="109"/>
        <v>Thick Skull</v>
      </c>
      <c r="CJ106" s="5" t="str">
        <f t="shared" si="110"/>
        <v>Thick Skull</v>
      </c>
      <c r="CK106" s="5" t="str">
        <f t="shared" si="111"/>
        <v>Safe Pass</v>
      </c>
      <c r="CL106" s="5" t="str">
        <f t="shared" si="112"/>
        <v>Safe Pass</v>
      </c>
      <c r="CM106" s="5" t="str">
        <f t="shared" si="113"/>
        <v>Safe Pass</v>
      </c>
      <c r="CN106" s="5" t="str">
        <f t="shared" si="114"/>
        <v>Safe Pass</v>
      </c>
      <c r="CO106" s="5" t="str">
        <f t="shared" si="115"/>
        <v>Thick Skull</v>
      </c>
      <c r="CP106" s="5" t="str">
        <f t="shared" si="116"/>
        <v>Thick Skull</v>
      </c>
      <c r="CQ106" s="5" t="str">
        <f t="shared" si="117"/>
        <v>Thick Skull</v>
      </c>
      <c r="CR106" s="5" t="str">
        <f t="shared" si="118"/>
        <v>Thick Skull</v>
      </c>
      <c r="CS106" s="5" t="b">
        <f t="shared" si="119"/>
        <v>0</v>
      </c>
      <c r="CT106" s="5" t="b">
        <f t="shared" si="120"/>
        <v>0</v>
      </c>
      <c r="CU106" s="5" t="b">
        <f t="shared" si="121"/>
        <v>0</v>
      </c>
      <c r="CV106" s="5" t="b">
        <f t="shared" si="122"/>
        <v>0</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
      </c>
      <c r="CH107" s="207" t="str">
        <f t="shared" si="108"/>
        <v/>
      </c>
      <c r="CI107" s="5" t="str">
        <f t="shared" si="109"/>
        <v/>
      </c>
      <c r="CJ107" s="5" t="str">
        <f t="shared" si="110"/>
        <v/>
      </c>
      <c r="CK107" s="5" t="str">
        <f t="shared" si="111"/>
        <v>Arm Bar</v>
      </c>
      <c r="CL107" s="5" t="str">
        <f t="shared" si="112"/>
        <v>Arm Bar</v>
      </c>
      <c r="CM107" s="5" t="str">
        <f t="shared" si="113"/>
        <v>Arm Bar</v>
      </c>
      <c r="CN107" s="5" t="str">
        <f t="shared" si="114"/>
        <v>Arm Bar</v>
      </c>
      <c r="CO107" s="5" t="str">
        <f t="shared" si="115"/>
        <v/>
      </c>
      <c r="CP107" s="5" t="str">
        <f t="shared" si="116"/>
        <v/>
      </c>
      <c r="CQ107" s="5" t="str">
        <f t="shared" si="117"/>
        <v/>
      </c>
      <c r="CR107" s="5" t="str">
        <f t="shared" si="118"/>
        <v/>
      </c>
      <c r="CS107" s="5" t="b">
        <f t="shared" si="119"/>
        <v>0</v>
      </c>
      <c r="CT107" s="5" t="b">
        <f t="shared" si="120"/>
        <v>0</v>
      </c>
      <c r="CU107" s="5" t="b">
        <f t="shared" si="121"/>
        <v>0</v>
      </c>
      <c r="CV107" s="5" t="b">
        <f t="shared" si="122"/>
        <v>0</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
      </c>
      <c r="CH108" s="207" t="str">
        <f t="shared" si="108"/>
        <v/>
      </c>
      <c r="CI108" s="5" t="str">
        <f t="shared" si="109"/>
        <v/>
      </c>
      <c r="CJ108" s="5" t="str">
        <f t="shared" si="110"/>
        <v/>
      </c>
      <c r="CK108" s="5" t="str">
        <f t="shared" si="111"/>
        <v>Brawler</v>
      </c>
      <c r="CL108" s="5" t="str">
        <f t="shared" si="112"/>
        <v>Brawler</v>
      </c>
      <c r="CM108" s="5" t="str">
        <f t="shared" si="113"/>
        <v>Brawler</v>
      </c>
      <c r="CN108" s="5" t="str">
        <f t="shared" si="114"/>
        <v>Brawler</v>
      </c>
      <c r="CO108" s="5" t="str">
        <f t="shared" si="115"/>
        <v/>
      </c>
      <c r="CP108" s="5" t="str">
        <f t="shared" si="116"/>
        <v/>
      </c>
      <c r="CQ108" s="5" t="str">
        <f t="shared" si="117"/>
        <v/>
      </c>
      <c r="CR108" s="5" t="str">
        <f t="shared" si="118"/>
        <v/>
      </c>
      <c r="CS108" s="5" t="b">
        <f t="shared" si="119"/>
        <v>0</v>
      </c>
      <c r="CT108" s="5" t="b">
        <f t="shared" si="120"/>
        <v>0</v>
      </c>
      <c r="CU108" s="5" t="b">
        <f t="shared" si="121"/>
        <v>0</v>
      </c>
      <c r="CV108" s="5" t="b">
        <f t="shared" si="122"/>
        <v>0</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
      </c>
      <c r="CH109" s="207" t="str">
        <f t="shared" si="108"/>
        <v/>
      </c>
      <c r="CI109" s="5" t="str">
        <f t="shared" si="109"/>
        <v/>
      </c>
      <c r="CJ109" s="5" t="str">
        <f t="shared" si="110"/>
        <v/>
      </c>
      <c r="CK109" s="5" t="str">
        <f t="shared" si="111"/>
        <v>Break Tackle</v>
      </c>
      <c r="CL109" s="5" t="str">
        <f t="shared" si="112"/>
        <v>Break Tackle</v>
      </c>
      <c r="CM109" s="5" t="str">
        <f t="shared" si="113"/>
        <v>Break Tackle</v>
      </c>
      <c r="CN109" s="5" t="str">
        <f t="shared" si="114"/>
        <v>Break Tackle</v>
      </c>
      <c r="CO109" s="5" t="str">
        <f t="shared" si="115"/>
        <v/>
      </c>
      <c r="CP109" s="5" t="str">
        <f t="shared" si="116"/>
        <v/>
      </c>
      <c r="CQ109" s="5" t="str">
        <f t="shared" si="117"/>
        <v/>
      </c>
      <c r="CR109" s="5" t="str">
        <f t="shared" si="118"/>
        <v/>
      </c>
      <c r="CS109" s="5" t="b">
        <f t="shared" si="119"/>
        <v>0</v>
      </c>
      <c r="CT109" s="5" t="b">
        <f t="shared" si="120"/>
        <v>0</v>
      </c>
      <c r="CU109" s="5" t="b">
        <f t="shared" si="121"/>
        <v>0</v>
      </c>
      <c r="CV109" s="5" t="b">
        <f t="shared" si="122"/>
        <v>0</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
      </c>
      <c r="CH110" s="207" t="str">
        <f t="shared" si="108"/>
        <v/>
      </c>
      <c r="CI110" s="5" t="str">
        <f t="shared" si="109"/>
        <v/>
      </c>
      <c r="CJ110" s="5" t="str">
        <f t="shared" si="110"/>
        <v/>
      </c>
      <c r="CK110" s="5" t="str">
        <f t="shared" si="111"/>
        <v>Grab</v>
      </c>
      <c r="CL110" s="5" t="str">
        <f t="shared" si="112"/>
        <v>Grab</v>
      </c>
      <c r="CM110" s="5" t="str">
        <f t="shared" si="113"/>
        <v>Grab</v>
      </c>
      <c r="CN110" s="5" t="str">
        <f t="shared" si="114"/>
        <v>Grab</v>
      </c>
      <c r="CO110" s="5" t="str">
        <f t="shared" si="115"/>
        <v/>
      </c>
      <c r="CP110" s="5" t="str">
        <f t="shared" si="116"/>
        <v/>
      </c>
      <c r="CQ110" s="5" t="str">
        <f t="shared" si="117"/>
        <v/>
      </c>
      <c r="CR110" s="5" t="str">
        <f t="shared" si="118"/>
        <v/>
      </c>
      <c r="CS110" s="5" t="b">
        <f t="shared" si="119"/>
        <v>0</v>
      </c>
      <c r="CT110" s="5" t="b">
        <f t="shared" si="120"/>
        <v>0</v>
      </c>
      <c r="CU110" s="5" t="b">
        <f t="shared" si="121"/>
        <v>0</v>
      </c>
      <c r="CV110" s="5" t="b">
        <f t="shared" si="122"/>
        <v>0</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
      </c>
      <c r="CH111" s="207" t="str">
        <f t="shared" si="108"/>
        <v/>
      </c>
      <c r="CI111" s="5" t="str">
        <f t="shared" si="109"/>
        <v/>
      </c>
      <c r="CJ111" s="5" t="str">
        <f t="shared" si="110"/>
        <v/>
      </c>
      <c r="CK111" s="5" t="str">
        <f t="shared" si="111"/>
        <v>Guard</v>
      </c>
      <c r="CL111" s="5" t="str">
        <f t="shared" si="112"/>
        <v>Guard</v>
      </c>
      <c r="CM111" s="5" t="str">
        <f t="shared" si="113"/>
        <v>Guard</v>
      </c>
      <c r="CN111" s="5" t="str">
        <f t="shared" si="114"/>
        <v>Guard</v>
      </c>
      <c r="CO111" s="5" t="str">
        <f t="shared" si="115"/>
        <v/>
      </c>
      <c r="CP111" s="5" t="str">
        <f t="shared" si="116"/>
        <v/>
      </c>
      <c r="CQ111" s="5" t="str">
        <f t="shared" si="117"/>
        <v/>
      </c>
      <c r="CR111" s="5" t="str">
        <f t="shared" si="118"/>
        <v/>
      </c>
      <c r="CS111" s="5" t="b">
        <f t="shared" si="119"/>
        <v>0</v>
      </c>
      <c r="CT111" s="5" t="b">
        <f t="shared" si="120"/>
        <v>0</v>
      </c>
      <c r="CU111" s="5" t="b">
        <f t="shared" si="121"/>
        <v>0</v>
      </c>
      <c r="CV111" s="5" t="b">
        <f t="shared" si="122"/>
        <v>0</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
      </c>
      <c r="CH112" s="207" t="str">
        <f t="shared" si="108"/>
        <v/>
      </c>
      <c r="CI112" s="5" t="str">
        <f t="shared" si="109"/>
        <v/>
      </c>
      <c r="CJ112" s="5" t="str">
        <f t="shared" si="110"/>
        <v/>
      </c>
      <c r="CK112" s="5" t="str">
        <f t="shared" si="111"/>
        <v>Juggernaut</v>
      </c>
      <c r="CL112" s="5" t="str">
        <f t="shared" si="112"/>
        <v>Juggernaut</v>
      </c>
      <c r="CM112" s="5" t="str">
        <f t="shared" si="113"/>
        <v>Juggernaut</v>
      </c>
      <c r="CN112" s="5" t="str">
        <f t="shared" si="114"/>
        <v>Juggernaut</v>
      </c>
      <c r="CO112" s="5" t="str">
        <f t="shared" si="115"/>
        <v/>
      </c>
      <c r="CP112" s="5" t="str">
        <f t="shared" si="116"/>
        <v/>
      </c>
      <c r="CQ112" s="5" t="str">
        <f t="shared" si="117"/>
        <v/>
      </c>
      <c r="CR112" s="5" t="str">
        <f t="shared" si="118"/>
        <v/>
      </c>
      <c r="CS112" s="5" t="b">
        <f t="shared" si="119"/>
        <v>0</v>
      </c>
      <c r="CT112" s="5" t="b">
        <f t="shared" si="120"/>
        <v>0</v>
      </c>
      <c r="CU112" s="5" t="b">
        <f t="shared" si="121"/>
        <v>0</v>
      </c>
      <c r="CV112" s="5" t="b">
        <f t="shared" si="122"/>
        <v>0</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
      </c>
      <c r="CH113" s="207" t="str">
        <f t="shared" si="108"/>
        <v/>
      </c>
      <c r="CI113" s="5" t="str">
        <f t="shared" si="109"/>
        <v/>
      </c>
      <c r="CJ113" s="5" t="str">
        <f t="shared" si="110"/>
        <v/>
      </c>
      <c r="CK113" s="5" t="str">
        <f t="shared" si="111"/>
        <v>Mighty Blow (+1)</v>
      </c>
      <c r="CL113" s="5" t="str">
        <f t="shared" si="112"/>
        <v>Mighty Blow (+1)</v>
      </c>
      <c r="CM113" s="5" t="str">
        <f t="shared" si="113"/>
        <v>Mighty Blow (+1)</v>
      </c>
      <c r="CN113" s="5" t="str">
        <f t="shared" si="114"/>
        <v>Mighty Blow (+1)</v>
      </c>
      <c r="CO113" s="5" t="str">
        <f t="shared" si="115"/>
        <v/>
      </c>
      <c r="CP113" s="5" t="str">
        <f t="shared" si="116"/>
        <v/>
      </c>
      <c r="CQ113" s="5" t="str">
        <f t="shared" si="117"/>
        <v/>
      </c>
      <c r="CR113" s="5" t="str">
        <f t="shared" si="118"/>
        <v/>
      </c>
      <c r="CS113" s="5" t="b">
        <f t="shared" si="119"/>
        <v>0</v>
      </c>
      <c r="CT113" s="5" t="b">
        <f t="shared" si="120"/>
        <v>0</v>
      </c>
      <c r="CU113" s="5" t="b">
        <f t="shared" si="121"/>
        <v>0</v>
      </c>
      <c r="CV113" s="5" t="b">
        <f t="shared" si="122"/>
        <v>0</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
      </c>
      <c r="CH114" s="207" t="str">
        <f t="shared" si="108"/>
        <v/>
      </c>
      <c r="CI114" s="5" t="str">
        <f t="shared" si="109"/>
        <v/>
      </c>
      <c r="CJ114" s="5" t="str">
        <f t="shared" si="110"/>
        <v/>
      </c>
      <c r="CK114" s="5" t="str">
        <f t="shared" si="111"/>
        <v>Multiple Blocks</v>
      </c>
      <c r="CL114" s="5" t="str">
        <f t="shared" si="112"/>
        <v>Multiple Blocks</v>
      </c>
      <c r="CM114" s="5" t="str">
        <f t="shared" si="113"/>
        <v>Multiple Blocks</v>
      </c>
      <c r="CN114" s="5" t="str">
        <f t="shared" si="114"/>
        <v>Multiple Blocks</v>
      </c>
      <c r="CO114" s="5" t="str">
        <f t="shared" si="115"/>
        <v/>
      </c>
      <c r="CP114" s="5" t="str">
        <f t="shared" si="116"/>
        <v/>
      </c>
      <c r="CQ114" s="5" t="str">
        <f t="shared" si="117"/>
        <v/>
      </c>
      <c r="CR114" s="5" t="str">
        <f t="shared" si="118"/>
        <v/>
      </c>
      <c r="CS114" s="5" t="b">
        <f t="shared" si="119"/>
        <v>0</v>
      </c>
      <c r="CT114" s="5" t="b">
        <f t="shared" si="120"/>
        <v>0</v>
      </c>
      <c r="CU114" s="5" t="b">
        <f t="shared" si="121"/>
        <v>0</v>
      </c>
      <c r="CV114" s="5" t="b">
        <f t="shared" si="122"/>
        <v>0</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
      </c>
      <c r="CH115" s="207" t="str">
        <f t="shared" si="108"/>
        <v/>
      </c>
      <c r="CI115" s="5" t="str">
        <f t="shared" si="109"/>
        <v/>
      </c>
      <c r="CJ115" s="5" t="str">
        <f t="shared" si="110"/>
        <v/>
      </c>
      <c r="CK115" s="5" t="str">
        <f t="shared" si="111"/>
        <v>Pile Diver</v>
      </c>
      <c r="CL115" s="5" t="str">
        <f t="shared" si="112"/>
        <v>Pile Diver</v>
      </c>
      <c r="CM115" s="5" t="str">
        <f t="shared" si="113"/>
        <v>Pile Diver</v>
      </c>
      <c r="CN115" s="5" t="str">
        <f t="shared" si="114"/>
        <v>Pile Diver</v>
      </c>
      <c r="CO115" s="5" t="str">
        <f t="shared" si="115"/>
        <v/>
      </c>
      <c r="CP115" s="5" t="str">
        <f t="shared" si="116"/>
        <v/>
      </c>
      <c r="CQ115" s="5" t="str">
        <f t="shared" si="117"/>
        <v/>
      </c>
      <c r="CR115" s="5" t="str">
        <f t="shared" si="118"/>
        <v/>
      </c>
      <c r="CS115" s="5" t="b">
        <f t="shared" si="119"/>
        <v>0</v>
      </c>
      <c r="CT115" s="5" t="b">
        <f t="shared" si="120"/>
        <v>0</v>
      </c>
      <c r="CU115" s="5" t="b">
        <f t="shared" si="121"/>
        <v>0</v>
      </c>
      <c r="CV115" s="5" t="b">
        <f t="shared" si="122"/>
        <v>0</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
      </c>
      <c r="CH116" s="207" t="str">
        <f t="shared" si="108"/>
        <v/>
      </c>
      <c r="CI116" s="5" t="str">
        <f t="shared" si="109"/>
        <v/>
      </c>
      <c r="CJ116" s="5" t="str">
        <f t="shared" si="110"/>
        <v/>
      </c>
      <c r="CK116" s="5" t="str">
        <f t="shared" si="111"/>
        <v>Stand Firm</v>
      </c>
      <c r="CL116" s="5" t="str">
        <f t="shared" si="112"/>
        <v>Stand Firm</v>
      </c>
      <c r="CM116" s="5" t="str">
        <f t="shared" si="113"/>
        <v>Stand Firm</v>
      </c>
      <c r="CN116" s="5" t="str">
        <f t="shared" si="114"/>
        <v>Stand Firm</v>
      </c>
      <c r="CO116" s="5" t="str">
        <f t="shared" si="115"/>
        <v/>
      </c>
      <c r="CP116" s="5" t="str">
        <f t="shared" si="116"/>
        <v/>
      </c>
      <c r="CQ116" s="5" t="str">
        <f t="shared" si="117"/>
        <v/>
      </c>
      <c r="CR116" s="5" t="str">
        <f t="shared" si="118"/>
        <v/>
      </c>
      <c r="CS116" s="5" t="b">
        <f t="shared" si="119"/>
        <v>0</v>
      </c>
      <c r="CT116" s="5" t="b">
        <f t="shared" si="120"/>
        <v>0</v>
      </c>
      <c r="CU116" s="5" t="b">
        <f t="shared" si="121"/>
        <v>0</v>
      </c>
      <c r="CV116" s="5" t="b">
        <f t="shared" si="122"/>
        <v>0</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
      </c>
      <c r="CH117" s="207" t="str">
        <f t="shared" si="108"/>
        <v/>
      </c>
      <c r="CI117" s="5" t="str">
        <f t="shared" si="109"/>
        <v/>
      </c>
      <c r="CJ117" s="5" t="str">
        <f t="shared" si="110"/>
        <v/>
      </c>
      <c r="CK117" s="5" t="str">
        <f t="shared" si="111"/>
        <v>Strong Arm</v>
      </c>
      <c r="CL117" s="5" t="str">
        <f t="shared" si="112"/>
        <v>Strong Arm</v>
      </c>
      <c r="CM117" s="5" t="str">
        <f t="shared" si="113"/>
        <v>Strong Arm</v>
      </c>
      <c r="CN117" s="5" t="str">
        <f t="shared" si="114"/>
        <v>Strong Arm</v>
      </c>
      <c r="CO117" s="5" t="str">
        <f t="shared" si="115"/>
        <v/>
      </c>
      <c r="CP117" s="5" t="str">
        <f t="shared" si="116"/>
        <v/>
      </c>
      <c r="CQ117" s="5" t="str">
        <f t="shared" si="117"/>
        <v/>
      </c>
      <c r="CR117" s="5" t="str">
        <f t="shared" si="118"/>
        <v/>
      </c>
      <c r="CS117" s="5" t="b">
        <f t="shared" si="119"/>
        <v>0</v>
      </c>
      <c r="CT117" s="5" t="b">
        <f t="shared" si="120"/>
        <v>0</v>
      </c>
      <c r="CU117" s="5" t="b">
        <f t="shared" si="121"/>
        <v>0</v>
      </c>
      <c r="CV117" s="5" t="b">
        <f t="shared" si="122"/>
        <v>0</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
      </c>
      <c r="CH118" s="207" t="str">
        <f t="shared" si="108"/>
        <v/>
      </c>
      <c r="CI118" s="5" t="str">
        <f t="shared" si="109"/>
        <v/>
      </c>
      <c r="CJ118" s="5" t="str">
        <f t="shared" si="110"/>
        <v/>
      </c>
      <c r="CK118" s="5" t="str">
        <f t="shared" si="111"/>
        <v>Thick Skull</v>
      </c>
      <c r="CL118" s="5" t="str">
        <f t="shared" si="112"/>
        <v>Thick Skull</v>
      </c>
      <c r="CM118" s="5" t="str">
        <f t="shared" si="113"/>
        <v>Thick Skull</v>
      </c>
      <c r="CN118" s="5" t="str">
        <f t="shared" si="114"/>
        <v>Thick Skull</v>
      </c>
      <c r="CO118" s="5" t="str">
        <f t="shared" si="115"/>
        <v/>
      </c>
      <c r="CP118" s="5" t="str">
        <f t="shared" si="116"/>
        <v/>
      </c>
      <c r="CQ118" s="5" t="str">
        <f t="shared" si="117"/>
        <v/>
      </c>
      <c r="CR118" s="5" t="str">
        <f t="shared" si="118"/>
        <v/>
      </c>
      <c r="CS118" s="5" t="b">
        <f t="shared" si="119"/>
        <v>0</v>
      </c>
      <c r="CT118" s="5" t="b">
        <f t="shared" si="120"/>
        <v>0</v>
      </c>
      <c r="CU118" s="5" t="b">
        <f t="shared" si="121"/>
        <v>0</v>
      </c>
      <c r="CV118" s="5" t="b">
        <f t="shared" si="122"/>
        <v>0</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str">
        <f t="shared" si="110"/>
        <v/>
      </c>
      <c r="CK119" s="5" t="str">
        <f t="shared" si="111"/>
        <v/>
      </c>
      <c r="CL119" s="5" t="str">
        <f t="shared" si="112"/>
        <v/>
      </c>
      <c r="CM119" s="5" t="str">
        <f t="shared" si="113"/>
        <v/>
      </c>
      <c r="CN119" s="5" t="str">
        <f t="shared" si="114"/>
        <v/>
      </c>
      <c r="CO119" s="5" t="str">
        <f t="shared" si="115"/>
        <v/>
      </c>
      <c r="CP119" s="5" t="str">
        <f t="shared" si="116"/>
        <v/>
      </c>
      <c r="CQ119" s="5" t="str">
        <f t="shared" si="117"/>
        <v/>
      </c>
      <c r="CR119" s="5" t="str">
        <f t="shared" si="118"/>
        <v/>
      </c>
      <c r="CS119" s="5" t="b">
        <f t="shared" si="119"/>
        <v>0</v>
      </c>
      <c r="CT119" s="5" t="b">
        <f t="shared" si="120"/>
        <v>0</v>
      </c>
      <c r="CU119" s="5" t="b">
        <f t="shared" si="121"/>
        <v>0</v>
      </c>
      <c r="CV119" s="5" t="b">
        <f t="shared" si="122"/>
        <v>0</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str">
        <f t="shared" si="110"/>
        <v/>
      </c>
      <c r="CK120" s="5" t="str">
        <f t="shared" si="111"/>
        <v/>
      </c>
      <c r="CL120" s="5" t="str">
        <f t="shared" si="112"/>
        <v/>
      </c>
      <c r="CM120" s="5" t="str">
        <f t="shared" si="113"/>
        <v/>
      </c>
      <c r="CN120" s="5" t="str">
        <f t="shared" si="114"/>
        <v/>
      </c>
      <c r="CO120" s="5" t="str">
        <f t="shared" si="115"/>
        <v/>
      </c>
      <c r="CP120" s="5" t="str">
        <f t="shared" si="116"/>
        <v/>
      </c>
      <c r="CQ120" s="5" t="str">
        <f t="shared" si="117"/>
        <v/>
      </c>
      <c r="CR120" s="5" t="str">
        <f t="shared" si="118"/>
        <v/>
      </c>
      <c r="CS120" s="5" t="b">
        <f t="shared" si="119"/>
        <v>0</v>
      </c>
      <c r="CT120" s="5" t="b">
        <f t="shared" si="120"/>
        <v>0</v>
      </c>
      <c r="CU120" s="5" t="b">
        <f t="shared" si="121"/>
        <v>0</v>
      </c>
      <c r="CV120" s="5" t="b">
        <f t="shared" si="122"/>
        <v>0</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str">
        <f t="shared" si="110"/>
        <v/>
      </c>
      <c r="CK121" s="5" t="str">
        <f t="shared" si="111"/>
        <v/>
      </c>
      <c r="CL121" s="5" t="str">
        <f t="shared" si="112"/>
        <v/>
      </c>
      <c r="CM121" s="5" t="str">
        <f t="shared" si="113"/>
        <v/>
      </c>
      <c r="CN121" s="5" t="str">
        <f t="shared" si="114"/>
        <v/>
      </c>
      <c r="CO121" s="5" t="str">
        <f t="shared" si="115"/>
        <v/>
      </c>
      <c r="CP121" s="5" t="str">
        <f t="shared" si="116"/>
        <v/>
      </c>
      <c r="CQ121" s="5" t="str">
        <f t="shared" si="117"/>
        <v/>
      </c>
      <c r="CR121" s="5" t="str">
        <f t="shared" si="118"/>
        <v/>
      </c>
      <c r="CS121" s="5" t="b">
        <f t="shared" si="119"/>
        <v>0</v>
      </c>
      <c r="CT121" s="5" t="b">
        <f t="shared" si="120"/>
        <v>0</v>
      </c>
      <c r="CU121" s="5" t="b">
        <f t="shared" si="121"/>
        <v>0</v>
      </c>
      <c r="CV121" s="5" t="b">
        <f t="shared" si="122"/>
        <v>0</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str">
        <f t="shared" si="110"/>
        <v/>
      </c>
      <c r="CK122" s="5" t="str">
        <f t="shared" si="111"/>
        <v/>
      </c>
      <c r="CL122" s="5" t="str">
        <f t="shared" si="112"/>
        <v/>
      </c>
      <c r="CM122" s="5" t="str">
        <f t="shared" si="113"/>
        <v/>
      </c>
      <c r="CN122" s="5" t="str">
        <f t="shared" si="114"/>
        <v/>
      </c>
      <c r="CO122" s="5" t="str">
        <f t="shared" si="115"/>
        <v/>
      </c>
      <c r="CP122" s="5" t="str">
        <f t="shared" si="116"/>
        <v/>
      </c>
      <c r="CQ122" s="5" t="str">
        <f t="shared" si="117"/>
        <v/>
      </c>
      <c r="CR122" s="5" t="str">
        <f t="shared" si="118"/>
        <v/>
      </c>
      <c r="CS122" s="5" t="b">
        <f t="shared" si="119"/>
        <v>0</v>
      </c>
      <c r="CT122" s="5" t="b">
        <f t="shared" si="120"/>
        <v>0</v>
      </c>
      <c r="CU122" s="5" t="b">
        <f t="shared" si="121"/>
        <v>0</v>
      </c>
      <c r="CV122" s="5" t="b">
        <f t="shared" si="122"/>
        <v>0</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str">
        <f t="shared" si="110"/>
        <v/>
      </c>
      <c r="CK123" s="5" t="str">
        <f t="shared" si="111"/>
        <v/>
      </c>
      <c r="CL123" s="5" t="str">
        <f t="shared" si="112"/>
        <v/>
      </c>
      <c r="CM123" s="5" t="str">
        <f t="shared" si="113"/>
        <v/>
      </c>
      <c r="CN123" s="5" t="str">
        <f t="shared" si="114"/>
        <v/>
      </c>
      <c r="CO123" s="5" t="str">
        <f t="shared" si="115"/>
        <v/>
      </c>
      <c r="CP123" s="5" t="str">
        <f t="shared" si="116"/>
        <v/>
      </c>
      <c r="CQ123" s="5" t="str">
        <f t="shared" si="117"/>
        <v/>
      </c>
      <c r="CR123" s="5" t="str">
        <f t="shared" si="118"/>
        <v/>
      </c>
      <c r="CS123" s="5" t="b">
        <f t="shared" si="119"/>
        <v>0</v>
      </c>
      <c r="CT123" s="5" t="b">
        <f t="shared" si="120"/>
        <v>0</v>
      </c>
      <c r="CU123" s="5" t="b">
        <f t="shared" si="121"/>
        <v>0</v>
      </c>
      <c r="CV123" s="5" t="b">
        <f t="shared" si="122"/>
        <v>0</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str">
        <f t="shared" si="110"/>
        <v/>
      </c>
      <c r="CK124" s="5" t="str">
        <f t="shared" si="111"/>
        <v/>
      </c>
      <c r="CL124" s="5" t="str">
        <f t="shared" si="112"/>
        <v/>
      </c>
      <c r="CM124" s="5" t="str">
        <f t="shared" si="113"/>
        <v/>
      </c>
      <c r="CN124" s="5" t="str">
        <f t="shared" si="114"/>
        <v/>
      </c>
      <c r="CO124" s="5" t="str">
        <f t="shared" si="115"/>
        <v/>
      </c>
      <c r="CP124" s="5" t="str">
        <f t="shared" si="116"/>
        <v/>
      </c>
      <c r="CQ124" s="5" t="str">
        <f t="shared" si="117"/>
        <v/>
      </c>
      <c r="CR124" s="5" t="str">
        <f t="shared" si="118"/>
        <v/>
      </c>
      <c r="CS124" s="5" t="b">
        <f t="shared" si="119"/>
        <v>0</v>
      </c>
      <c r="CT124" s="5" t="b">
        <f t="shared" si="120"/>
        <v>0</v>
      </c>
      <c r="CU124" s="5" t="b">
        <f t="shared" si="121"/>
        <v>0</v>
      </c>
      <c r="CV124" s="5" t="b">
        <f t="shared" si="122"/>
        <v>0</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str">
        <f t="shared" si="110"/>
        <v/>
      </c>
      <c r="CK125" s="5" t="str">
        <f t="shared" si="111"/>
        <v/>
      </c>
      <c r="CL125" s="5" t="str">
        <f t="shared" si="112"/>
        <v/>
      </c>
      <c r="CM125" s="5" t="str">
        <f t="shared" si="113"/>
        <v/>
      </c>
      <c r="CN125" s="5" t="str">
        <f t="shared" si="114"/>
        <v/>
      </c>
      <c r="CO125" s="5" t="str">
        <f t="shared" si="115"/>
        <v/>
      </c>
      <c r="CP125" s="5" t="str">
        <f t="shared" si="116"/>
        <v/>
      </c>
      <c r="CQ125" s="5" t="str">
        <f t="shared" si="117"/>
        <v/>
      </c>
      <c r="CR125" s="5" t="str">
        <f t="shared" si="118"/>
        <v/>
      </c>
      <c r="CS125" s="5" t="b">
        <f t="shared" si="119"/>
        <v>0</v>
      </c>
      <c r="CT125" s="5" t="b">
        <f t="shared" si="120"/>
        <v>0</v>
      </c>
      <c r="CU125" s="5" t="b">
        <f t="shared" si="121"/>
        <v>0</v>
      </c>
      <c r="CV125" s="5" t="b">
        <f t="shared" si="122"/>
        <v>0</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str">
        <f t="shared" si="110"/>
        <v/>
      </c>
      <c r="CK126" s="5" t="str">
        <f t="shared" si="111"/>
        <v/>
      </c>
      <c r="CL126" s="5" t="str">
        <f t="shared" si="112"/>
        <v/>
      </c>
      <c r="CM126" s="5" t="str">
        <f t="shared" si="113"/>
        <v/>
      </c>
      <c r="CN126" s="5" t="str">
        <f t="shared" si="114"/>
        <v/>
      </c>
      <c r="CO126" s="5" t="str">
        <f t="shared" si="115"/>
        <v/>
      </c>
      <c r="CP126" s="5" t="str">
        <f t="shared" si="116"/>
        <v/>
      </c>
      <c r="CQ126" s="5" t="str">
        <f t="shared" si="117"/>
        <v/>
      </c>
      <c r="CR126" s="5" t="str">
        <f t="shared" si="118"/>
        <v/>
      </c>
      <c r="CS126" s="5" t="b">
        <f t="shared" si="119"/>
        <v>0</v>
      </c>
      <c r="CT126" s="5" t="b">
        <f t="shared" si="120"/>
        <v>0</v>
      </c>
      <c r="CU126" s="5" t="b">
        <f t="shared" si="121"/>
        <v>0</v>
      </c>
      <c r="CV126" s="5" t="b">
        <f t="shared" si="122"/>
        <v>0</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str">
        <f t="shared" si="110"/>
        <v/>
      </c>
      <c r="CK127" s="5" t="str">
        <f t="shared" si="111"/>
        <v/>
      </c>
      <c r="CL127" s="5" t="str">
        <f t="shared" si="112"/>
        <v/>
      </c>
      <c r="CM127" s="5" t="str">
        <f t="shared" si="113"/>
        <v/>
      </c>
      <c r="CN127" s="5" t="str">
        <f t="shared" si="114"/>
        <v/>
      </c>
      <c r="CO127" s="5" t="str">
        <f t="shared" si="115"/>
        <v/>
      </c>
      <c r="CP127" s="5" t="str">
        <f t="shared" si="116"/>
        <v/>
      </c>
      <c r="CQ127" s="5" t="str">
        <f t="shared" si="117"/>
        <v/>
      </c>
      <c r="CR127" s="5" t="str">
        <f t="shared" si="118"/>
        <v/>
      </c>
      <c r="CS127" s="5" t="b">
        <f t="shared" si="119"/>
        <v>0</v>
      </c>
      <c r="CT127" s="5" t="b">
        <f t="shared" si="120"/>
        <v>0</v>
      </c>
      <c r="CU127" s="5" t="b">
        <f t="shared" si="121"/>
        <v>0</v>
      </c>
      <c r="CV127" s="5" t="b">
        <f t="shared" si="122"/>
        <v>0</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str">
        <f t="shared" si="110"/>
        <v/>
      </c>
      <c r="CK128" s="5" t="str">
        <f t="shared" si="111"/>
        <v/>
      </c>
      <c r="CL128" s="5" t="str">
        <f t="shared" si="112"/>
        <v/>
      </c>
      <c r="CM128" s="5" t="str">
        <f t="shared" si="113"/>
        <v/>
      </c>
      <c r="CN128" s="5" t="str">
        <f t="shared" si="114"/>
        <v/>
      </c>
      <c r="CO128" s="5" t="str">
        <f t="shared" si="115"/>
        <v/>
      </c>
      <c r="CP128" s="5" t="str">
        <f t="shared" si="116"/>
        <v/>
      </c>
      <c r="CQ128" s="5" t="str">
        <f t="shared" si="117"/>
        <v/>
      </c>
      <c r="CR128" s="5" t="str">
        <f t="shared" si="118"/>
        <v/>
      </c>
      <c r="CS128" s="5" t="b">
        <f t="shared" si="119"/>
        <v>0</v>
      </c>
      <c r="CT128" s="5" t="b">
        <f t="shared" si="120"/>
        <v>0</v>
      </c>
      <c r="CU128" s="5" t="b">
        <f t="shared" si="121"/>
        <v>0</v>
      </c>
      <c r="CV128" s="5" t="b">
        <f t="shared" si="122"/>
        <v>0</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str">
        <f t="shared" si="110"/>
        <v/>
      </c>
      <c r="CK129" s="5" t="str">
        <f t="shared" si="111"/>
        <v/>
      </c>
      <c r="CL129" s="5" t="str">
        <f t="shared" si="112"/>
        <v/>
      </c>
      <c r="CM129" s="5" t="str">
        <f t="shared" si="113"/>
        <v/>
      </c>
      <c r="CN129" s="5" t="str">
        <f t="shared" si="114"/>
        <v/>
      </c>
      <c r="CO129" s="5" t="str">
        <f t="shared" si="115"/>
        <v/>
      </c>
      <c r="CP129" s="5" t="str">
        <f t="shared" si="116"/>
        <v/>
      </c>
      <c r="CQ129" s="5" t="str">
        <f t="shared" si="117"/>
        <v/>
      </c>
      <c r="CR129" s="5" t="str">
        <f t="shared" si="118"/>
        <v/>
      </c>
      <c r="CS129" s="5" t="b">
        <f t="shared" si="119"/>
        <v>0</v>
      </c>
      <c r="CT129" s="5" t="b">
        <f t="shared" si="120"/>
        <v>0</v>
      </c>
      <c r="CU129" s="5" t="b">
        <f t="shared" si="121"/>
        <v>0</v>
      </c>
      <c r="CV129" s="5" t="b">
        <f t="shared" si="122"/>
        <v>0</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str">
        <f t="shared" si="110"/>
        <v/>
      </c>
      <c r="CK130" s="5" t="str">
        <f t="shared" si="111"/>
        <v/>
      </c>
      <c r="CL130" s="5" t="str">
        <f t="shared" si="112"/>
        <v/>
      </c>
      <c r="CM130" s="5" t="str">
        <f t="shared" si="113"/>
        <v/>
      </c>
      <c r="CN130" s="5" t="str">
        <f t="shared" si="114"/>
        <v/>
      </c>
      <c r="CO130" s="5" t="str">
        <f t="shared" si="115"/>
        <v/>
      </c>
      <c r="CP130" s="5" t="str">
        <f t="shared" si="116"/>
        <v/>
      </c>
      <c r="CQ130" s="5" t="str">
        <f t="shared" si="117"/>
        <v/>
      </c>
      <c r="CR130" s="5" t="str">
        <f t="shared" si="118"/>
        <v/>
      </c>
      <c r="CS130" s="5" t="b">
        <f t="shared" si="119"/>
        <v>0</v>
      </c>
      <c r="CT130" s="5" t="b">
        <f t="shared" si="120"/>
        <v>0</v>
      </c>
      <c r="CU130" s="5" t="b">
        <f t="shared" si="121"/>
        <v>0</v>
      </c>
      <c r="CV130" s="5" t="b">
        <f t="shared" si="122"/>
        <v>0</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str">
        <f t="shared" si="110"/>
        <v/>
      </c>
      <c r="CK131" s="5" t="str">
        <f t="shared" si="111"/>
        <v/>
      </c>
      <c r="CL131" s="5" t="str">
        <f t="shared" si="112"/>
        <v/>
      </c>
      <c r="CM131" s="5" t="str">
        <f t="shared" si="113"/>
        <v/>
      </c>
      <c r="CN131" s="5" t="str">
        <f t="shared" si="114"/>
        <v/>
      </c>
      <c r="CO131" s="5" t="str">
        <f t="shared" si="115"/>
        <v/>
      </c>
      <c r="CP131" s="5" t="str">
        <f t="shared" si="116"/>
        <v/>
      </c>
      <c r="CQ131" s="5" t="str">
        <f t="shared" si="117"/>
        <v/>
      </c>
      <c r="CR131" s="5" t="str">
        <f t="shared" si="118"/>
        <v/>
      </c>
      <c r="CS131" s="5" t="b">
        <f t="shared" si="119"/>
        <v>0</v>
      </c>
      <c r="CT131" s="5" t="b">
        <f t="shared" si="120"/>
        <v>0</v>
      </c>
      <c r="CU131" s="5" t="b">
        <f t="shared" si="121"/>
        <v>0</v>
      </c>
      <c r="CV131" s="5" t="b">
        <f t="shared" si="122"/>
        <v>0</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str">
        <f t="shared" si="110"/>
        <v/>
      </c>
      <c r="CK132" s="5" t="str">
        <f t="shared" si="111"/>
        <v/>
      </c>
      <c r="CL132" s="5" t="str">
        <f t="shared" si="112"/>
        <v/>
      </c>
      <c r="CM132" s="5" t="str">
        <f t="shared" si="113"/>
        <v/>
      </c>
      <c r="CN132" s="5" t="str">
        <f t="shared" si="114"/>
        <v/>
      </c>
      <c r="CO132" s="5" t="str">
        <f t="shared" si="115"/>
        <v/>
      </c>
      <c r="CP132" s="5" t="str">
        <f t="shared" si="116"/>
        <v/>
      </c>
      <c r="CQ132" s="5" t="str">
        <f t="shared" si="117"/>
        <v/>
      </c>
      <c r="CR132" s="5" t="str">
        <f t="shared" si="118"/>
        <v/>
      </c>
      <c r="CS132" s="5" t="b">
        <f t="shared" si="119"/>
        <v>0</v>
      </c>
      <c r="CT132" s="5" t="b">
        <f t="shared" si="120"/>
        <v>0</v>
      </c>
      <c r="CU132" s="5" t="b">
        <f t="shared" si="121"/>
        <v>0</v>
      </c>
      <c r="CV132" s="5" t="b">
        <f t="shared" si="122"/>
        <v>0</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str">
        <f t="shared" si="110"/>
        <v/>
      </c>
      <c r="CK133" s="5" t="str">
        <f t="shared" si="111"/>
        <v/>
      </c>
      <c r="CL133" s="5" t="str">
        <f t="shared" si="112"/>
        <v/>
      </c>
      <c r="CM133" s="5" t="str">
        <f t="shared" si="113"/>
        <v/>
      </c>
      <c r="CN133" s="5" t="str">
        <f t="shared" si="114"/>
        <v/>
      </c>
      <c r="CO133" s="5" t="str">
        <f t="shared" si="115"/>
        <v/>
      </c>
      <c r="CP133" s="5" t="str">
        <f t="shared" si="116"/>
        <v/>
      </c>
      <c r="CQ133" s="5" t="str">
        <f t="shared" si="117"/>
        <v/>
      </c>
      <c r="CR133" s="5" t="str">
        <f t="shared" si="118"/>
        <v/>
      </c>
      <c r="CS133" s="5" t="b">
        <f t="shared" si="119"/>
        <v>0</v>
      </c>
      <c r="CT133" s="5" t="b">
        <f t="shared" si="120"/>
        <v>0</v>
      </c>
      <c r="CU133" s="5" t="b">
        <f t="shared" si="121"/>
        <v>0</v>
      </c>
      <c r="CV133" s="5" t="b">
        <f t="shared" si="122"/>
        <v>0</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str">
        <f t="shared" si="110"/>
        <v/>
      </c>
      <c r="CK134" s="5" t="str">
        <f t="shared" si="111"/>
        <v/>
      </c>
      <c r="CL134" s="5" t="str">
        <f t="shared" si="112"/>
        <v/>
      </c>
      <c r="CM134" s="5" t="str">
        <f t="shared" si="113"/>
        <v/>
      </c>
      <c r="CN134" s="5" t="str">
        <f t="shared" si="114"/>
        <v/>
      </c>
      <c r="CO134" s="5" t="str">
        <f t="shared" si="115"/>
        <v/>
      </c>
      <c r="CP134" s="5" t="str">
        <f t="shared" si="116"/>
        <v/>
      </c>
      <c r="CQ134" s="5" t="str">
        <f t="shared" si="117"/>
        <v/>
      </c>
      <c r="CR134" s="5" t="str">
        <f t="shared" si="118"/>
        <v/>
      </c>
      <c r="CS134" s="5" t="b">
        <f t="shared" si="119"/>
        <v>0</v>
      </c>
      <c r="CT134" s="5" t="b">
        <f t="shared" si="120"/>
        <v>0</v>
      </c>
      <c r="CU134" s="5" t="b">
        <f t="shared" si="121"/>
        <v>0</v>
      </c>
      <c r="CV134" s="5" t="b">
        <f t="shared" si="122"/>
        <v>0</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str">
        <f t="shared" si="110"/>
        <v/>
      </c>
      <c r="CK135" s="5" t="str">
        <f t="shared" si="111"/>
        <v/>
      </c>
      <c r="CL135" s="5" t="str">
        <f t="shared" si="112"/>
        <v/>
      </c>
      <c r="CM135" s="5" t="str">
        <f t="shared" si="113"/>
        <v/>
      </c>
      <c r="CN135" s="5" t="str">
        <f t="shared" si="114"/>
        <v/>
      </c>
      <c r="CO135" s="5" t="str">
        <f t="shared" si="115"/>
        <v/>
      </c>
      <c r="CP135" s="5" t="str">
        <f t="shared" si="116"/>
        <v/>
      </c>
      <c r="CQ135" s="5" t="str">
        <f t="shared" si="117"/>
        <v/>
      </c>
      <c r="CR135" s="5" t="str">
        <f t="shared" si="118"/>
        <v/>
      </c>
      <c r="CS135" s="5" t="b">
        <f t="shared" si="119"/>
        <v>0</v>
      </c>
      <c r="CT135" s="5" t="b">
        <f t="shared" si="120"/>
        <v>0</v>
      </c>
      <c r="CU135" s="5" t="b">
        <f t="shared" si="121"/>
        <v>0</v>
      </c>
      <c r="CV135" s="5" t="b">
        <f t="shared" si="122"/>
        <v>0</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str">
        <f t="shared" si="110"/>
        <v/>
      </c>
      <c r="CK136" s="5" t="str">
        <f t="shared" si="111"/>
        <v/>
      </c>
      <c r="CL136" s="5" t="str">
        <f t="shared" si="112"/>
        <v/>
      </c>
      <c r="CM136" s="5" t="str">
        <f t="shared" si="113"/>
        <v/>
      </c>
      <c r="CN136" s="5" t="str">
        <f t="shared" si="114"/>
        <v/>
      </c>
      <c r="CO136" s="5" t="str">
        <f t="shared" si="115"/>
        <v/>
      </c>
      <c r="CP136" s="5" t="str">
        <f t="shared" si="116"/>
        <v/>
      </c>
      <c r="CQ136" s="5" t="str">
        <f t="shared" si="117"/>
        <v/>
      </c>
      <c r="CR136" s="5" t="str">
        <f t="shared" si="118"/>
        <v/>
      </c>
      <c r="CS136" s="5" t="b">
        <f t="shared" si="119"/>
        <v>0</v>
      </c>
      <c r="CT136" s="5" t="b">
        <f t="shared" si="120"/>
        <v>0</v>
      </c>
      <c r="CU136" s="5" t="b">
        <f t="shared" si="121"/>
        <v>0</v>
      </c>
      <c r="CV136" s="5" t="b">
        <f t="shared" si="122"/>
        <v>0</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str">
        <f t="shared" si="110"/>
        <v/>
      </c>
      <c r="CK137" s="5" t="str">
        <f t="shared" si="111"/>
        <v/>
      </c>
      <c r="CL137" s="5" t="str">
        <f t="shared" si="112"/>
        <v/>
      </c>
      <c r="CM137" s="5" t="str">
        <f t="shared" si="113"/>
        <v/>
      </c>
      <c r="CN137" s="5" t="str">
        <f t="shared" si="114"/>
        <v/>
      </c>
      <c r="CO137" s="5" t="str">
        <f t="shared" si="115"/>
        <v/>
      </c>
      <c r="CP137" s="5" t="str">
        <f t="shared" si="116"/>
        <v/>
      </c>
      <c r="CQ137" s="5" t="str">
        <f t="shared" si="117"/>
        <v/>
      </c>
      <c r="CR137" s="5" t="str">
        <f t="shared" si="118"/>
        <v/>
      </c>
      <c r="CS137" s="5" t="b">
        <f t="shared" si="119"/>
        <v>0</v>
      </c>
      <c r="CT137" s="5" t="b">
        <f t="shared" si="120"/>
        <v>0</v>
      </c>
      <c r="CU137" s="5" t="b">
        <f t="shared" si="121"/>
        <v>0</v>
      </c>
      <c r="CV137" s="5" t="b">
        <f t="shared" si="122"/>
        <v>0</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str">
        <f t="shared" si="110"/>
        <v/>
      </c>
      <c r="CK138" s="5" t="str">
        <f t="shared" si="111"/>
        <v/>
      </c>
      <c r="CL138" s="5" t="str">
        <f t="shared" si="112"/>
        <v/>
      </c>
      <c r="CM138" s="5" t="str">
        <f t="shared" si="113"/>
        <v/>
      </c>
      <c r="CN138" s="5" t="str">
        <f t="shared" si="114"/>
        <v/>
      </c>
      <c r="CO138" s="5" t="str">
        <f t="shared" si="115"/>
        <v/>
      </c>
      <c r="CP138" s="5" t="str">
        <f t="shared" si="116"/>
        <v/>
      </c>
      <c r="CQ138" s="5" t="str">
        <f t="shared" si="117"/>
        <v/>
      </c>
      <c r="CR138" s="5" t="str">
        <f t="shared" si="118"/>
        <v/>
      </c>
      <c r="CS138" s="5" t="b">
        <f t="shared" si="119"/>
        <v>0</v>
      </c>
      <c r="CT138" s="5" t="b">
        <f t="shared" si="120"/>
        <v>0</v>
      </c>
      <c r="CU138" s="5" t="b">
        <f t="shared" si="121"/>
        <v>0</v>
      </c>
      <c r="CV138" s="5" t="b">
        <f t="shared" si="122"/>
        <v>0</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str">
        <f t="shared" si="110"/>
        <v/>
      </c>
      <c r="CK139" s="5" t="str">
        <f t="shared" si="111"/>
        <v/>
      </c>
      <c r="CL139" s="5" t="str">
        <f t="shared" si="112"/>
        <v/>
      </c>
      <c r="CM139" s="5" t="str">
        <f t="shared" si="113"/>
        <v/>
      </c>
      <c r="CN139" s="5" t="str">
        <f t="shared" si="114"/>
        <v/>
      </c>
      <c r="CO139" s="5" t="str">
        <f t="shared" si="115"/>
        <v/>
      </c>
      <c r="CP139" s="5" t="str">
        <f t="shared" si="116"/>
        <v/>
      </c>
      <c r="CQ139" s="5" t="str">
        <f t="shared" si="117"/>
        <v/>
      </c>
      <c r="CR139" s="5" t="str">
        <f t="shared" si="118"/>
        <v/>
      </c>
      <c r="CS139" s="5" t="b">
        <f t="shared" si="119"/>
        <v>0</v>
      </c>
      <c r="CT139" s="5" t="b">
        <f t="shared" si="120"/>
        <v>0</v>
      </c>
      <c r="CU139" s="5" t="b">
        <f t="shared" si="121"/>
        <v>0</v>
      </c>
      <c r="CV139" s="5" t="b">
        <f t="shared" si="122"/>
        <v>0</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f t="shared" si="110"/>
        <v>0</v>
      </c>
      <c r="CK140" s="5">
        <f t="shared" si="111"/>
        <v>0</v>
      </c>
      <c r="CL140" s="5">
        <f t="shared" si="112"/>
        <v>0</v>
      </c>
      <c r="CM140" s="5">
        <f t="shared" si="113"/>
        <v>0</v>
      </c>
      <c r="CN140" s="5">
        <f t="shared" si="114"/>
        <v>0</v>
      </c>
      <c r="CO140" s="5">
        <f t="shared" si="115"/>
        <v>0</v>
      </c>
      <c r="CP140" s="5">
        <f t="shared" si="116"/>
        <v>0</v>
      </c>
      <c r="CQ140" s="5">
        <f t="shared" si="117"/>
        <v>0</v>
      </c>
      <c r="CR140" s="5">
        <f t="shared" si="118"/>
        <v>0</v>
      </c>
      <c r="CS140" s="5" t="b">
        <f t="shared" si="119"/>
        <v>0</v>
      </c>
      <c r="CT140" s="5" t="b">
        <f t="shared" si="120"/>
        <v>0</v>
      </c>
      <c r="CU140" s="5" t="b">
        <f t="shared" si="121"/>
        <v>0</v>
      </c>
      <c r="CV140" s="5" t="b">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206" priority="27" operator="equal">
      <formula>0</formula>
    </cfRule>
  </conditionalFormatting>
  <conditionalFormatting sqref="B4:Y5 Z18:Z19 AA2:AA19 AB18:AB19 AC2:AC19 AD18:AD19 AE2:AE19 AF18:AO19 G20 I20:AO20 B8:Y9 C6:Y7 C2:Y3 B15:Y19 C10:Y14">
    <cfRule type="cellIs" dxfId="205" priority="29" operator="equal">
      <formula>0</formula>
    </cfRule>
  </conditionalFormatting>
  <conditionalFormatting sqref="G2:N19 G20 I20:N20">
    <cfRule type="cellIs" dxfId="204" priority="30" operator="equal">
      <formula>"0+"</formula>
    </cfRule>
  </conditionalFormatting>
  <conditionalFormatting sqref="W30">
    <cfRule type="cellIs" dxfId="203" priority="31" operator="equal">
      <formula>0</formula>
    </cfRule>
  </conditionalFormatting>
  <conditionalFormatting sqref="J3">
    <cfRule type="cellIs" dxfId="202" priority="32" operator="lessThan">
      <formula>W67</formula>
    </cfRule>
  </conditionalFormatting>
  <conditionalFormatting sqref="J3">
    <cfRule type="cellIs" dxfId="201" priority="33" operator="greaterThan">
      <formula>W67</formula>
    </cfRule>
  </conditionalFormatting>
  <conditionalFormatting sqref="J4">
    <cfRule type="cellIs" dxfId="200" priority="34" operator="lessThan">
      <formula>W68</formula>
    </cfRule>
  </conditionalFormatting>
  <conditionalFormatting sqref="J4">
    <cfRule type="cellIs" dxfId="199" priority="35" operator="greaterThan">
      <formula>W68</formula>
    </cfRule>
  </conditionalFormatting>
  <conditionalFormatting sqref="J5">
    <cfRule type="cellIs" dxfId="198" priority="36" operator="lessThan">
      <formula>W69</formula>
    </cfRule>
  </conditionalFormatting>
  <conditionalFormatting sqref="J5">
    <cfRule type="cellIs" dxfId="197" priority="37" operator="greaterThan">
      <formula>W69</formula>
    </cfRule>
  </conditionalFormatting>
  <conditionalFormatting sqref="J6">
    <cfRule type="cellIs" dxfId="196" priority="38" operator="lessThan">
      <formula>W70</formula>
    </cfRule>
  </conditionalFormatting>
  <conditionalFormatting sqref="J6">
    <cfRule type="cellIs" dxfId="195" priority="39" operator="greaterThan">
      <formula>W70</formula>
    </cfRule>
  </conditionalFormatting>
  <conditionalFormatting sqref="J7">
    <cfRule type="cellIs" dxfId="194" priority="40" operator="lessThan">
      <formula>W71</formula>
    </cfRule>
  </conditionalFormatting>
  <conditionalFormatting sqref="J7">
    <cfRule type="cellIs" dxfId="193" priority="41" operator="greaterThan">
      <formula>W71</formula>
    </cfRule>
  </conditionalFormatting>
  <conditionalFormatting sqref="J8">
    <cfRule type="cellIs" dxfId="192" priority="42" operator="lessThan">
      <formula>W72</formula>
    </cfRule>
  </conditionalFormatting>
  <conditionalFormatting sqref="J8">
    <cfRule type="cellIs" dxfId="191" priority="43" operator="greaterThan">
      <formula>W72</formula>
    </cfRule>
  </conditionalFormatting>
  <conditionalFormatting sqref="J9">
    <cfRule type="cellIs" dxfId="190" priority="44" operator="lessThan">
      <formula>W73</formula>
    </cfRule>
  </conditionalFormatting>
  <conditionalFormatting sqref="J9">
    <cfRule type="cellIs" dxfId="189" priority="45" operator="greaterThan">
      <formula>W73</formula>
    </cfRule>
  </conditionalFormatting>
  <conditionalFormatting sqref="J10">
    <cfRule type="cellIs" dxfId="188" priority="46" operator="lessThan">
      <formula>W74</formula>
    </cfRule>
  </conditionalFormatting>
  <conditionalFormatting sqref="J10">
    <cfRule type="cellIs" dxfId="187" priority="47" operator="greaterThan">
      <formula>W74</formula>
    </cfRule>
  </conditionalFormatting>
  <conditionalFormatting sqref="J11">
    <cfRule type="cellIs" dxfId="186" priority="48" operator="lessThan">
      <formula>W75</formula>
    </cfRule>
  </conditionalFormatting>
  <conditionalFormatting sqref="J11">
    <cfRule type="cellIs" dxfId="185" priority="49" operator="greaterThan">
      <formula>W75</formula>
    </cfRule>
  </conditionalFormatting>
  <conditionalFormatting sqref="J12">
    <cfRule type="cellIs" dxfId="184" priority="50" operator="lessThan">
      <formula>W76</formula>
    </cfRule>
  </conditionalFormatting>
  <conditionalFormatting sqref="J12">
    <cfRule type="cellIs" dxfId="183" priority="51" operator="greaterThan">
      <formula>W76</formula>
    </cfRule>
  </conditionalFormatting>
  <conditionalFormatting sqref="J13">
    <cfRule type="cellIs" dxfId="182" priority="52" operator="lessThan">
      <formula>W77</formula>
    </cfRule>
  </conditionalFormatting>
  <conditionalFormatting sqref="J13">
    <cfRule type="cellIs" dxfId="181" priority="53" operator="greaterThan">
      <formula>W77</formula>
    </cfRule>
  </conditionalFormatting>
  <conditionalFormatting sqref="J14">
    <cfRule type="cellIs" dxfId="180" priority="54" operator="lessThan">
      <formula>W78</formula>
    </cfRule>
  </conditionalFormatting>
  <conditionalFormatting sqref="J14">
    <cfRule type="cellIs" dxfId="179" priority="55" operator="greaterThan">
      <formula>W78</formula>
    </cfRule>
  </conditionalFormatting>
  <conditionalFormatting sqref="J16">
    <cfRule type="cellIs" dxfId="178" priority="56" operator="lessThan">
      <formula>W80</formula>
    </cfRule>
  </conditionalFormatting>
  <conditionalFormatting sqref="J16">
    <cfRule type="cellIs" dxfId="177" priority="57" operator="greaterThan">
      <formula>W80</formula>
    </cfRule>
  </conditionalFormatting>
  <conditionalFormatting sqref="J17">
    <cfRule type="cellIs" dxfId="176" priority="58" operator="lessThan">
      <formula>W81</formula>
    </cfRule>
  </conditionalFormatting>
  <conditionalFormatting sqref="J17">
    <cfRule type="cellIs" dxfId="175" priority="59" operator="greaterThan">
      <formula>W81</formula>
    </cfRule>
  </conditionalFormatting>
  <conditionalFormatting sqref="K3">
    <cfRule type="cellIs" dxfId="174" priority="60" operator="lessThan">
      <formula>X67</formula>
    </cfRule>
  </conditionalFormatting>
  <conditionalFormatting sqref="K3">
    <cfRule type="cellIs" dxfId="173" priority="61" operator="greaterThan">
      <formula>X67</formula>
    </cfRule>
  </conditionalFormatting>
  <conditionalFormatting sqref="N3">
    <cfRule type="expression" dxfId="172" priority="62">
      <formula>O67&lt;AA67</formula>
    </cfRule>
  </conditionalFormatting>
  <conditionalFormatting sqref="N3">
    <cfRule type="expression" dxfId="171" priority="63">
      <formula>O67&gt;AA67</formula>
    </cfRule>
  </conditionalFormatting>
  <conditionalFormatting sqref="K4">
    <cfRule type="cellIs" dxfId="170" priority="64" operator="lessThan">
      <formula>X68</formula>
    </cfRule>
  </conditionalFormatting>
  <conditionalFormatting sqref="K4">
    <cfRule type="cellIs" dxfId="169" priority="65" operator="greaterThan">
      <formula>X68</formula>
    </cfRule>
  </conditionalFormatting>
  <conditionalFormatting sqref="N4">
    <cfRule type="expression" dxfId="168" priority="66">
      <formula>O68&lt;AA68</formula>
    </cfRule>
  </conditionalFormatting>
  <conditionalFormatting sqref="N4">
    <cfRule type="expression" dxfId="167" priority="67">
      <formula>O68&gt;AA68</formula>
    </cfRule>
  </conditionalFormatting>
  <conditionalFormatting sqref="K5">
    <cfRule type="cellIs" dxfId="166" priority="68" operator="lessThan">
      <formula>X69</formula>
    </cfRule>
  </conditionalFormatting>
  <conditionalFormatting sqref="K5">
    <cfRule type="cellIs" dxfId="165" priority="69" operator="greaterThan">
      <formula>X69</formula>
    </cfRule>
  </conditionalFormatting>
  <conditionalFormatting sqref="N5">
    <cfRule type="expression" dxfId="164" priority="70">
      <formula>O69&lt;AA69</formula>
    </cfRule>
  </conditionalFormatting>
  <conditionalFormatting sqref="N5">
    <cfRule type="expression" dxfId="163" priority="71">
      <formula>O69&gt;AA69</formula>
    </cfRule>
  </conditionalFormatting>
  <conditionalFormatting sqref="K6">
    <cfRule type="cellIs" dxfId="162" priority="72" operator="lessThan">
      <formula>X70</formula>
    </cfRule>
  </conditionalFormatting>
  <conditionalFormatting sqref="K6">
    <cfRule type="cellIs" dxfId="161" priority="73" operator="greaterThan">
      <formula>X70</formula>
    </cfRule>
  </conditionalFormatting>
  <conditionalFormatting sqref="N6">
    <cfRule type="expression" dxfId="160" priority="74">
      <formula>O70&lt;AA70</formula>
    </cfRule>
  </conditionalFormatting>
  <conditionalFormatting sqref="N6">
    <cfRule type="expression" dxfId="159" priority="75">
      <formula>O70&gt;AA70</formula>
    </cfRule>
  </conditionalFormatting>
  <conditionalFormatting sqref="K7">
    <cfRule type="cellIs" dxfId="158" priority="76" operator="lessThan">
      <formula>X71</formula>
    </cfRule>
  </conditionalFormatting>
  <conditionalFormatting sqref="K7">
    <cfRule type="cellIs" dxfId="157" priority="77" operator="greaterThan">
      <formula>X71</formula>
    </cfRule>
  </conditionalFormatting>
  <conditionalFormatting sqref="N7">
    <cfRule type="expression" dxfId="156" priority="78">
      <formula>O71&lt;AA71</formula>
    </cfRule>
  </conditionalFormatting>
  <conditionalFormatting sqref="N7">
    <cfRule type="expression" dxfId="155" priority="79">
      <formula>O71&gt;AA71</formula>
    </cfRule>
  </conditionalFormatting>
  <conditionalFormatting sqref="K8">
    <cfRule type="cellIs" dxfId="154" priority="80" operator="lessThan">
      <formula>X72</formula>
    </cfRule>
  </conditionalFormatting>
  <conditionalFormatting sqref="K8">
    <cfRule type="cellIs" dxfId="153" priority="81" operator="greaterThan">
      <formula>X72</formula>
    </cfRule>
  </conditionalFormatting>
  <conditionalFormatting sqref="N8">
    <cfRule type="expression" dxfId="152" priority="82">
      <formula>O72&lt;AA72</formula>
    </cfRule>
  </conditionalFormatting>
  <conditionalFormatting sqref="N8">
    <cfRule type="expression" dxfId="151" priority="83">
      <formula>O72&gt;AA72</formula>
    </cfRule>
  </conditionalFormatting>
  <conditionalFormatting sqref="K9">
    <cfRule type="cellIs" dxfId="150" priority="84" operator="lessThan">
      <formula>X73</formula>
    </cfRule>
  </conditionalFormatting>
  <conditionalFormatting sqref="K9">
    <cfRule type="cellIs" dxfId="149" priority="85" operator="greaterThan">
      <formula>X73</formula>
    </cfRule>
  </conditionalFormatting>
  <conditionalFormatting sqref="N9">
    <cfRule type="expression" dxfId="148" priority="86">
      <formula>O73&lt;AA73</formula>
    </cfRule>
  </conditionalFormatting>
  <conditionalFormatting sqref="N9">
    <cfRule type="expression" dxfId="147" priority="87">
      <formula>O73&gt;AA73</formula>
    </cfRule>
  </conditionalFormatting>
  <conditionalFormatting sqref="K10">
    <cfRule type="cellIs" dxfId="146" priority="88" operator="lessThan">
      <formula>X74</formula>
    </cfRule>
  </conditionalFormatting>
  <conditionalFormatting sqref="K10">
    <cfRule type="cellIs" dxfId="145" priority="89" operator="greaterThan">
      <formula>X74</formula>
    </cfRule>
  </conditionalFormatting>
  <conditionalFormatting sqref="N10">
    <cfRule type="expression" dxfId="144" priority="90">
      <formula>O74&lt;AA74</formula>
    </cfRule>
  </conditionalFormatting>
  <conditionalFormatting sqref="N10">
    <cfRule type="expression" dxfId="143" priority="91">
      <formula>O74&gt;AA74</formula>
    </cfRule>
  </conditionalFormatting>
  <conditionalFormatting sqref="K11">
    <cfRule type="cellIs" dxfId="142" priority="92" operator="lessThan">
      <formula>X75</formula>
    </cfRule>
  </conditionalFormatting>
  <conditionalFormatting sqref="K11">
    <cfRule type="cellIs" dxfId="141" priority="93" operator="greaterThan">
      <formula>X75</formula>
    </cfRule>
  </conditionalFormatting>
  <conditionalFormatting sqref="N11">
    <cfRule type="expression" dxfId="140" priority="94">
      <formula>O75&lt;AA75</formula>
    </cfRule>
  </conditionalFormatting>
  <conditionalFormatting sqref="N11">
    <cfRule type="expression" dxfId="139" priority="95">
      <formula>O75&gt;AA75</formula>
    </cfRule>
  </conditionalFormatting>
  <conditionalFormatting sqref="K12">
    <cfRule type="cellIs" dxfId="138" priority="96" operator="lessThan">
      <formula>X76</formula>
    </cfRule>
  </conditionalFormatting>
  <conditionalFormatting sqref="K12">
    <cfRule type="cellIs" dxfId="137" priority="97" operator="greaterThan">
      <formula>X76</formula>
    </cfRule>
  </conditionalFormatting>
  <conditionalFormatting sqref="N12">
    <cfRule type="expression" dxfId="136" priority="98">
      <formula>O76&lt;AA76</formula>
    </cfRule>
  </conditionalFormatting>
  <conditionalFormatting sqref="N12">
    <cfRule type="expression" dxfId="135" priority="99">
      <formula>O76&gt;AA76</formula>
    </cfRule>
  </conditionalFormatting>
  <conditionalFormatting sqref="K13">
    <cfRule type="cellIs" dxfId="134" priority="100" operator="lessThan">
      <formula>X77</formula>
    </cfRule>
  </conditionalFormatting>
  <conditionalFormatting sqref="K13">
    <cfRule type="cellIs" dxfId="133" priority="101" operator="greaterThan">
      <formula>X77</formula>
    </cfRule>
  </conditionalFormatting>
  <conditionalFormatting sqref="N13">
    <cfRule type="expression" dxfId="132" priority="102">
      <formula>O77&lt;AA77</formula>
    </cfRule>
  </conditionalFormatting>
  <conditionalFormatting sqref="N13">
    <cfRule type="expression" dxfId="131" priority="103">
      <formula>O77&gt;AA77</formula>
    </cfRule>
  </conditionalFormatting>
  <conditionalFormatting sqref="K14">
    <cfRule type="cellIs" dxfId="130" priority="104" operator="lessThan">
      <formula>X78</formula>
    </cfRule>
  </conditionalFormatting>
  <conditionalFormatting sqref="K14">
    <cfRule type="cellIs" dxfId="129" priority="105" operator="greaterThan">
      <formula>X78</formula>
    </cfRule>
  </conditionalFormatting>
  <conditionalFormatting sqref="N14">
    <cfRule type="expression" dxfId="128" priority="106">
      <formula>O78&lt;AA78</formula>
    </cfRule>
  </conditionalFormatting>
  <conditionalFormatting sqref="N14">
    <cfRule type="expression" dxfId="127" priority="107">
      <formula>O78&gt;AA78</formula>
    </cfRule>
  </conditionalFormatting>
  <conditionalFormatting sqref="K16">
    <cfRule type="cellIs" dxfId="126" priority="108" operator="lessThan">
      <formula>X80</formula>
    </cfRule>
  </conditionalFormatting>
  <conditionalFormatting sqref="K16">
    <cfRule type="cellIs" dxfId="125" priority="109" operator="greaterThan">
      <formula>X80</formula>
    </cfRule>
  </conditionalFormatting>
  <conditionalFormatting sqref="N16">
    <cfRule type="expression" dxfId="124" priority="110">
      <formula>O80&lt;AA80</formula>
    </cfRule>
  </conditionalFormatting>
  <conditionalFormatting sqref="N16">
    <cfRule type="expression" dxfId="123" priority="111">
      <formula>O80&gt;AA80</formula>
    </cfRule>
  </conditionalFormatting>
  <conditionalFormatting sqref="K17">
    <cfRule type="cellIs" dxfId="122" priority="112" operator="lessThan">
      <formula>X81</formula>
    </cfRule>
  </conditionalFormatting>
  <conditionalFormatting sqref="K17">
    <cfRule type="cellIs" dxfId="121" priority="113" operator="greaterThan">
      <formula>X81</formula>
    </cfRule>
  </conditionalFormatting>
  <conditionalFormatting sqref="N17">
    <cfRule type="expression" dxfId="120" priority="114">
      <formula>O81&lt;AA81</formula>
    </cfRule>
  </conditionalFormatting>
  <conditionalFormatting sqref="N17">
    <cfRule type="expression" dxfId="119" priority="115">
      <formula>O81&gt;AA81</formula>
    </cfRule>
  </conditionalFormatting>
  <conditionalFormatting sqref="X28:AA28">
    <cfRule type="expression" dxfId="118" priority="116">
      <formula>$Y$28=0</formula>
    </cfRule>
  </conditionalFormatting>
  <conditionalFormatting sqref="AB28:AC28">
    <cfRule type="expression" dxfId="117" priority="117">
      <formula>$Y$28=0</formula>
    </cfRule>
  </conditionalFormatting>
  <conditionalFormatting sqref="W28">
    <cfRule type="expression" dxfId="116" priority="118">
      <formula>$Y$28=0</formula>
    </cfRule>
  </conditionalFormatting>
  <conditionalFormatting sqref="AJ28:AL28">
    <cfRule type="expression" dxfId="115" priority="119">
      <formula>$AK$28=0</formula>
    </cfRule>
  </conditionalFormatting>
  <conditionalFormatting sqref="AN28:AO28">
    <cfRule type="expression" dxfId="114" priority="120">
      <formula>$AK$28=0</formula>
    </cfRule>
  </conditionalFormatting>
  <conditionalFormatting sqref="AI28">
    <cfRule type="expression" dxfId="113" priority="121">
      <formula>$AK$28=0</formula>
    </cfRule>
  </conditionalFormatting>
  <conditionalFormatting sqref="O2:O17">
    <cfRule type="cellIs" dxfId="112" priority="122" operator="equal">
      <formula>0&amp;BF2</formula>
    </cfRule>
  </conditionalFormatting>
  <conditionalFormatting sqref="O2:O17">
    <cfRule type="expression" dxfId="111" priority="123">
      <formula>AW2&lt;&gt;""</formula>
    </cfRule>
  </conditionalFormatting>
  <conditionalFormatting sqref="L10">
    <cfRule type="expression" dxfId="110" priority="124">
      <formula>M74&gt;Y74</formula>
    </cfRule>
  </conditionalFormatting>
  <conditionalFormatting sqref="L10">
    <cfRule type="expression" dxfId="109" priority="125">
      <formula>M74&lt;Y74</formula>
    </cfRule>
  </conditionalFormatting>
  <conditionalFormatting sqref="J2">
    <cfRule type="cellIs" dxfId="108" priority="126" operator="lessThan">
      <formula>W66</formula>
    </cfRule>
  </conditionalFormatting>
  <conditionalFormatting sqref="J2">
    <cfRule type="cellIs" dxfId="107" priority="127" operator="greaterThan">
      <formula>W66</formula>
    </cfRule>
  </conditionalFormatting>
  <conditionalFormatting sqref="K2">
    <cfRule type="cellIs" dxfId="106" priority="128" operator="lessThan">
      <formula>X66</formula>
    </cfRule>
  </conditionalFormatting>
  <conditionalFormatting sqref="K2">
    <cfRule type="cellIs" dxfId="105" priority="129" operator="greaterThan">
      <formula>X66</formula>
    </cfRule>
  </conditionalFormatting>
  <conditionalFormatting sqref="N2">
    <cfRule type="expression" dxfId="104" priority="130">
      <formula>O66&lt;AA66</formula>
    </cfRule>
  </conditionalFormatting>
  <conditionalFormatting sqref="N2">
    <cfRule type="expression" dxfId="103" priority="131">
      <formula>O66&gt;AA66</formula>
    </cfRule>
  </conditionalFormatting>
  <conditionalFormatting sqref="O18 AA18">
    <cfRule type="expression" dxfId="102" priority="132">
      <formula>$AS$18&lt;&gt;""</formula>
    </cfRule>
  </conditionalFormatting>
  <conditionalFormatting sqref="O19:O20 AA19:AA20">
    <cfRule type="expression" dxfId="101" priority="133">
      <formula>$AS$19&lt;&gt;""</formula>
    </cfRule>
  </conditionalFormatting>
  <conditionalFormatting sqref="J15">
    <cfRule type="cellIs" dxfId="100" priority="134" operator="lessThan">
      <formula>W79</formula>
    </cfRule>
  </conditionalFormatting>
  <conditionalFormatting sqref="J15">
    <cfRule type="cellIs" dxfId="99" priority="135" operator="greaterThan">
      <formula>W79</formula>
    </cfRule>
  </conditionalFormatting>
  <conditionalFormatting sqref="K15">
    <cfRule type="cellIs" dxfId="98" priority="136" operator="lessThan">
      <formula>X79</formula>
    </cfRule>
  </conditionalFormatting>
  <conditionalFormatting sqref="K15">
    <cfRule type="cellIs" dxfId="97" priority="137" operator="greaterThan">
      <formula>X79</formula>
    </cfRule>
  </conditionalFormatting>
  <conditionalFormatting sqref="N15">
    <cfRule type="expression" dxfId="96" priority="138">
      <formula>O79&lt;AA79</formula>
    </cfRule>
  </conditionalFormatting>
  <conditionalFormatting sqref="N15">
    <cfRule type="expression" dxfId="95" priority="139">
      <formula>O79&gt;AA79</formula>
    </cfRule>
  </conditionalFormatting>
  <conditionalFormatting sqref="AN18:AO20">
    <cfRule type="cellIs" dxfId="94" priority="140" operator="equal">
      <formula>0</formula>
    </cfRule>
  </conditionalFormatting>
  <conditionalFormatting sqref="M2">
    <cfRule type="expression" dxfId="93" priority="141">
      <formula>N66&gt;Z66</formula>
    </cfRule>
  </conditionalFormatting>
  <conditionalFormatting sqref="M2">
    <cfRule type="expression" dxfId="92" priority="142">
      <formula>N66&lt;Z66</formula>
    </cfRule>
  </conditionalFormatting>
  <conditionalFormatting sqref="AJ23:AM23">
    <cfRule type="expression" dxfId="91" priority="143">
      <formula>$AK$23=0</formula>
    </cfRule>
  </conditionalFormatting>
  <conditionalFormatting sqref="AJ24:AM24">
    <cfRule type="expression" dxfId="90" priority="144">
      <formula>$AK$24=0</formula>
    </cfRule>
  </conditionalFormatting>
  <conditionalFormatting sqref="AJ25:AM25">
    <cfRule type="expression" dxfId="89" priority="145">
      <formula>$AK$25=0</formula>
    </cfRule>
  </conditionalFormatting>
  <conditionalFormatting sqref="AJ26:AM26">
    <cfRule type="expression" dxfId="88" priority="146">
      <formula>$AK$26=0</formula>
    </cfRule>
  </conditionalFormatting>
  <conditionalFormatting sqref="AJ27:AM27">
    <cfRule type="expression" dxfId="87" priority="147">
      <formula>$AK$27=0</formula>
    </cfRule>
  </conditionalFormatting>
  <conditionalFormatting sqref="L2">
    <cfRule type="expression" dxfId="86" priority="148">
      <formula>M66&gt;Y66</formula>
    </cfRule>
  </conditionalFormatting>
  <conditionalFormatting sqref="L2">
    <cfRule type="expression" dxfId="85" priority="149">
      <formula>M66&lt;Y66</formula>
    </cfRule>
  </conditionalFormatting>
  <conditionalFormatting sqref="L3">
    <cfRule type="expression" dxfId="84" priority="150">
      <formula>M67&gt;Y67</formula>
    </cfRule>
  </conditionalFormatting>
  <conditionalFormatting sqref="L3">
    <cfRule type="expression" dxfId="83" priority="151">
      <formula>M67&lt;Y67</formula>
    </cfRule>
  </conditionalFormatting>
  <conditionalFormatting sqref="L4">
    <cfRule type="expression" dxfId="82" priority="152">
      <formula>M68&gt;Y68</formula>
    </cfRule>
  </conditionalFormatting>
  <conditionalFormatting sqref="L4">
    <cfRule type="expression" dxfId="81" priority="153">
      <formula>M68&lt;Y68</formula>
    </cfRule>
  </conditionalFormatting>
  <conditionalFormatting sqref="L5">
    <cfRule type="expression" dxfId="80" priority="154">
      <formula>M69&gt;Y69</formula>
    </cfRule>
  </conditionalFormatting>
  <conditionalFormatting sqref="L5">
    <cfRule type="expression" dxfId="79" priority="155">
      <formula>M69&lt;Y69</formula>
    </cfRule>
  </conditionalFormatting>
  <conditionalFormatting sqref="L6">
    <cfRule type="expression" dxfId="78" priority="156">
      <formula>M70&gt;Y70</formula>
    </cfRule>
  </conditionalFormatting>
  <conditionalFormatting sqref="L6">
    <cfRule type="expression" dxfId="77" priority="157">
      <formula>M70&lt;Y70</formula>
    </cfRule>
  </conditionalFormatting>
  <conditionalFormatting sqref="L7">
    <cfRule type="expression" dxfId="76" priority="158">
      <formula>M71&gt;Y71</formula>
    </cfRule>
  </conditionalFormatting>
  <conditionalFormatting sqref="L7">
    <cfRule type="expression" dxfId="75" priority="159">
      <formula>M71&lt;Y71</formula>
    </cfRule>
  </conditionalFormatting>
  <conditionalFormatting sqref="L8">
    <cfRule type="expression" dxfId="74" priority="160">
      <formula>M72&gt;Y72</formula>
    </cfRule>
  </conditionalFormatting>
  <conditionalFormatting sqref="L8">
    <cfRule type="expression" dxfId="73" priority="161">
      <formula>M72&lt;Y72</formula>
    </cfRule>
  </conditionalFormatting>
  <conditionalFormatting sqref="L9">
    <cfRule type="expression" dxfId="72" priority="162">
      <formula>M73&gt;Y73</formula>
    </cfRule>
  </conditionalFormatting>
  <conditionalFormatting sqref="L9">
    <cfRule type="expression" dxfId="71" priority="163">
      <formula>M73&lt;Y73</formula>
    </cfRule>
  </conditionalFormatting>
  <conditionalFormatting sqref="L11">
    <cfRule type="expression" dxfId="70" priority="164">
      <formula>M75&gt;Y75</formula>
    </cfRule>
  </conditionalFormatting>
  <conditionalFormatting sqref="L11">
    <cfRule type="expression" dxfId="69" priority="165">
      <formula>M75&lt;Y75</formula>
    </cfRule>
  </conditionalFormatting>
  <conditionalFormatting sqref="L12">
    <cfRule type="expression" dxfId="68" priority="166">
      <formula>M76&gt;Y76</formula>
    </cfRule>
  </conditionalFormatting>
  <conditionalFormatting sqref="L12">
    <cfRule type="expression" dxfId="67" priority="167">
      <formula>M76&lt;Y76</formula>
    </cfRule>
  </conditionalFormatting>
  <conditionalFormatting sqref="L13">
    <cfRule type="expression" dxfId="66" priority="168">
      <formula>M77&gt;Y77</formula>
    </cfRule>
  </conditionalFormatting>
  <conditionalFormatting sqref="L13">
    <cfRule type="expression" dxfId="65" priority="169">
      <formula>M77&lt;Y77</formula>
    </cfRule>
  </conditionalFormatting>
  <conditionalFormatting sqref="L14">
    <cfRule type="expression" dxfId="64" priority="170">
      <formula>M78&gt;Y78</formula>
    </cfRule>
  </conditionalFormatting>
  <conditionalFormatting sqref="L14">
    <cfRule type="expression" dxfId="63" priority="171">
      <formula>M78&lt;Y78</formula>
    </cfRule>
  </conditionalFormatting>
  <conditionalFormatting sqref="L15">
    <cfRule type="expression" dxfId="62" priority="172">
      <formula>M79&gt;Y79</formula>
    </cfRule>
  </conditionalFormatting>
  <conditionalFormatting sqref="L15">
    <cfRule type="expression" dxfId="61" priority="173">
      <formula>M79&lt;Y79</formula>
    </cfRule>
  </conditionalFormatting>
  <conditionalFormatting sqref="L16">
    <cfRule type="expression" dxfId="60" priority="174">
      <formula>M80&gt;Y80</formula>
    </cfRule>
  </conditionalFormatting>
  <conditionalFormatting sqref="L16">
    <cfRule type="expression" dxfId="59" priority="175">
      <formula>M80&lt;Y80</formula>
    </cfRule>
  </conditionalFormatting>
  <conditionalFormatting sqref="L17">
    <cfRule type="expression" dxfId="58" priority="176">
      <formula>M81&gt;Y81</formula>
    </cfRule>
  </conditionalFormatting>
  <conditionalFormatting sqref="L17">
    <cfRule type="expression" dxfId="57" priority="177">
      <formula>M81&lt;Y81</formula>
    </cfRule>
  </conditionalFormatting>
  <conditionalFormatting sqref="M3">
    <cfRule type="expression" dxfId="56" priority="178">
      <formula>N67&gt;Z67</formula>
    </cfRule>
  </conditionalFormatting>
  <conditionalFormatting sqref="M3">
    <cfRule type="expression" dxfId="55" priority="179">
      <formula>N67&lt;Z67</formula>
    </cfRule>
  </conditionalFormatting>
  <conditionalFormatting sqref="M4">
    <cfRule type="expression" dxfId="54" priority="180">
      <formula>N68&gt;Z68</formula>
    </cfRule>
  </conditionalFormatting>
  <conditionalFormatting sqref="M4">
    <cfRule type="expression" dxfId="53" priority="181">
      <formula>N68&lt;Z68</formula>
    </cfRule>
  </conditionalFormatting>
  <conditionalFormatting sqref="M5">
    <cfRule type="expression" dxfId="52" priority="182">
      <formula>N69&gt;Z69</formula>
    </cfRule>
  </conditionalFormatting>
  <conditionalFormatting sqref="M5">
    <cfRule type="expression" dxfId="51" priority="183">
      <formula>N69&lt;Z69</formula>
    </cfRule>
  </conditionalFormatting>
  <conditionalFormatting sqref="M6">
    <cfRule type="expression" dxfId="50" priority="184">
      <formula>N70&gt;Z70</formula>
    </cfRule>
  </conditionalFormatting>
  <conditionalFormatting sqref="M6">
    <cfRule type="expression" dxfId="49" priority="185">
      <formula>N70&lt;Z70</formula>
    </cfRule>
  </conditionalFormatting>
  <conditionalFormatting sqref="M7">
    <cfRule type="expression" dxfId="48" priority="186">
      <formula>N71&gt;Z71</formula>
    </cfRule>
  </conditionalFormatting>
  <conditionalFormatting sqref="M7">
    <cfRule type="expression" dxfId="47" priority="187">
      <formula>N71&lt;Z71</formula>
    </cfRule>
  </conditionalFormatting>
  <conditionalFormatting sqref="M8">
    <cfRule type="expression" dxfId="46" priority="188">
      <formula>N72&gt;Z72</formula>
    </cfRule>
  </conditionalFormatting>
  <conditionalFormatting sqref="M8">
    <cfRule type="expression" dxfId="45" priority="189">
      <formula>N72&lt;Z72</formula>
    </cfRule>
  </conditionalFormatting>
  <conditionalFormatting sqref="M9">
    <cfRule type="expression" dxfId="44" priority="190">
      <formula>N73&gt;Z73</formula>
    </cfRule>
  </conditionalFormatting>
  <conditionalFormatting sqref="M9">
    <cfRule type="expression" dxfId="43" priority="191">
      <formula>N73&lt;Z73</formula>
    </cfRule>
  </conditionalFormatting>
  <conditionalFormatting sqref="M10">
    <cfRule type="expression" dxfId="42" priority="192">
      <formula>N74&gt;Z74</formula>
    </cfRule>
  </conditionalFormatting>
  <conditionalFormatting sqref="M10">
    <cfRule type="expression" dxfId="41" priority="193">
      <formula>N74&lt;Z74</formula>
    </cfRule>
  </conditionalFormatting>
  <conditionalFormatting sqref="M11">
    <cfRule type="expression" dxfId="40" priority="194">
      <formula>N75&gt;Z75</formula>
    </cfRule>
  </conditionalFormatting>
  <conditionalFormatting sqref="M11">
    <cfRule type="expression" dxfId="39" priority="195">
      <formula>N75&lt;Z75</formula>
    </cfRule>
  </conditionalFormatting>
  <conditionalFormatting sqref="M12">
    <cfRule type="expression" dxfId="38" priority="196">
      <formula>N76&gt;Z76</formula>
    </cfRule>
  </conditionalFormatting>
  <conditionalFormatting sqref="M12">
    <cfRule type="expression" dxfId="37" priority="197">
      <formula>N76&lt;Z76</formula>
    </cfRule>
  </conditionalFormatting>
  <conditionalFormatting sqref="M13">
    <cfRule type="expression" dxfId="36" priority="198">
      <formula>N77&gt;Z77</formula>
    </cfRule>
  </conditionalFormatting>
  <conditionalFormatting sqref="M13">
    <cfRule type="expression" dxfId="35" priority="199">
      <formula>N77&lt;Z77</formula>
    </cfRule>
  </conditionalFormatting>
  <conditionalFormatting sqref="M14">
    <cfRule type="expression" dxfId="34" priority="200">
      <formula>N78&gt;Z78</formula>
    </cfRule>
  </conditionalFormatting>
  <conditionalFormatting sqref="M14">
    <cfRule type="expression" dxfId="33" priority="201">
      <formula>N78&lt;Z78</formula>
    </cfRule>
  </conditionalFormatting>
  <conditionalFormatting sqref="M15">
    <cfRule type="expression" dxfId="32" priority="202">
      <formula>N79&gt;Z79</formula>
    </cfRule>
  </conditionalFormatting>
  <conditionalFormatting sqref="M15">
    <cfRule type="expression" dxfId="31" priority="203">
      <formula>N79&lt;Z79</formula>
    </cfRule>
  </conditionalFormatting>
  <conditionalFormatting sqref="M16">
    <cfRule type="expression" dxfId="30" priority="204">
      <formula>N80&gt;Z80</formula>
    </cfRule>
  </conditionalFormatting>
  <conditionalFormatting sqref="M16">
    <cfRule type="expression" dxfId="29" priority="205">
      <formula>N80&lt;Z80</formula>
    </cfRule>
  </conditionalFormatting>
  <conditionalFormatting sqref="M17">
    <cfRule type="expression" dxfId="28" priority="206">
      <formula>N81&gt;Z81</formula>
    </cfRule>
  </conditionalFormatting>
  <conditionalFormatting sqref="M17">
    <cfRule type="expression" dxfId="27" priority="207">
      <formula>N81&lt;Z81</formula>
    </cfRule>
  </conditionalFormatting>
  <conditionalFormatting sqref="AN23:AO23">
    <cfRule type="expression" dxfId="26" priority="208">
      <formula>$AK$23=0</formula>
    </cfRule>
  </conditionalFormatting>
  <conditionalFormatting sqref="AN24:AO24">
    <cfRule type="expression" dxfId="25" priority="209">
      <formula>$AK$24=0</formula>
    </cfRule>
  </conditionalFormatting>
  <conditionalFormatting sqref="AN25:AO25">
    <cfRule type="expression" dxfId="24" priority="210">
      <formula>$AK$25=0</formula>
    </cfRule>
  </conditionalFormatting>
  <conditionalFormatting sqref="AN26:AO26">
    <cfRule type="expression" dxfId="23" priority="211">
      <formula>$AK$26=0</formula>
    </cfRule>
  </conditionalFormatting>
  <conditionalFormatting sqref="AN27:AO27">
    <cfRule type="expression" dxfId="22" priority="212">
      <formula>$AK$27=0</formula>
    </cfRule>
  </conditionalFormatting>
  <conditionalFormatting sqref="AJ21:AL21">
    <cfRule type="expression" dxfId="21" priority="213">
      <formula>$AK$21=0</formula>
    </cfRule>
  </conditionalFormatting>
  <conditionalFormatting sqref="AN21:AO21">
    <cfRule type="expression" dxfId="20" priority="214">
      <formula>$AK$21=0</formula>
    </cfRule>
  </conditionalFormatting>
  <conditionalFormatting sqref="AG43:AH59">
    <cfRule type="cellIs" dxfId="19" priority="26" operator="equal">
      <formula>0</formula>
    </cfRule>
  </conditionalFormatting>
  <conditionalFormatting sqref="I18">
    <cfRule type="cellIs" dxfId="18" priority="25" operator="equal">
      <formula>2</formula>
    </cfRule>
  </conditionalFormatting>
  <conditionalFormatting sqref="I19:I20">
    <cfRule type="cellIs" dxfId="17" priority="24" operator="equal">
      <formula>2</formula>
    </cfRule>
  </conditionalFormatting>
  <conditionalFormatting sqref="AG17">
    <cfRule type="cellIs" dxfId="16" priority="20" operator="equal">
      <formula>0</formula>
    </cfRule>
  </conditionalFormatting>
  <conditionalFormatting sqref="AG17">
    <cfRule type="cellIs" dxfId="15" priority="21" operator="equal">
      <formula>0</formula>
    </cfRule>
  </conditionalFormatting>
  <conditionalFormatting sqref="B20">
    <cfRule type="cellIs" dxfId="14" priority="16" operator="equal">
      <formula>0</formula>
    </cfRule>
  </conditionalFormatting>
  <conditionalFormatting sqref="H20">
    <cfRule type="cellIs" dxfId="13" priority="13" operator="equal">
      <formula>0</formula>
    </cfRule>
  </conditionalFormatting>
  <conditionalFormatting sqref="H20">
    <cfRule type="cellIs" dxfId="12" priority="14" operator="equal">
      <formula>"0+"</formula>
    </cfRule>
  </conditionalFormatting>
  <conditionalFormatting sqref="C20:F20">
    <cfRule type="cellIs" dxfId="11" priority="12" operator="equal">
      <formula>0</formula>
    </cfRule>
  </conditionalFormatting>
  <conditionalFormatting sqref="AG2:AG16">
    <cfRule type="cellIs" dxfId="10" priority="10" operator="equal">
      <formula>0</formula>
    </cfRule>
  </conditionalFormatting>
  <conditionalFormatting sqref="AG2:AG16">
    <cfRule type="cellIs" dxfId="9" priority="11" operator="equal">
      <formula>0</formula>
    </cfRule>
  </conditionalFormatting>
  <conditionalFormatting sqref="AK2:AK16">
    <cfRule type="cellIs" dxfId="8" priority="9" operator="equal">
      <formula>0</formula>
    </cfRule>
  </conditionalFormatting>
  <conditionalFormatting sqref="B6:B7">
    <cfRule type="cellIs" dxfId="7" priority="8" operator="equal">
      <formula>0</formula>
    </cfRule>
  </conditionalFormatting>
  <conditionalFormatting sqref="B2:B3">
    <cfRule type="cellIs" dxfId="6" priority="7" operator="equal">
      <formula>0</formula>
    </cfRule>
  </conditionalFormatting>
  <conditionalFormatting sqref="B11">
    <cfRule type="cellIs" dxfId="5" priority="6" operator="equal">
      <formula>0</formula>
    </cfRule>
  </conditionalFormatting>
  <conditionalFormatting sqref="B13">
    <cfRule type="cellIs" dxfId="4" priority="5" operator="equal">
      <formula>0</formula>
    </cfRule>
  </conditionalFormatting>
  <conditionalFormatting sqref="B12">
    <cfRule type="expression" dxfId="3" priority="3">
      <formula>$BJ$47="MNG"</formula>
    </cfRule>
    <cfRule type="cellIs" dxfId="2" priority="4" operator="equal">
      <formula>0</formula>
    </cfRule>
  </conditionalFormatting>
  <conditionalFormatting sqref="B12">
    <cfRule type="expression" dxfId="1" priority="2">
      <formula>$Z$12&lt;&gt;""</formula>
    </cfRule>
  </conditionalFormatting>
  <conditionalFormatting sqref="B10">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82" t="str">
        <f>IF(Roster!$J$24="Italiano","STATISTICHE",(IF(Roster!$J$24="Español","ESTADÍSTICAS",(IF(Roster!$J$24="Deutsch","STATISTIK",(IF(Roster!$J$24="Français","STATISITQUES","STATISTICS")))))))</f>
        <v>STATISTICS</v>
      </c>
      <c r="E1" s="383"/>
      <c r="F1" s="397" t="s">
        <v>1211</v>
      </c>
      <c r="G1" s="398"/>
      <c r="H1" s="399"/>
      <c r="I1" s="397" t="str">
        <f>IF(Roster!$J$24="Español","HER",(IF(Roster!$J$24="Deutsch","VER",(IF(Roster!$J$24="Français","BLES","CAS")))))</f>
        <v>CAS</v>
      </c>
      <c r="J1" s="398"/>
      <c r="K1" s="399"/>
      <c r="L1" s="397" t="str">
        <f>IF(Roster!$J$24="Español","HL",(IF(Roster!$J$24="Deutsch","SV",(IF(Roster!$J$24="Français","COM","BH")))))</f>
        <v>BH</v>
      </c>
      <c r="M1" s="398"/>
      <c r="N1" s="400"/>
      <c r="O1" s="401" t="str">
        <f>IF(Roster!$J$24="Español","HG",(IF(Roster!$J$24="Deutsch","BV",(IF(Roster!$J$24="Français","BS","SI")))))</f>
        <v>SI</v>
      </c>
      <c r="P1" s="398"/>
      <c r="Q1" s="400"/>
      <c r="R1" s="401" t="str">
        <f>IF(Roster!$J$24="Italiano","Uccisioni",(IF(Roster!$J$24="Español","Muertos",(IF(Roster!$J$24="Deutsch","Tot",(IF(Roster!$J$24="Français","Mort","Kills")))))))</f>
        <v>Kills</v>
      </c>
      <c r="S1" s="398"/>
      <c r="T1" s="399"/>
      <c r="U1" s="397" t="str">
        <f>IF(Roster!$J$24="Italiano","ESPULSI",(IF(Roster!$J$24="Español","EXPULSADOS",(IF(Roster!$J$24="Deutsch","VOM PLATZ G.",(IF(Roster!$J$24="Français","EXPULSÉ","SENT OFF")))))))</f>
        <v>SENT OFF</v>
      </c>
      <c r="V1" s="398"/>
      <c r="W1" s="399"/>
      <c r="X1" s="263" t="str">
        <f>IF(Roster!$J$24="Italiano","NOTE",(IF(Roster!$J$24="Español","NOTAS",(IF(Roster!$J$24="Deutsch","NOTIZEN","NOTES")))))</f>
        <v>NOTES</v>
      </c>
      <c r="Y1" s="402"/>
      <c r="Z1" s="14"/>
      <c r="AA1" s="14"/>
      <c r="AB1" s="14"/>
      <c r="AC1" s="14"/>
      <c r="AD1" s="14"/>
      <c r="AE1" s="14"/>
    </row>
    <row r="2" spans="1:31" ht="12" customHeight="1">
      <c r="A2" s="61">
        <f>COUNTIF(AE6:AE18,"1")</f>
        <v>0</v>
      </c>
      <c r="B2" s="62">
        <f>COUNTIF(AE6:AE18,"2")</f>
        <v>0</v>
      </c>
      <c r="C2" s="63">
        <f>COUNTIF(AE6:AE18,"3")</f>
        <v>0</v>
      </c>
      <c r="D2" s="384"/>
      <c r="E2" s="385"/>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12"/>
      <c r="Y2" s="403"/>
      <c r="Z2" s="14"/>
      <c r="AA2" s="69">
        <v>1</v>
      </c>
      <c r="AB2" s="14"/>
      <c r="AC2" s="14"/>
      <c r="AD2" s="69"/>
      <c r="AE2" s="14"/>
    </row>
    <row r="3" spans="1:31" ht="11.25" customHeight="1">
      <c r="A3" s="70">
        <f t="shared" ref="A3:C3" si="5">IFERROR((A2/(COUNTA($F$6:$F$18))),0)</f>
        <v>0</v>
      </c>
      <c r="B3" s="71">
        <f t="shared" si="5"/>
        <v>0</v>
      </c>
      <c r="C3" s="72">
        <f t="shared" si="5"/>
        <v>0</v>
      </c>
      <c r="D3" s="386"/>
      <c r="E3" s="387"/>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3"/>
      <c r="Y3" s="403"/>
      <c r="Z3" s="14"/>
      <c r="AA3" s="14"/>
      <c r="AB3" s="14"/>
      <c r="AC3" s="14"/>
      <c r="AD3" s="14"/>
      <c r="AE3" s="14"/>
    </row>
    <row r="4" spans="1:31" ht="7.5" customHeight="1">
      <c r="A4" s="405"/>
      <c r="B4" s="406"/>
      <c r="C4" s="406"/>
      <c r="D4" s="406"/>
      <c r="E4" s="406"/>
      <c r="F4" s="406"/>
      <c r="G4" s="406"/>
      <c r="H4" s="406"/>
      <c r="I4" s="406"/>
      <c r="J4" s="406"/>
      <c r="K4" s="406"/>
      <c r="L4" s="406"/>
      <c r="M4" s="406"/>
      <c r="N4" s="406"/>
      <c r="O4" s="406"/>
      <c r="P4" s="406"/>
      <c r="Q4" s="406"/>
      <c r="R4" s="406"/>
      <c r="S4" s="406"/>
      <c r="T4" s="406"/>
      <c r="U4" s="406"/>
      <c r="V4" s="406"/>
      <c r="W4" s="406"/>
      <c r="X4" s="407"/>
      <c r="Y4" s="403"/>
      <c r="Z4" s="14"/>
      <c r="AA4" s="14"/>
      <c r="AB4" s="14"/>
      <c r="AC4" s="14"/>
      <c r="AD4" s="14"/>
      <c r="AE4" s="14"/>
    </row>
    <row r="5" spans="1:31" ht="21" customHeight="1">
      <c r="A5" s="388">
        <v>0</v>
      </c>
      <c r="B5" s="389"/>
      <c r="C5" s="390"/>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4" t="s">
        <v>1211</v>
      </c>
      <c r="G5" s="415"/>
      <c r="H5" s="416"/>
      <c r="I5" s="414" t="str">
        <f>IF(Roster!$J$24="Español","HER",(IF(Roster!$J$24="Deutsch","VER",(IF(Roster!$J$24="Français","BLES","CAS")))))</f>
        <v>CAS</v>
      </c>
      <c r="J5" s="415"/>
      <c r="K5" s="416"/>
      <c r="L5" s="397" t="str">
        <f>IF(Roster!$J$24="Español","HL",(IF(Roster!$J$24="Deutsch","SV",(IF(Roster!$J$24="Français","COM","BH")))))</f>
        <v>BH</v>
      </c>
      <c r="M5" s="415"/>
      <c r="N5" s="417"/>
      <c r="O5" s="401" t="str">
        <f>IF(Roster!$J$24="Español","HG",(IF(Roster!$J$24="Deutsch","BV",(IF(Roster!$J$24="Français","BS","SI")))))</f>
        <v>SI</v>
      </c>
      <c r="P5" s="415"/>
      <c r="Q5" s="417"/>
      <c r="R5" s="401" t="str">
        <f>IF(Roster!$J$24="Italiano","UCCISIONI",(IF(Roster!$J$24="Español","MUERTOS",(IF(Roster!$J$24="Deutsch","TOT",(IF(Roster!$J$24="Français","MORT","KILLS")))))))</f>
        <v>KILLS</v>
      </c>
      <c r="S5" s="415"/>
      <c r="T5" s="416"/>
      <c r="U5" s="418" t="str">
        <f>IF(Roster!$J$24="Italiano","ESPULSI",(IF(Roster!$J$24="Español","EXPULSADOS",(IF(Roster!$J$24="Deutsch","VOM PLATZ G.",(IF(Roster!$J$24="Français","EXPULSÉ","SENT OFF")))))))</f>
        <v>SENT OFF</v>
      </c>
      <c r="V5" s="415"/>
      <c r="W5" s="416"/>
      <c r="X5" s="262" t="str">
        <f>IF(Roster!$J$24="Italiano","NOTE",(IF(Roster!$J$24="Español","NOTAS",(IF(Roster!$J$24="Deutsch","NOTIZEN","NOTES")))))</f>
        <v>NOTES</v>
      </c>
      <c r="Y5" s="403"/>
      <c r="Z5" s="78"/>
      <c r="AA5" s="79" t="s">
        <v>249</v>
      </c>
      <c r="AB5" s="79" t="s">
        <v>250</v>
      </c>
      <c r="AC5" s="79" t="s">
        <v>251</v>
      </c>
      <c r="AD5" s="78"/>
      <c r="AE5" s="78"/>
    </row>
    <row r="6" spans="1:31" ht="21" customHeight="1">
      <c r="A6" s="80">
        <v>1</v>
      </c>
      <c r="B6" s="408" t="str">
        <f>IF(F6&lt;&gt;"",(IF(F6&gt;H6,$A$1,(IF(F6=H6,$B$1,(IF(F6&lt;H6,$C$1,"")))))),"")</f>
        <v/>
      </c>
      <c r="C6" s="409"/>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403"/>
      <c r="Z6" s="14"/>
      <c r="AA6" s="37" t="b">
        <v>0</v>
      </c>
      <c r="AB6" s="37" t="b">
        <v>0</v>
      </c>
      <c r="AC6" s="37" t="b">
        <v>0</v>
      </c>
      <c r="AD6" s="14"/>
      <c r="AE6" s="14" t="str">
        <f t="shared" ref="AE6:AE18" si="8">IF(F6&lt;&gt;"",(IF(F6&gt;H6,1,(IF(F6=H6,2,(IF(F6&lt;H6,3,"")))))),"")</f>
        <v/>
      </c>
    </row>
    <row r="7" spans="1:31" ht="21" customHeight="1">
      <c r="A7" s="85">
        <v>2</v>
      </c>
      <c r="B7" s="408" t="str">
        <f t="shared" ref="B7:B18" si="9">IF(F7&lt;&gt;"",(IF(F7&gt;H7,$A$1,(IF(F7=H7,$B$1,(IF(F7&lt;H7,$C$1,"")))))),"")</f>
        <v/>
      </c>
      <c r="C7" s="409"/>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403"/>
      <c r="Z7" s="14"/>
      <c r="AA7" s="37" t="b">
        <v>0</v>
      </c>
      <c r="AB7" s="37" t="b">
        <v>0</v>
      </c>
      <c r="AC7" s="37" t="b">
        <v>0</v>
      </c>
      <c r="AD7" s="14"/>
      <c r="AE7" s="14" t="str">
        <f t="shared" si="8"/>
        <v/>
      </c>
    </row>
    <row r="8" spans="1:31" ht="21" customHeight="1">
      <c r="A8" s="80">
        <v>3</v>
      </c>
      <c r="B8" s="408" t="str">
        <f t="shared" si="9"/>
        <v/>
      </c>
      <c r="C8" s="409"/>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403"/>
      <c r="Z8" s="14"/>
      <c r="AA8" s="37" t="b">
        <v>0</v>
      </c>
      <c r="AB8" s="37" t="b">
        <v>0</v>
      </c>
      <c r="AC8" s="37" t="b">
        <v>0</v>
      </c>
      <c r="AD8" s="14"/>
      <c r="AE8" s="14" t="str">
        <f t="shared" si="8"/>
        <v/>
      </c>
    </row>
    <row r="9" spans="1:31" ht="21" customHeight="1">
      <c r="A9" s="80">
        <v>4</v>
      </c>
      <c r="B9" s="408" t="str">
        <f t="shared" si="9"/>
        <v/>
      </c>
      <c r="C9" s="409"/>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403"/>
      <c r="Z9" s="14"/>
      <c r="AA9" s="37" t="b">
        <v>0</v>
      </c>
      <c r="AB9" s="37" t="b">
        <v>0</v>
      </c>
      <c r="AC9" s="37" t="b">
        <v>0</v>
      </c>
      <c r="AD9" s="14"/>
      <c r="AE9" s="14" t="str">
        <f t="shared" si="8"/>
        <v/>
      </c>
    </row>
    <row r="10" spans="1:31" ht="21" customHeight="1">
      <c r="A10" s="80">
        <v>5</v>
      </c>
      <c r="B10" s="408" t="str">
        <f t="shared" si="9"/>
        <v/>
      </c>
      <c r="C10" s="409"/>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403"/>
      <c r="Z10" s="14"/>
      <c r="AA10" s="37"/>
      <c r="AB10" s="37"/>
      <c r="AC10" s="37"/>
      <c r="AD10" s="14"/>
      <c r="AE10" s="14" t="str">
        <f t="shared" si="8"/>
        <v/>
      </c>
    </row>
    <row r="11" spans="1:31" ht="21" customHeight="1">
      <c r="A11" s="85">
        <v>6</v>
      </c>
      <c r="B11" s="408" t="str">
        <f t="shared" si="9"/>
        <v/>
      </c>
      <c r="C11" s="409"/>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403"/>
      <c r="Z11" s="14"/>
      <c r="AA11" s="37"/>
      <c r="AB11" s="37"/>
      <c r="AC11" s="37"/>
      <c r="AD11" s="14"/>
      <c r="AE11" s="14" t="str">
        <f t="shared" si="8"/>
        <v/>
      </c>
    </row>
    <row r="12" spans="1:31" ht="21" customHeight="1">
      <c r="A12" s="80">
        <v>7</v>
      </c>
      <c r="B12" s="408" t="str">
        <f t="shared" si="9"/>
        <v/>
      </c>
      <c r="C12" s="409"/>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403"/>
      <c r="Z12" s="14"/>
      <c r="AA12" s="37"/>
      <c r="AB12" s="37"/>
      <c r="AC12" s="37"/>
      <c r="AD12" s="14"/>
      <c r="AE12" s="14" t="str">
        <f t="shared" si="8"/>
        <v/>
      </c>
    </row>
    <row r="13" spans="1:31" ht="21" customHeight="1">
      <c r="A13" s="80">
        <v>8</v>
      </c>
      <c r="B13" s="408" t="str">
        <f t="shared" si="9"/>
        <v/>
      </c>
      <c r="C13" s="409"/>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403"/>
      <c r="Z13" s="14"/>
      <c r="AA13" s="37"/>
      <c r="AB13" s="37"/>
      <c r="AC13" s="37"/>
      <c r="AD13" s="14"/>
      <c r="AE13" s="14" t="str">
        <f t="shared" si="8"/>
        <v/>
      </c>
    </row>
    <row r="14" spans="1:31" ht="21" customHeight="1">
      <c r="A14" s="80">
        <v>9</v>
      </c>
      <c r="B14" s="408" t="str">
        <f t="shared" si="9"/>
        <v/>
      </c>
      <c r="C14" s="409"/>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403"/>
      <c r="Z14" s="14"/>
      <c r="AA14" s="37" t="b">
        <v>0</v>
      </c>
      <c r="AB14" s="37" t="b">
        <v>0</v>
      </c>
      <c r="AC14" s="37" t="b">
        <v>0</v>
      </c>
      <c r="AD14" s="14"/>
      <c r="AE14" s="14" t="str">
        <f t="shared" si="8"/>
        <v/>
      </c>
    </row>
    <row r="15" spans="1:31" ht="21" customHeight="1">
      <c r="A15" s="85">
        <v>10</v>
      </c>
      <c r="B15" s="408" t="str">
        <f t="shared" si="9"/>
        <v/>
      </c>
      <c r="C15" s="409"/>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403"/>
      <c r="Z15" s="14"/>
      <c r="AA15" s="37" t="b">
        <v>0</v>
      </c>
      <c r="AB15" s="37" t="b">
        <v>0</v>
      </c>
      <c r="AC15" s="37" t="b">
        <v>0</v>
      </c>
      <c r="AD15" s="14"/>
      <c r="AE15" s="14" t="str">
        <f t="shared" si="8"/>
        <v/>
      </c>
    </row>
    <row r="16" spans="1:31" ht="21" customHeight="1">
      <c r="A16" s="80">
        <v>11</v>
      </c>
      <c r="B16" s="408" t="str">
        <f t="shared" si="9"/>
        <v/>
      </c>
      <c r="C16" s="409"/>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403"/>
      <c r="Z16" s="14"/>
      <c r="AA16" s="37" t="b">
        <v>0</v>
      </c>
      <c r="AB16" s="37" t="b">
        <v>0</v>
      </c>
      <c r="AC16" s="37" t="b">
        <v>0</v>
      </c>
      <c r="AD16" s="14"/>
      <c r="AE16" s="14" t="str">
        <f t="shared" si="8"/>
        <v/>
      </c>
    </row>
    <row r="17" spans="1:31" ht="21" customHeight="1">
      <c r="A17" s="80">
        <v>12</v>
      </c>
      <c r="B17" s="408" t="str">
        <f t="shared" si="9"/>
        <v/>
      </c>
      <c r="C17" s="409"/>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4"/>
      <c r="Z17" s="14"/>
      <c r="AA17" s="37" t="b">
        <v>0</v>
      </c>
      <c r="AB17" s="37" t="b">
        <v>0</v>
      </c>
      <c r="AC17" s="37" t="b">
        <v>0</v>
      </c>
      <c r="AD17" s="14"/>
      <c r="AE17" s="14" t="str">
        <f t="shared" si="8"/>
        <v/>
      </c>
    </row>
    <row r="18" spans="1:31" ht="21" customHeight="1">
      <c r="A18" s="80">
        <v>13</v>
      </c>
      <c r="B18" s="408" t="str">
        <f t="shared" si="9"/>
        <v/>
      </c>
      <c r="C18" s="409"/>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c r="A19" s="410" t="str">
        <f>IF(Roster!$J$24="Italiano","  Note",(IF(Roster!$J$24="Español","  Notas",(IF(Roster!$J$24="Deutsch","  Notizen","  Notes")))))</f>
        <v xml:space="preserve">  Notes</v>
      </c>
      <c r="B19" s="406"/>
      <c r="C19" s="411"/>
      <c r="D19" s="391"/>
      <c r="E19" s="392"/>
      <c r="F19" s="392"/>
      <c r="G19" s="392"/>
      <c r="H19" s="392"/>
      <c r="I19" s="392"/>
      <c r="J19" s="392"/>
      <c r="K19" s="392"/>
      <c r="L19" s="392"/>
      <c r="M19" s="392"/>
      <c r="N19" s="392"/>
      <c r="O19" s="392"/>
      <c r="P19" s="392"/>
      <c r="Q19" s="392"/>
      <c r="R19" s="392"/>
      <c r="S19" s="392"/>
      <c r="T19" s="392"/>
      <c r="U19" s="392"/>
      <c r="V19" s="392"/>
      <c r="W19" s="392"/>
      <c r="X19" s="393"/>
      <c r="Y19" s="89"/>
      <c r="Z19" s="14"/>
      <c r="AA19" s="69"/>
      <c r="AB19" s="69"/>
      <c r="AC19" s="69"/>
      <c r="AD19" s="14"/>
      <c r="AE19" s="14"/>
    </row>
    <row r="20" spans="1:31" ht="8.25" customHeight="1">
      <c r="A20" s="394"/>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6"/>
      <c r="Z20" s="14"/>
      <c r="AA20" s="14"/>
      <c r="AB20" s="14"/>
      <c r="AC20" s="14"/>
      <c r="AD20" s="14"/>
      <c r="AE20" s="14"/>
    </row>
    <row r="21" spans="1:31" ht="30" hidden="1" customHeight="1">
      <c r="A21" s="90"/>
      <c r="B21" s="419"/>
      <c r="C21" s="357"/>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419"/>
      <c r="C22" s="357"/>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419"/>
      <c r="C23" s="357"/>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419"/>
      <c r="C24" s="357"/>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419"/>
      <c r="C25" s="357"/>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419"/>
      <c r="C26" s="357"/>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419"/>
      <c r="C27" s="357"/>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419"/>
      <c r="C28" s="357"/>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419"/>
      <c r="C29" s="357"/>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419"/>
      <c r="C30" s="357"/>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419"/>
      <c r="C31" s="357"/>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419"/>
      <c r="C32" s="357"/>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419"/>
      <c r="C33" s="357"/>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419"/>
      <c r="C34" s="357"/>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419"/>
      <c r="C35" s="357"/>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419"/>
      <c r="C36" s="357"/>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419"/>
      <c r="C37" s="357"/>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419"/>
      <c r="C38" s="357"/>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419"/>
      <c r="C39" s="357"/>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419"/>
      <c r="C40" s="357"/>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419"/>
      <c r="C41" s="357"/>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419"/>
      <c r="C42" s="357"/>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419"/>
      <c r="C43" s="357"/>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419"/>
      <c r="C44" s="357"/>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419"/>
      <c r="C45" s="357"/>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419"/>
      <c r="C46" s="357"/>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419"/>
      <c r="C47" s="357"/>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419"/>
      <c r="C48" s="357"/>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419"/>
      <c r="C49" s="357"/>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419"/>
      <c r="C50" s="357"/>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419"/>
      <c r="C51" s="357"/>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419"/>
      <c r="C52" s="357"/>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419"/>
      <c r="C53" s="357"/>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419"/>
      <c r="C54" s="357"/>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419"/>
      <c r="C55" s="357"/>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419"/>
      <c r="C56" s="357"/>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419"/>
      <c r="C57" s="357"/>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419"/>
      <c r="C58" s="357"/>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419"/>
      <c r="C59" s="357"/>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419"/>
      <c r="C60" s="357"/>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419"/>
      <c r="C61" s="357"/>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419"/>
      <c r="C62" s="357"/>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419"/>
      <c r="C63" s="357"/>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419"/>
      <c r="C64" s="357"/>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419"/>
      <c r="C65" s="357"/>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419"/>
      <c r="C66" s="357"/>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419"/>
      <c r="C67" s="357"/>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419"/>
      <c r="C68" s="357"/>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419"/>
      <c r="C69" s="357"/>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419"/>
      <c r="C70" s="357"/>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419"/>
      <c r="C71" s="357"/>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419"/>
      <c r="C72" s="357"/>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419"/>
      <c r="C73" s="357"/>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419"/>
      <c r="C74" s="357"/>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419"/>
      <c r="C75" s="357"/>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419"/>
      <c r="C76" s="357"/>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419"/>
      <c r="C77" s="357"/>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419"/>
      <c r="C78" s="357"/>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419"/>
      <c r="C79" s="357"/>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419"/>
      <c r="C80" s="357"/>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419"/>
      <c r="C81" s="357"/>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419"/>
      <c r="C82" s="357"/>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419"/>
      <c r="C83" s="357"/>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419"/>
      <c r="C84" s="357"/>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419"/>
      <c r="C85" s="357"/>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419"/>
      <c r="C86" s="357"/>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419"/>
      <c r="C87" s="357"/>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419"/>
      <c r="C88" s="357"/>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419"/>
      <c r="C89" s="357"/>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419"/>
      <c r="C90" s="357"/>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419"/>
      <c r="C91" s="357"/>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419"/>
      <c r="C92" s="357"/>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419"/>
      <c r="C93" s="357"/>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419"/>
      <c r="C94" s="357"/>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419"/>
      <c r="C95" s="357"/>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419"/>
      <c r="C96" s="357"/>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419"/>
      <c r="C97" s="357"/>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419"/>
      <c r="C98" s="357"/>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419"/>
      <c r="C99" s="357"/>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419"/>
      <c r="C100" s="357"/>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419"/>
      <c r="C101" s="357"/>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419"/>
      <c r="C102" s="357"/>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419"/>
      <c r="C103" s="357"/>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419"/>
      <c r="C104" s="357"/>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419"/>
      <c r="C105" s="357"/>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419"/>
      <c r="C106" s="357"/>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419"/>
      <c r="C107" s="357"/>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419"/>
      <c r="C108" s="357"/>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419"/>
      <c r="C109" s="357"/>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419"/>
      <c r="C110" s="357"/>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419"/>
      <c r="C111" s="357"/>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419"/>
      <c r="C112" s="357"/>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419"/>
      <c r="C113" s="357"/>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419"/>
      <c r="C114" s="357"/>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419"/>
      <c r="C115" s="357"/>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419"/>
      <c r="C116" s="357"/>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419"/>
      <c r="C117" s="357"/>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419"/>
      <c r="C118" s="357"/>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419"/>
      <c r="C119" s="357"/>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419"/>
      <c r="C120" s="357"/>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419"/>
      <c r="C121" s="357"/>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419"/>
      <c r="C122" s="357"/>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419"/>
      <c r="C123" s="357"/>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419"/>
      <c r="C124" s="357"/>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419"/>
      <c r="C125" s="357"/>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419"/>
      <c r="C126" s="357"/>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419"/>
      <c r="C127" s="357"/>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419"/>
      <c r="C128" s="357"/>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419"/>
      <c r="C129" s="357"/>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419"/>
      <c r="C130" s="357"/>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419"/>
      <c r="C131" s="357"/>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419"/>
      <c r="C132" s="357"/>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419"/>
      <c r="C133" s="357"/>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419"/>
      <c r="C134" s="357"/>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419"/>
      <c r="C135" s="357"/>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419"/>
      <c r="C136" s="357"/>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419"/>
      <c r="C137" s="357"/>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419"/>
      <c r="C138" s="357"/>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419"/>
      <c r="C139" s="357"/>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419"/>
      <c r="C140" s="357"/>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419"/>
      <c r="C141" s="357"/>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419"/>
      <c r="C142" s="357"/>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419"/>
      <c r="C143" s="357"/>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419"/>
      <c r="C144" s="357"/>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419"/>
      <c r="C145" s="357"/>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419"/>
      <c r="C146" s="357"/>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419"/>
      <c r="C147" s="357"/>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419"/>
      <c r="C148" s="357"/>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419"/>
      <c r="C149" s="357"/>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419"/>
      <c r="C150" s="357"/>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419"/>
      <c r="C151" s="357"/>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419"/>
      <c r="C152" s="357"/>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419"/>
      <c r="C153" s="357"/>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419"/>
      <c r="C154" s="357"/>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419"/>
      <c r="C155" s="357"/>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419"/>
      <c r="C156" s="357"/>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419"/>
      <c r="C157" s="357"/>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419"/>
      <c r="C158" s="357"/>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419"/>
      <c r="C159" s="357"/>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419"/>
      <c r="C160" s="357"/>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419"/>
      <c r="C161" s="357"/>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419"/>
      <c r="C162" s="357"/>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419"/>
      <c r="C163" s="357"/>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419"/>
      <c r="C164" s="357"/>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419"/>
      <c r="C165" s="357"/>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419"/>
      <c r="C166" s="357"/>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419"/>
      <c r="C167" s="357"/>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419"/>
      <c r="C168" s="357"/>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419"/>
      <c r="C169" s="357"/>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419"/>
      <c r="C170" s="357"/>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419"/>
      <c r="C171" s="357"/>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419"/>
      <c r="C172" s="357"/>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419"/>
      <c r="C173" s="357"/>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419"/>
      <c r="C174" s="357"/>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419"/>
      <c r="C175" s="357"/>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419"/>
      <c r="C176" s="357"/>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419"/>
      <c r="C177" s="357"/>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419"/>
      <c r="C178" s="357"/>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419"/>
      <c r="C179" s="357"/>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419"/>
      <c r="C180" s="357"/>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419"/>
      <c r="C181" s="357"/>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419"/>
      <c r="C182" s="357"/>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419"/>
      <c r="C183" s="357"/>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419"/>
      <c r="C184" s="357"/>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419"/>
      <c r="C185" s="357"/>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419"/>
      <c r="C186" s="357"/>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419"/>
      <c r="C187" s="357"/>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419"/>
      <c r="C188" s="357"/>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419"/>
      <c r="C189" s="357"/>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419"/>
      <c r="C190" s="357"/>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419"/>
      <c r="C191" s="357"/>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419"/>
      <c r="C192" s="357"/>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419"/>
      <c r="C193" s="357"/>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419"/>
      <c r="C194" s="357"/>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419"/>
      <c r="C195" s="357"/>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419"/>
      <c r="C196" s="357"/>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419"/>
      <c r="C197" s="357"/>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419"/>
      <c r="C198" s="357"/>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419"/>
      <c r="C199" s="357"/>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419"/>
      <c r="C200" s="357"/>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419"/>
      <c r="C201" s="357"/>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419"/>
      <c r="C202" s="357"/>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419"/>
      <c r="C203" s="357"/>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419"/>
      <c r="C204" s="357"/>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419"/>
      <c r="C205" s="357"/>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419"/>
      <c r="C206" s="357"/>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419"/>
      <c r="C207" s="357"/>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419"/>
      <c r="C208" s="357"/>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419"/>
      <c r="C209" s="357"/>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419"/>
      <c r="C210" s="357"/>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c r="A1" s="420" t="str">
        <f>IF(Roster!$J$24="Italiano","MERCENARIO 1",(IF(Roster!$J$24="Español","MERCENARIO 1",(IF(Roster!$J$24="Français","MERCENAIRE 1","MERCENARY 1")))))</f>
        <v>MERCENARY 1</v>
      </c>
      <c r="B1" s="420"/>
      <c r="C1" s="420"/>
      <c r="D1" s="420"/>
      <c r="E1" s="420"/>
      <c r="F1" s="420"/>
      <c r="G1" s="420"/>
      <c r="H1" s="420"/>
      <c r="I1" s="420"/>
      <c r="J1" s="420"/>
      <c r="K1" s="420"/>
      <c r="L1" s="420"/>
      <c r="M1" s="420"/>
      <c r="N1" s="420"/>
      <c r="O1" s="420"/>
      <c r="P1" s="420"/>
      <c r="Q1" s="420"/>
      <c r="R1" s="420"/>
      <c r="S1" s="420"/>
      <c r="T1" s="435"/>
    </row>
    <row r="2" spans="1:57" s="219" customFormat="1" ht="22.5" customHeight="1">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21" t="str">
        <f>IF(Roster!$J$24="Italiano","ABILITÀ",(IF(Roster!$J$24="Español","HABILIDADES",(IF(Roster!$J$24="Deutsch","FERTIGKEITEN",(IF(Roster!$J$24="Français","COMPÉTENCES","SKILLS")))))))</f>
        <v>SKILLS</v>
      </c>
      <c r="I2" s="422"/>
      <c r="J2" s="422"/>
      <c r="K2" s="422"/>
      <c r="L2" s="422"/>
      <c r="M2" s="422"/>
      <c r="N2" s="422"/>
      <c r="O2" s="422"/>
      <c r="P2" s="422"/>
      <c r="Q2" s="422"/>
      <c r="R2" s="423"/>
      <c r="S2" s="218" t="str">
        <f>IF(Roster!$J$24="Italiano","COSTO",(IF(Roster!$J$24="Español","PRECIO",(IF(Roster!$J$24="Deutsch","WERT",(IF(Roster!$J$24="Français","VALEUR","COST")))))))</f>
        <v>COST</v>
      </c>
      <c r="T2" s="435"/>
      <c r="V2" s="220" t="s">
        <v>255</v>
      </c>
      <c r="W2" s="221" t="s">
        <v>202</v>
      </c>
      <c r="X2" s="222"/>
      <c r="Y2" s="220" t="s">
        <v>1259</v>
      </c>
      <c r="Z2" s="223"/>
      <c r="AA2" s="223"/>
      <c r="AB2" s="221"/>
      <c r="AC2" s="222"/>
      <c r="AD2" s="222"/>
      <c r="AE2" s="222"/>
      <c r="AF2" s="220" t="s">
        <v>1260</v>
      </c>
      <c r="AG2" s="223"/>
      <c r="AH2" s="223"/>
      <c r="AI2" s="221"/>
      <c r="AK2" s="436" t="s">
        <v>1261</v>
      </c>
      <c r="AL2" s="437"/>
      <c r="AM2" s="437"/>
      <c r="AN2" s="437"/>
      <c r="AO2" s="438"/>
      <c r="AP2" s="436" t="s">
        <v>1262</v>
      </c>
      <c r="AQ2" s="437"/>
      <c r="AR2" s="437"/>
      <c r="AS2" s="437"/>
      <c r="AT2" s="438"/>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24" t="str">
        <f>Y3&amp;(IF(Z3&lt;&gt;"",", ",""))&amp;Z3&amp;(IF(AA3&lt;&gt;"",", ",""))&amp;AA3&amp;(IF(AB3&lt;&gt;"",", ",""))&amp;AB3&amp;(IF(AF3&lt;&gt;"",", ",""))&amp;AF3&amp;(IF(AG3&lt;&gt;"",", ",""))&amp;AG3&amp;(IF(AH3&lt;&gt;"",", ",""))&amp;AH3&amp;(IF(AI3&lt;&gt;"",", ",""))&amp;AI3&amp;AK8</f>
        <v/>
      </c>
      <c r="I3" s="425"/>
      <c r="J3" s="425"/>
      <c r="K3" s="425"/>
      <c r="L3" s="425"/>
      <c r="M3" s="425"/>
      <c r="N3" s="425"/>
      <c r="O3" s="425"/>
      <c r="P3" s="425"/>
      <c r="Q3" s="425"/>
      <c r="R3" s="426"/>
      <c r="S3" s="226">
        <f>(VLOOKUP(B3,Y5:AI10,11,FALSE))+W12</f>
        <v>0</v>
      </c>
      <c r="T3" s="435"/>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c r="A4" s="430" t="str">
        <f>IF(J40="Italiano","AVANZAMIENTO GIOCATORI",(IF(J40="Español","MEJORAS DEL JUGADORE",(IF(J40="Deutsch","SPIELERVERBESSERUNGEN",(IF(J40="Français","AMÉLIORATIONS DE JOUEUR","PLAYER UPGRADES")))))))</f>
        <v>PLAYER UPGRADES</v>
      </c>
      <c r="B4" s="430"/>
      <c r="C4" s="430"/>
      <c r="D4" s="430"/>
      <c r="E4" s="430"/>
      <c r="F4" s="430"/>
      <c r="G4" s="430"/>
      <c r="H4" s="430"/>
      <c r="I4" s="430"/>
      <c r="J4" s="430"/>
      <c r="K4" s="430"/>
      <c r="L4" s="430"/>
      <c r="M4" s="430"/>
      <c r="N4" s="430"/>
      <c r="O4" s="430"/>
      <c r="P4" s="430"/>
      <c r="Q4" s="430"/>
      <c r="R4" s="430"/>
      <c r="S4" s="430"/>
      <c r="T4" s="435"/>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c r="A5" s="421" t="s">
        <v>1264</v>
      </c>
      <c r="B5" s="422"/>
      <c r="C5" s="422"/>
      <c r="D5" s="422"/>
      <c r="E5" s="422"/>
      <c r="F5" s="422"/>
      <c r="G5" s="422"/>
      <c r="H5" s="423"/>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35"/>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c r="A6" s="427"/>
      <c r="B6" s="428"/>
      <c r="C6" s="428"/>
      <c r="D6" s="428"/>
      <c r="E6" s="428"/>
      <c r="F6" s="428"/>
      <c r="G6" s="428"/>
      <c r="H6" s="429"/>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35"/>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31" t="str">
        <f>IF($J$40="Italiano","AVANZAMENTO 2",(IF($J$40="Español","MEJORA 2",(IF($J$40="Deutsch","VERBES-SERUNG 2",(IF($J$40="Français","AMÉLIORATION 2","UPGRADE 2")))))))</f>
        <v>UPGRADE 2</v>
      </c>
      <c r="E7" s="432"/>
      <c r="F7" s="241" t="str">
        <f>IF(Roster!$J$24="Italiano","COSTO",(IF(Roster!$J$24="Español","PRECIO",(IF(Roster!$J$24="Deutsch","WERT",(IF(Roster!$J$24="Français","VALEUR","COST")))))))</f>
        <v>COST</v>
      </c>
      <c r="G7" s="431" t="str">
        <f>IF($J$40="Italiano","AVANZAMENTO 3",(IF($J$40="Español","MEJORA 3",(IF($J$40="Deutsch","VERBES-SERUNG 3",(IF($J$40="Français","AMÉLIORATION 3","UPGRADE 3")))))))</f>
        <v>UPGRADE 3</v>
      </c>
      <c r="H7" s="432"/>
      <c r="I7" s="218" t="str">
        <f>IF(Roster!$J$24="Italiano","COSTO",(IF(Roster!$J$24="Español","PRECIO",(IF(Roster!$J$24="Deutsch","WERT",(IF(Roster!$J$24="Français","VALEUR","COST")))))))</f>
        <v>COST</v>
      </c>
      <c r="J7" s="431" t="str">
        <f>IF($J$40="Italiano","AVANZAMENTO 4",(IF($J$40="Español","MEJORA 4",(IF($J$40="Deutsch","VERBES-SERUNG 4",(IF($J$40="Français","AMÉLIORATION 4","UPGRADE 4")))))))</f>
        <v>UPGRADE 4</v>
      </c>
      <c r="K7" s="432"/>
      <c r="L7" s="218" t="str">
        <f>IF(Roster!$J$24="Italiano","COSTO",(IF(Roster!$J$24="Español","PRECIO",(IF(Roster!$J$24="Deutsch","WERT",(IF(Roster!$J$24="Français","VALEUR","COST")))))))</f>
        <v>COST</v>
      </c>
      <c r="M7" s="431" t="str">
        <f>IF($J$40="Italiano","AVANZAMENTO 5",(IF($J$40="Español","MEJORA 5",(IF($J$40="Deutsch","VERBES-SERUNG 5",(IF($J$40="Français","AMÉLIORATION 5","UPGRADE 5")))))))</f>
        <v>UPGRADE 5</v>
      </c>
      <c r="N7" s="432"/>
      <c r="O7" s="218" t="str">
        <f>IF(Roster!$J$24="Italiano","COSTO",(IF(Roster!$J$24="Español","PRECIO",(IF(Roster!$J$24="Deutsch","WERT",(IF(Roster!$J$24="Français","VALEUR","COST")))))))</f>
        <v>COST</v>
      </c>
      <c r="P7" s="431" t="str">
        <f>IF($J$40="Italiano","AVANZAMENTO 6",(IF($J$40="Español","MEJORA 6",(IF($J$40="Deutsch","VERBES-SERUNG 6",(IF($J$40="Français","AMÉLIORATION 6","UPGRADE 6")))))))</f>
        <v>UPGRADE 6</v>
      </c>
      <c r="Q7" s="432"/>
      <c r="R7" s="218" t="str">
        <f>IF(Roster!$J$24="Italiano","COSTO",(IF(Roster!$J$24="Español","PRECIO",(IF(Roster!$J$24="Deutsch","WERT",(IF(Roster!$J$24="Français","VALEUR","COST")))))))</f>
        <v>COST</v>
      </c>
      <c r="S7" s="218" t="s">
        <v>1268</v>
      </c>
      <c r="T7" s="435"/>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c r="A8" s="245" t="str">
        <f>IF($J$40="Italiano","GENERALE:",(IF($J$40="Français","GÉNÉRALE:","GENERAL:")))</f>
        <v>GENERAL:</v>
      </c>
      <c r="B8" s="258"/>
      <c r="C8" s="237">
        <f>IF(B8&lt;&gt;"",(IF(B3="Legendary Linemen",20000,(IF(B3="Reliable Ringers",30000,(IF(B3="Mercenaries",0,40000)))))),0)</f>
        <v>0</v>
      </c>
      <c r="D8" s="433"/>
      <c r="E8" s="434"/>
      <c r="F8" s="237" t="str">
        <f>IF(B3&lt;&gt;"Legendary Linemen","ILEGAL",(IF(D8&lt;&gt;"",50000,0)))</f>
        <v>ILEGAL</v>
      </c>
      <c r="G8" s="433"/>
      <c r="H8" s="434"/>
      <c r="I8" s="237" t="str">
        <f>IF(B3&lt;&gt;"Legendary Linemen","ILEGAL",(IF(G8&lt;&gt;"",80000,0)))</f>
        <v>ILEGAL</v>
      </c>
      <c r="J8" s="433"/>
      <c r="K8" s="434"/>
      <c r="L8" s="237" t="str">
        <f>IF(B3&lt;&gt;"Legendary Linemen","ILEGAL",(IF(J8&lt;&gt;"",110000,0)))</f>
        <v>ILEGAL</v>
      </c>
      <c r="M8" s="433"/>
      <c r="N8" s="434"/>
      <c r="O8" s="237" t="str">
        <f>IF(B3&lt;&gt;"Legendary Linemen","ILEGAL",(IF(M8&lt;&gt;"",140000,0)))</f>
        <v>ILEGAL</v>
      </c>
      <c r="P8" s="433"/>
      <c r="Q8" s="434"/>
      <c r="R8" s="237" t="str">
        <f>IF(B3&lt;&gt;"Legendary Linemen","ILEGAL",(IF(P8&lt;&gt;"",170000,0)))</f>
        <v>ILEGAL</v>
      </c>
      <c r="S8" s="237">
        <f>SUM(C8,F8,I8,L8,O8,R8)</f>
        <v>0</v>
      </c>
      <c r="T8" s="435"/>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c r="A9" s="245" t="str">
        <f>IF($J$40="Italiano","FORZA:",(IF($J$40="Español","FUERZA:",(IF($J$40="Français","FORCE:","STRENGTH:")))))</f>
        <v>STRENGTH:</v>
      </c>
      <c r="B9" s="258"/>
      <c r="C9" s="237">
        <f>IF(B9&lt;&gt;"",(IF(B3="Stunty Superstar",0,(IF(B3="Reliable Ringers",50000,(IF(B3="Mercenaries",0,30000)))))),0)</f>
        <v>0</v>
      </c>
      <c r="D9" s="433"/>
      <c r="E9" s="434"/>
      <c r="F9" s="237" t="str">
        <f>IF($B$3&lt;&gt;"Brutal Blockers",(IF($B$3&lt;&gt;"Bona Fide Big Guy","ILEGAL",(IF(D9&lt;&gt;"",70000,0)))),(IF(D9&lt;&gt;"",70000,0)))</f>
        <v>ILEGAL</v>
      </c>
      <c r="G9" s="433"/>
      <c r="H9" s="434"/>
      <c r="I9" s="237" t="str">
        <f>IF($B$3&lt;&gt;"Brutal Blockers",(IF($B$3&lt;&gt;"Bona Fide Big Guy","ILEGAL",(IF(G9&lt;&gt;"",110000,0)))),(IF(G9&lt;&gt;"",110000,0)))</f>
        <v>ILEGAL</v>
      </c>
      <c r="J9" s="433"/>
      <c r="K9" s="434"/>
      <c r="L9" s="237" t="str">
        <f>IF($B$3&lt;&gt;"Brutal Blockers",(IF($B$3&lt;&gt;"Bona Fide Big Guy","ILEGAL",(IF(J9&lt;&gt;"",150000,0)))),(IF(J9&lt;&gt;"",150000,0)))</f>
        <v>ILEGAL</v>
      </c>
      <c r="M9" s="433"/>
      <c r="N9" s="434"/>
      <c r="O9" s="237" t="str">
        <f>IF($B$3&lt;&gt;"Brutal Blockers",(IF($B$3&lt;&gt;"Bona Fide Big Guy","ILEGAL",(IF(M9&lt;&gt;"",190000,0)))),(IF(M9&lt;&gt;"",190000,0)))</f>
        <v>ILEGAL</v>
      </c>
      <c r="P9" s="433"/>
      <c r="Q9" s="434"/>
      <c r="R9" s="237" t="str">
        <f>IF($B$3&lt;&gt;"Brutal Blockers",(IF($B$3&lt;&gt;"Bona Fide Big Guy","ILEGAL",(IF(P9&lt;&gt;"",230000,0)))),(IF(P9&lt;&gt;"",230000,0)))</f>
        <v>ILEGAL</v>
      </c>
      <c r="S9" s="237">
        <f t="shared" ref="S9:S12" si="1">SUM(C9,F9,I9,L9,O9,R9)</f>
        <v>0</v>
      </c>
      <c r="T9" s="435"/>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c r="A10" s="245" t="str">
        <f>IF($J$40="Italiano","AGILITÀ:",(IF($J$40="Español","AGILIDAD:",(IF($J$40="Deutsch","AGILITÄT:",(IF($J$40="Français","AGILITÉ:","AGILITY:")))))))</f>
        <v>AGILITY:</v>
      </c>
      <c r="B10" s="258"/>
      <c r="C10" s="237">
        <f>IF(B10&lt;&gt;"",(IF(B3="Stunty Superstar",10000,(IF(B3="Brutal Blockers",40000,(IF(OR(B3="Mercenaries",B3="Bona Fide Big Guy"),0,30000)))))),0)</f>
        <v>0</v>
      </c>
      <c r="D10" s="433"/>
      <c r="E10" s="434"/>
      <c r="F10" s="237" t="str">
        <f>IF($B$3&lt;&gt;"Stunty Superstar",(IF($B$3&lt;&gt;"Reliable Ringers","ILEGAL",(IF(D10&lt;&gt;"",70000,0)))),(IF(D10&lt;&gt;"",30000,0)))</f>
        <v>ILEGAL</v>
      </c>
      <c r="G10" s="433"/>
      <c r="H10" s="434"/>
      <c r="I10" s="237" t="str">
        <f>IF($B$3&lt;&gt;"Stunty Superstar",(IF($B$3&lt;&gt;"Reliable Ringers","ILEGAL",(IF(G10&lt;&gt;"",110000,0)))),(IF(G10&lt;&gt;"",50000,0)))</f>
        <v>ILEGAL</v>
      </c>
      <c r="J10" s="433"/>
      <c r="K10" s="434"/>
      <c r="L10" s="237" t="str">
        <f>IF($B$3&lt;&gt;"Stunty Superstar",(IF($B$3&lt;&gt;"Reliable Ringers","ILEGAL",(IF(J10&lt;&gt;"",150000,0)))),(IF(J10&lt;&gt;"",70000,0)))</f>
        <v>ILEGAL</v>
      </c>
      <c r="M10" s="433"/>
      <c r="N10" s="434"/>
      <c r="O10" s="237" t="str">
        <f>IF($B$3&lt;&gt;"Stunty Superstar",(IF($B$3&lt;&gt;"Reliable Ringers","ILEGAL",(IF(M10&lt;&gt;"",190000,0)))),(IF(M10&lt;&gt;"",90000,0)))</f>
        <v>ILEGAL</v>
      </c>
      <c r="P10" s="433"/>
      <c r="Q10" s="434"/>
      <c r="R10" s="237" t="str">
        <f>IF($B$3&lt;&gt;"Stunty Superstar",(IF($B$3&lt;&gt;"Reliable Ringers","ILEGAL",(IF(P10&lt;&gt;"",230000,0)))),(IF(P10&lt;&gt;"",110000,0)))</f>
        <v>ILEGAL</v>
      </c>
      <c r="S10" s="237">
        <f t="shared" si="1"/>
        <v>0</v>
      </c>
      <c r="T10" s="435"/>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c r="A11" s="245" t="str">
        <f>IF($J$40="Español","PASE:",(IF($J$40="Français","PASSER:","PASS:")))</f>
        <v>PASS:</v>
      </c>
      <c r="B11" s="258"/>
      <c r="C11" s="237">
        <f>IF(B11&lt;&gt;"",(IF(B3="Mercenaries",0,(IF(OR(B3="Reliable Ringers",B3="Bona Fide Big Guy"),30000,20000)))),0)</f>
        <v>0</v>
      </c>
      <c r="D11" s="433"/>
      <c r="E11" s="434"/>
      <c r="F11" s="237" t="s">
        <v>1273</v>
      </c>
      <c r="G11" s="433"/>
      <c r="H11" s="434"/>
      <c r="I11" s="237" t="s">
        <v>1273</v>
      </c>
      <c r="J11" s="433"/>
      <c r="K11" s="434"/>
      <c r="L11" s="237" t="s">
        <v>1273</v>
      </c>
      <c r="M11" s="433"/>
      <c r="N11" s="434"/>
      <c r="O11" s="237" t="s">
        <v>1273</v>
      </c>
      <c r="P11" s="433"/>
      <c r="Q11" s="434"/>
      <c r="R11" s="237" t="s">
        <v>1273</v>
      </c>
      <c r="S11" s="237">
        <f t="shared" si="1"/>
        <v>0</v>
      </c>
      <c r="T11" s="435"/>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33"/>
      <c r="E12" s="434"/>
      <c r="F12" s="237" t="str">
        <f>IF(OR($B$3="Stunty Superstar",$B$3="Brutal Blockers",$B$3="Bona Fide Big Guy",$B$3="Mercenaries"),"ILEGAL",(IF(D12&lt;&gt;"",(IF($B$3="Legendary Linemen",70000,(IF(D12="Big Hand",30000,(IF(D12="Extra Arms",20000,(IF(D12="Two Heads",30000,(IF(D12="Very Long Legs",30000,"ILEGAL")))))))))),0)))</f>
        <v>ILEGAL</v>
      </c>
      <c r="G12" s="433"/>
      <c r="H12" s="434"/>
      <c r="I12" s="237" t="str">
        <f>IF(OR($B$3="Stunty Superstar",$B$3="Brutal Blockers",$B$3="Bona Fide Big Guy",$B$3="Mercenaries"),"ILEGAL",(IF(G12&lt;&gt;"",(IF($B$3="Legendary Linemen",110000,(IF(G12="Big Hand",30000,(IF(G12="Extra Arms",20000,(IF(G12="Two Heads",30000,(IF(G12="Very Long Legs",30000,0)))))))))),0)))</f>
        <v>ILEGAL</v>
      </c>
      <c r="J12" s="433"/>
      <c r="K12" s="434"/>
      <c r="L12" s="237" t="str">
        <f>IF(OR($B$3="Stunty Superstar",$B$3="Brutal Blockers",$B$3="Bona Fide Big Guy",$B$3="Mercenaries"),"ILEGAL",(IF(J12&lt;&gt;"",(IF($B$3="Legendary Linemen",150000,(IF(J12="Big Hand",30000,(IF(J12="Extra Arms",20000,(IF(J12="Two Heads",30000,(IF(J12="Very Long Legs",30000,0)))))))))),0)))</f>
        <v>ILEGAL</v>
      </c>
      <c r="M12" s="433"/>
      <c r="N12" s="434"/>
      <c r="O12" s="237" t="str">
        <f>IF(B3&lt;&gt;"Legendary Linemen","ILEGAL",(IF(M12&lt;&gt;"",190000,0)))</f>
        <v>ILEGAL</v>
      </c>
      <c r="P12" s="433"/>
      <c r="Q12" s="434"/>
      <c r="R12" s="237" t="str">
        <f>IF(B3&lt;&gt;"Legendary Linemen","ILEGAL",(IF(P12&lt;&gt;"",230000,0)))</f>
        <v>ILEGAL</v>
      </c>
      <c r="S12" s="237">
        <f t="shared" si="1"/>
        <v>0</v>
      </c>
      <c r="T12" s="435"/>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c r="A13" s="249"/>
      <c r="B13" s="250"/>
      <c r="C13" s="250"/>
      <c r="D13" s="250"/>
      <c r="E13" s="250"/>
      <c r="F13" s="250"/>
      <c r="G13" s="250"/>
      <c r="H13" s="250"/>
      <c r="I13" s="250"/>
      <c r="J13" s="250"/>
      <c r="K13" s="250"/>
      <c r="L13" s="250"/>
      <c r="M13" s="250"/>
      <c r="N13" s="250"/>
      <c r="O13" s="250"/>
      <c r="P13" s="250"/>
      <c r="Q13" s="250"/>
      <c r="R13" s="250"/>
      <c r="S13" s="250"/>
      <c r="T13" s="435"/>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c r="A14" s="420" t="str">
        <f>IF(Roster!$J$24="Italiano","MERCENARIO 2",(IF(Roster!$J$24="Español","MERCENARIO 2",(IF(Roster!$J$24="Français","MERCENAIRE 2","MERCENARY 2")))))</f>
        <v>MERCENARY 2</v>
      </c>
      <c r="B14" s="420"/>
      <c r="C14" s="420"/>
      <c r="D14" s="420"/>
      <c r="E14" s="420"/>
      <c r="F14" s="420"/>
      <c r="G14" s="420"/>
      <c r="H14" s="420"/>
      <c r="I14" s="420"/>
      <c r="J14" s="420"/>
      <c r="K14" s="420"/>
      <c r="L14" s="420"/>
      <c r="M14" s="420"/>
      <c r="N14" s="420"/>
      <c r="O14" s="420"/>
      <c r="P14" s="420"/>
      <c r="Q14" s="420"/>
      <c r="R14" s="420"/>
      <c r="S14" s="420"/>
      <c r="T14" s="435"/>
    </row>
    <row r="15" spans="1:57" s="219" customFormat="1" ht="22.5" customHeight="1">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21" t="str">
        <f>IF(Roster!$J$24="Italiano","ABILITÀ",(IF(Roster!$J$24="Español","HABILIDADES",(IF(Roster!$J$24="Deutsch","FERTIGKEITEN",(IF(Roster!$J$24="Français","COMPÉTENCES","SKILLS")))))))</f>
        <v>SKILLS</v>
      </c>
      <c r="I15" s="422"/>
      <c r="J15" s="422"/>
      <c r="K15" s="422"/>
      <c r="L15" s="422"/>
      <c r="M15" s="422"/>
      <c r="N15" s="422"/>
      <c r="O15" s="422"/>
      <c r="P15" s="422"/>
      <c r="Q15" s="422"/>
      <c r="R15" s="423"/>
      <c r="S15" s="218" t="str">
        <f>IF(Roster!$J$24="Italiano","COSTO",(IF(Roster!$J$24="Español","PRECIO",(IF(Roster!$J$24="Deutsch","WERT",(IF(Roster!$J$24="Français","VALEUR","COST")))))))</f>
        <v>COST</v>
      </c>
      <c r="T15" s="435"/>
      <c r="V15" s="220" t="s">
        <v>255</v>
      </c>
      <c r="W15" s="221" t="s">
        <v>202</v>
      </c>
      <c r="X15" s="222"/>
      <c r="Y15" s="220" t="s">
        <v>1259</v>
      </c>
      <c r="Z15" s="223"/>
      <c r="AA15" s="223"/>
      <c r="AB15" s="221"/>
      <c r="AC15" s="222"/>
      <c r="AD15" s="222"/>
      <c r="AE15" s="222"/>
      <c r="AF15" s="220" t="s">
        <v>1260</v>
      </c>
      <c r="AG15" s="223"/>
      <c r="AH15" s="223"/>
      <c r="AI15" s="221"/>
      <c r="AK15" s="436" t="s">
        <v>1261</v>
      </c>
      <c r="AL15" s="437"/>
      <c r="AM15" s="437"/>
      <c r="AN15" s="437"/>
      <c r="AO15" s="438"/>
      <c r="AP15" s="436" t="s">
        <v>1262</v>
      </c>
      <c r="AQ15" s="437"/>
      <c r="AR15" s="437"/>
      <c r="AS15" s="437"/>
      <c r="AT15" s="438"/>
      <c r="AV15" s="224"/>
    </row>
    <row r="16" spans="1:57" s="219" customFormat="1" ht="30" customHeight="1">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24" t="str">
        <f>Y16&amp;(IF(Z16&lt;&gt;"",", ",""))&amp;Z16&amp;(IF(AA16&lt;&gt;"",", ",""))&amp;AA16&amp;(IF(AB16&lt;&gt;"",", ",""))&amp;AB16&amp;(IF(AF16&lt;&gt;"",", ",""))&amp;AF16&amp;(IF(AG16&lt;&gt;"",", ",""))&amp;AG16&amp;(IF(AH16&lt;&gt;"",", ",""))&amp;AH16&amp;(IF(AI16&lt;&gt;"",", ",""))&amp;AI16&amp;AK21</f>
        <v/>
      </c>
      <c r="I16" s="425"/>
      <c r="J16" s="425"/>
      <c r="K16" s="425"/>
      <c r="L16" s="425"/>
      <c r="M16" s="425"/>
      <c r="N16" s="425"/>
      <c r="O16" s="425"/>
      <c r="P16" s="425"/>
      <c r="Q16" s="425"/>
      <c r="R16" s="426"/>
      <c r="S16" s="226">
        <f>(VLOOKUP(B16,Y18:AI23,11,FALSE))+W25</f>
        <v>0</v>
      </c>
      <c r="T16" s="435"/>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c r="A17" s="430" t="str">
        <f>IF(AR3="Italiano","AVANZAMIENTO GIOCATORI",(IF(AR3="Español","MEJORAS DEL JUGADORE",(IF(AR3="Deutsch","SPIELERVERBESSERUNGEN",(IF(AR3="Français","AMÉLIORATIONS DE JOUEUR","PLAYER UPGRADES")))))))</f>
        <v>PLAYER UPGRADES</v>
      </c>
      <c r="B17" s="430"/>
      <c r="C17" s="430"/>
      <c r="D17" s="430"/>
      <c r="E17" s="430"/>
      <c r="F17" s="430"/>
      <c r="G17" s="430"/>
      <c r="H17" s="430"/>
      <c r="I17" s="430"/>
      <c r="J17" s="430"/>
      <c r="K17" s="430"/>
      <c r="L17" s="430"/>
      <c r="M17" s="430"/>
      <c r="N17" s="430"/>
      <c r="O17" s="430"/>
      <c r="P17" s="430"/>
      <c r="Q17" s="430"/>
      <c r="R17" s="430"/>
      <c r="S17" s="430"/>
      <c r="T17" s="435"/>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c r="A18" s="421" t="s">
        <v>1264</v>
      </c>
      <c r="B18" s="422"/>
      <c r="C18" s="422"/>
      <c r="D18" s="422"/>
      <c r="E18" s="422"/>
      <c r="F18" s="422"/>
      <c r="G18" s="422"/>
      <c r="H18" s="423"/>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35"/>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c r="A19" s="427"/>
      <c r="B19" s="428"/>
      <c r="C19" s="428"/>
      <c r="D19" s="428"/>
      <c r="E19" s="428"/>
      <c r="F19" s="428"/>
      <c r="G19" s="428"/>
      <c r="H19" s="429"/>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35"/>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31" t="str">
        <f>IF($J$40="Italiano","AVANZAMENTO 2",(IF($J$40="Español","MEJORA 2",(IF($J$40="Deutsch","VERBES-SERUNG 2",(IF($J$40="Français","AMÉLIORATION 2","UPGRADE 2")))))))</f>
        <v>UPGRADE 2</v>
      </c>
      <c r="E20" s="432"/>
      <c r="F20" s="241" t="str">
        <f>IF(Roster!$J$24="Italiano","COSTO",(IF(Roster!$J$24="Español","PRECIO",(IF(Roster!$J$24="Deutsch","WERT",(IF(Roster!$J$24="Français","VALEUR","COST")))))))</f>
        <v>COST</v>
      </c>
      <c r="G20" s="431" t="str">
        <f>IF($J$40="Italiano","AVANZAMENTO 3",(IF($J$40="Español","MEJORA 3",(IF($J$40="Deutsch","VERBES-SERUNG 3",(IF($J$40="Français","AMÉLIORATION 3","UPGRADE 3")))))))</f>
        <v>UPGRADE 3</v>
      </c>
      <c r="H20" s="432"/>
      <c r="I20" s="218" t="str">
        <f>IF(Roster!$J$24="Italiano","COSTO",(IF(Roster!$J$24="Español","PRECIO",(IF(Roster!$J$24="Deutsch","WERT",(IF(Roster!$J$24="Français","VALEUR","COST")))))))</f>
        <v>COST</v>
      </c>
      <c r="J20" s="431" t="str">
        <f>IF($J$40="Italiano","AVANZAMENTO 4",(IF($J$40="Español","MEJORA 4",(IF($J$40="Deutsch","VERBES-SERUNG 4",(IF($J$40="Français","AMÉLIORATION 4","UPGRADE 4")))))))</f>
        <v>UPGRADE 4</v>
      </c>
      <c r="K20" s="432"/>
      <c r="L20" s="218" t="str">
        <f>IF(Roster!$J$24="Italiano","COSTO",(IF(Roster!$J$24="Español","PRECIO",(IF(Roster!$J$24="Deutsch","WERT",(IF(Roster!$J$24="Français","VALEUR","COST")))))))</f>
        <v>COST</v>
      </c>
      <c r="M20" s="431" t="str">
        <f>IF($J$40="Italiano","AVANZAMENTO 5",(IF($J$40="Español","MEJORA 5",(IF($J$40="Deutsch","VERBES-SERUNG 5",(IF($J$40="Français","AMÉLIORATION 5","UPGRADE 5")))))))</f>
        <v>UPGRADE 5</v>
      </c>
      <c r="N20" s="432"/>
      <c r="O20" s="218" t="str">
        <f>IF(Roster!$J$24="Italiano","COSTO",(IF(Roster!$J$24="Español","PRECIO",(IF(Roster!$J$24="Deutsch","WERT",(IF(Roster!$J$24="Français","VALEUR","COST")))))))</f>
        <v>COST</v>
      </c>
      <c r="P20" s="431" t="str">
        <f>IF($J$40="Italiano","AVANZAMENTO 6",(IF($J$40="Español","MEJORA 6",(IF($J$40="Deutsch","VERBES-SERUNG 6",(IF($J$40="Français","AMÉLIORATION 6","UPGRADE 6")))))))</f>
        <v>UPGRADE 6</v>
      </c>
      <c r="Q20" s="432"/>
      <c r="R20" s="218" t="str">
        <f>IF(Roster!$J$24="Italiano","COSTO",(IF(Roster!$J$24="Español","PRECIO",(IF(Roster!$J$24="Deutsch","WERT",(IF(Roster!$J$24="Français","VALEUR","COST")))))))</f>
        <v>COST</v>
      </c>
      <c r="S20" s="218" t="s">
        <v>1268</v>
      </c>
      <c r="T20" s="435"/>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c r="A21" s="245" t="str">
        <f>IF($J$40="Italiano","GENERALE:",(IF($J$40="Français","GÉNÉRALE:","GENERAL:")))</f>
        <v>GENERAL:</v>
      </c>
      <c r="B21" s="258"/>
      <c r="C21" s="237">
        <f>IF(B21&lt;&gt;"",(IF(B16="Legendary Linemen",20000,(IF(B16="Reliable Ringers",30000,(IF(B16="Mercenaries",0,40000)))))),0)</f>
        <v>0</v>
      </c>
      <c r="D21" s="433"/>
      <c r="E21" s="434"/>
      <c r="F21" s="237" t="str">
        <f>IF(B16&lt;&gt;"Legendary Linemen","ILEGAL",(IF(D21&lt;&gt;"",50000,0)))</f>
        <v>ILEGAL</v>
      </c>
      <c r="G21" s="433"/>
      <c r="H21" s="434"/>
      <c r="I21" s="237" t="str">
        <f>IF(B16&lt;&gt;"Legendary Linemen","ILEGAL",(IF(G21&lt;&gt;"",80000,0)))</f>
        <v>ILEGAL</v>
      </c>
      <c r="J21" s="433"/>
      <c r="K21" s="434"/>
      <c r="L21" s="237" t="str">
        <f>IF(B16&lt;&gt;"Legendary Linemen","ILEGAL",(IF(J21&lt;&gt;"",110000,0)))</f>
        <v>ILEGAL</v>
      </c>
      <c r="M21" s="433"/>
      <c r="N21" s="434"/>
      <c r="O21" s="237" t="str">
        <f>IF(B16&lt;&gt;"Legendary Linemen","ILEGAL",(IF(M21&lt;&gt;"",140000,0)))</f>
        <v>ILEGAL</v>
      </c>
      <c r="P21" s="433"/>
      <c r="Q21" s="434"/>
      <c r="R21" s="237" t="str">
        <f>IF(B16&lt;&gt;"Legendary Linemen","ILEGAL",(IF(P21&lt;&gt;"",170000,0)))</f>
        <v>ILEGAL</v>
      </c>
      <c r="S21" s="237">
        <f>SUM(C21,F21,I21,L21,O21,R21)</f>
        <v>0</v>
      </c>
      <c r="T21" s="435"/>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c r="A22" s="245" t="str">
        <f>IF($J$40="Italiano","FORZA:",(IF($J$40="Español","FUERZA:",(IF($J$40="Français","FORCE:","STRENGTH:")))))</f>
        <v>STRENGTH:</v>
      </c>
      <c r="B22" s="258"/>
      <c r="C22" s="237">
        <f>IF(B22&lt;&gt;"",(IF(B16="Stunty Superstar",0,(IF(B16="Reliable Ringers",50000,(IF(B16="Mercenaries",0,30000)))))),0)</f>
        <v>0</v>
      </c>
      <c r="D22" s="433"/>
      <c r="E22" s="434"/>
      <c r="F22" s="237" t="str">
        <f>IF($B$3&lt;&gt;"Brutal Blockers",(IF($B$3&lt;&gt;"Bona Fide Big Guy","ILEGAL",(IF(D22&lt;&gt;"",70000,0)))),(IF(D22&lt;&gt;"",70000,0)))</f>
        <v>ILEGAL</v>
      </c>
      <c r="G22" s="433"/>
      <c r="H22" s="434"/>
      <c r="I22" s="237" t="str">
        <f>IF($B$3&lt;&gt;"Brutal Blockers",(IF($B$3&lt;&gt;"Bona Fide Big Guy","ILEGAL",(IF(G22&lt;&gt;"",110000,0)))),(IF(G22&lt;&gt;"",110000,0)))</f>
        <v>ILEGAL</v>
      </c>
      <c r="J22" s="433"/>
      <c r="K22" s="434"/>
      <c r="L22" s="237" t="str">
        <f>IF($B$3&lt;&gt;"Brutal Blockers",(IF($B$3&lt;&gt;"Bona Fide Big Guy","ILEGAL",(IF(J22&lt;&gt;"",150000,0)))),(IF(J22&lt;&gt;"",150000,0)))</f>
        <v>ILEGAL</v>
      </c>
      <c r="M22" s="433"/>
      <c r="N22" s="434"/>
      <c r="O22" s="237" t="str">
        <f>IF($B$3&lt;&gt;"Brutal Blockers",(IF($B$3&lt;&gt;"Bona Fide Big Guy","ILEGAL",(IF(M22&lt;&gt;"",190000,0)))),(IF(M22&lt;&gt;"",190000,0)))</f>
        <v>ILEGAL</v>
      </c>
      <c r="P22" s="433"/>
      <c r="Q22" s="434"/>
      <c r="R22" s="237" t="str">
        <f>IF($B$3&lt;&gt;"Brutal Blockers",(IF($B$3&lt;&gt;"Bona Fide Big Guy","ILEGAL",(IF(P22&lt;&gt;"",230000,0)))),(IF(P22&lt;&gt;"",230000,0)))</f>
        <v>ILEGAL</v>
      </c>
      <c r="S22" s="237">
        <f t="shared" ref="S22:S25" si="3">SUM(C22,F22,I22,L22,O22,R22)</f>
        <v>0</v>
      </c>
      <c r="T22" s="435"/>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c r="A23" s="245" t="str">
        <f>IF($J$40="Italiano","AGILITÀ:",(IF($J$40="Español","AGILIDAD:",(IF($J$40="Deutsch","AGILITÄT:",(IF($J$40="Français","AGILITÉ:","AGILITY:")))))))</f>
        <v>AGILITY:</v>
      </c>
      <c r="B23" s="258"/>
      <c r="C23" s="237">
        <f>IF(B23&lt;&gt;"",(IF(B16="Stunty Superstar",10000,(IF(B16="Brutal Blockers",40000,(IF(OR(B16="Mercenaries",B16="Bona Fide Big Guy"),0,30000)))))),0)</f>
        <v>0</v>
      </c>
      <c r="D23" s="433"/>
      <c r="E23" s="434"/>
      <c r="F23" s="237" t="str">
        <f>IF($B$3&lt;&gt;"Stunty Superstar",(IF($B$3&lt;&gt;"Reliable Ringers","ILEGAL",(IF(D23&lt;&gt;"",70000,0)))),(IF(D23&lt;&gt;"",30000,0)))</f>
        <v>ILEGAL</v>
      </c>
      <c r="G23" s="433"/>
      <c r="H23" s="434"/>
      <c r="I23" s="237" t="str">
        <f>IF($B$3&lt;&gt;"Stunty Superstar",(IF($B$3&lt;&gt;"Reliable Ringers","ILEGAL",(IF(G23&lt;&gt;"",110000,0)))),(IF(G23&lt;&gt;"",50000,0)))</f>
        <v>ILEGAL</v>
      </c>
      <c r="J23" s="433"/>
      <c r="K23" s="434"/>
      <c r="L23" s="237" t="str">
        <f>IF($B$3&lt;&gt;"Stunty Superstar",(IF($B$3&lt;&gt;"Reliable Ringers","ILEGAL",(IF(J23&lt;&gt;"",150000,0)))),(IF(J23&lt;&gt;"",70000,0)))</f>
        <v>ILEGAL</v>
      </c>
      <c r="M23" s="433"/>
      <c r="N23" s="434"/>
      <c r="O23" s="237" t="str">
        <f>IF($B$3&lt;&gt;"Stunty Superstar",(IF($B$3&lt;&gt;"Reliable Ringers","ILEGAL",(IF(M23&lt;&gt;"",190000,0)))),(IF(M23&lt;&gt;"",90000,0)))</f>
        <v>ILEGAL</v>
      </c>
      <c r="P23" s="433"/>
      <c r="Q23" s="434"/>
      <c r="R23" s="237" t="str">
        <f>IF($B$3&lt;&gt;"Stunty Superstar",(IF($B$3&lt;&gt;"Reliable Ringers","ILEGAL",(IF(P23&lt;&gt;"",230000,0)))),(IF(P23&lt;&gt;"",110000,0)))</f>
        <v>ILEGAL</v>
      </c>
      <c r="S23" s="237">
        <f t="shared" si="3"/>
        <v>0</v>
      </c>
      <c r="T23" s="435"/>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c r="A24" s="245" t="str">
        <f>IF($J$40="Español","PASE:",(IF($J$40="Français","PASSER:","PASS:")))</f>
        <v>PASS:</v>
      </c>
      <c r="B24" s="258"/>
      <c r="C24" s="237">
        <f>IF(B24&lt;&gt;"",(IF(B16="Mercenaries",0,(IF(OR(B16="Reliable Ringers",B16="Bona Fide Big Guy"),30000,20000)))),0)</f>
        <v>0</v>
      </c>
      <c r="D24" s="433"/>
      <c r="E24" s="434"/>
      <c r="F24" s="237" t="s">
        <v>1273</v>
      </c>
      <c r="G24" s="433"/>
      <c r="H24" s="434"/>
      <c r="I24" s="237" t="s">
        <v>1273</v>
      </c>
      <c r="J24" s="433"/>
      <c r="K24" s="434"/>
      <c r="L24" s="237" t="s">
        <v>1273</v>
      </c>
      <c r="M24" s="433"/>
      <c r="N24" s="434"/>
      <c r="O24" s="237" t="s">
        <v>1273</v>
      </c>
      <c r="P24" s="433"/>
      <c r="Q24" s="434"/>
      <c r="R24" s="237" t="s">
        <v>1273</v>
      </c>
      <c r="S24" s="237">
        <f t="shared" si="3"/>
        <v>0</v>
      </c>
      <c r="T24" s="435"/>
      <c r="V24" s="222"/>
      <c r="W24" s="222"/>
      <c r="X24" s="222"/>
      <c r="Y24" s="222"/>
      <c r="Z24" s="222"/>
      <c r="AA24" s="222"/>
      <c r="AB24" s="222"/>
      <c r="AC24" s="222"/>
      <c r="AD24" s="222"/>
      <c r="AE24" s="222"/>
      <c r="AF24" s="222"/>
      <c r="AG24" s="222"/>
      <c r="AH24" s="222"/>
      <c r="AI24" s="222"/>
      <c r="AV24" s="251"/>
    </row>
    <row r="25" spans="1:48" s="219" customFormat="1" ht="22.5" customHeight="1">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33"/>
      <c r="E25" s="434"/>
      <c r="F25" s="237" t="str">
        <f>IF(OR($B$3="Stunty Superstar",$B$3="Brutal Blockers",$B$3="Bona Fide Big Guy",$B$3="Mercenaries"),"ILEGAL",(IF(D25&lt;&gt;"",(IF($B$3="Legendary Linemen",70000,(IF(D25="Big Hand",30000,(IF(D25="Extra Arms",20000,(IF(D25="Two Heads",30000,(IF(D25="Very Long Legs",30000,"ILEGAL")))))))))),0)))</f>
        <v>ILEGAL</v>
      </c>
      <c r="G25" s="433"/>
      <c r="H25" s="434"/>
      <c r="I25" s="237" t="str">
        <f>IF(OR($B$3="Stunty Superstar",$B$3="Brutal Blockers",$B$3="Bona Fide Big Guy",$B$3="Mercenaries"),"ILEGAL",(IF(G25&lt;&gt;"",(IF($B$3="Legendary Linemen",110000,(IF(G25="Big Hand",30000,(IF(G25="Extra Arms",20000,(IF(G25="Two Heads",30000,(IF(G25="Very Long Legs",30000,0)))))))))),0)))</f>
        <v>ILEGAL</v>
      </c>
      <c r="J25" s="433"/>
      <c r="K25" s="434"/>
      <c r="L25" s="237" t="str">
        <f>IF(OR($B$3="Stunty Superstar",$B$3="Brutal Blockers",$B$3="Bona Fide Big Guy",$B$3="Mercenaries"),"ILEGAL",(IF(J25&lt;&gt;"",(IF($B$3="Legendary Linemen",150000,(IF(J25="Big Hand",30000,(IF(J25="Extra Arms",20000,(IF(J25="Two Heads",30000,(IF(J25="Very Long Legs",30000,0)))))))))),0)))</f>
        <v>ILEGAL</v>
      </c>
      <c r="M25" s="433"/>
      <c r="N25" s="434"/>
      <c r="O25" s="237" t="str">
        <f>IF(B16&lt;&gt;"Legendary Linemen","ILEGAL",(IF(M25&lt;&gt;"",190000,0)))</f>
        <v>ILEGAL</v>
      </c>
      <c r="P25" s="433"/>
      <c r="Q25" s="434"/>
      <c r="R25" s="237" t="str">
        <f>IF(B16&lt;&gt;"Legendary Linemen","ILEGAL",(IF(P25&lt;&gt;"",230000,0)))</f>
        <v>ILEGAL</v>
      </c>
      <c r="S25" s="237">
        <f t="shared" si="3"/>
        <v>0</v>
      </c>
      <c r="T25" s="435"/>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c r="A26" s="249"/>
      <c r="B26" s="250"/>
      <c r="C26" s="250"/>
      <c r="D26" s="250"/>
      <c r="E26" s="250"/>
      <c r="F26" s="250"/>
      <c r="G26" s="250"/>
      <c r="H26" s="250"/>
      <c r="I26" s="250"/>
      <c r="J26" s="250"/>
      <c r="K26" s="250"/>
      <c r="L26" s="250"/>
      <c r="M26" s="250"/>
      <c r="N26" s="250"/>
      <c r="O26" s="250"/>
      <c r="P26" s="250"/>
      <c r="Q26" s="250"/>
      <c r="R26" s="250"/>
      <c r="S26" s="250"/>
      <c r="T26" s="435"/>
      <c r="V26" s="234"/>
      <c r="W26" s="234"/>
      <c r="X26" s="234"/>
      <c r="Y26" s="234"/>
      <c r="Z26" s="234"/>
      <c r="AA26" s="234"/>
      <c r="AB26" s="234"/>
      <c r="AC26" s="234"/>
      <c r="AD26" s="234"/>
      <c r="AE26" s="234"/>
      <c r="AF26" s="234"/>
      <c r="AG26" s="234"/>
      <c r="AH26" s="234"/>
      <c r="AI26" s="234"/>
      <c r="AV26" s="251"/>
    </row>
    <row r="27" spans="1:48" ht="21.75" customHeight="1">
      <c r="A27" s="420" t="str">
        <f>IF(Roster!$J$24="Italiano","MERCENARIO 3",(IF(Roster!$J$24="Español","MERCENARIO 3",(IF(Roster!$J$24="Français","MERCENAIRE 3","MERCENARY 3")))))</f>
        <v>MERCENARY 3</v>
      </c>
      <c r="B27" s="420"/>
      <c r="C27" s="420"/>
      <c r="D27" s="420"/>
      <c r="E27" s="420"/>
      <c r="F27" s="420"/>
      <c r="G27" s="420"/>
      <c r="H27" s="420"/>
      <c r="I27" s="420"/>
      <c r="J27" s="420"/>
      <c r="K27" s="420"/>
      <c r="L27" s="420"/>
      <c r="M27" s="420"/>
      <c r="N27" s="420"/>
      <c r="O27" s="420"/>
      <c r="P27" s="420"/>
      <c r="Q27" s="420"/>
      <c r="R27" s="420"/>
      <c r="S27" s="420"/>
      <c r="T27" s="435"/>
    </row>
    <row r="28" spans="1:48" s="219" customFormat="1" ht="22.5" customHeight="1">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21" t="str">
        <f>IF(Roster!$J$24="Italiano","ABILITÀ",(IF(Roster!$J$24="Español","HABILIDADES",(IF(Roster!$J$24="Deutsch","FERTIGKEITEN",(IF(Roster!$J$24="Français","COMPÉTENCES","SKILLS")))))))</f>
        <v>SKILLS</v>
      </c>
      <c r="I28" s="422"/>
      <c r="J28" s="422"/>
      <c r="K28" s="422"/>
      <c r="L28" s="422"/>
      <c r="M28" s="422"/>
      <c r="N28" s="422"/>
      <c r="O28" s="422"/>
      <c r="P28" s="422"/>
      <c r="Q28" s="422"/>
      <c r="R28" s="423"/>
      <c r="S28" s="218" t="str">
        <f>IF(Roster!$J$24="Italiano","COSTO",(IF(Roster!$J$24="Español","PRECIO",(IF(Roster!$J$24="Deutsch","WERT",(IF(Roster!$J$24="Français","VALEUR","COST")))))))</f>
        <v>COST</v>
      </c>
      <c r="T28" s="435"/>
      <c r="V28" s="220" t="s">
        <v>255</v>
      </c>
      <c r="W28" s="221" t="s">
        <v>202</v>
      </c>
      <c r="X28" s="222"/>
      <c r="Y28" s="220" t="s">
        <v>1259</v>
      </c>
      <c r="Z28" s="223"/>
      <c r="AA28" s="223"/>
      <c r="AB28" s="221"/>
      <c r="AC28" s="222"/>
      <c r="AD28" s="222"/>
      <c r="AE28" s="222"/>
      <c r="AF28" s="220" t="s">
        <v>1260</v>
      </c>
      <c r="AG28" s="223"/>
      <c r="AH28" s="223"/>
      <c r="AI28" s="221"/>
      <c r="AK28" s="436" t="s">
        <v>1261</v>
      </c>
      <c r="AL28" s="437"/>
      <c r="AM28" s="437"/>
      <c r="AN28" s="437"/>
      <c r="AO28" s="438"/>
      <c r="AP28" s="436" t="s">
        <v>1262</v>
      </c>
      <c r="AQ28" s="437"/>
      <c r="AR28" s="437"/>
      <c r="AS28" s="437"/>
      <c r="AT28" s="438"/>
    </row>
    <row r="29" spans="1:48" s="219" customFormat="1" ht="30" customHeight="1">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24" t="str">
        <f>Y29&amp;(IF(Z29&lt;&gt;"",", ",""))&amp;Z29&amp;(IF(AA29&lt;&gt;"",", ",""))&amp;AA29&amp;(IF(AB29&lt;&gt;"",", ",""))&amp;AB29&amp;(IF(AF29&lt;&gt;"",", ",""))&amp;AF29&amp;(IF(AG29&lt;&gt;"",", ",""))&amp;AG29&amp;(IF(AH29&lt;&gt;"",", ",""))&amp;AH29&amp;(IF(AI29&lt;&gt;"",", ",""))&amp;AI29&amp;AK34</f>
        <v/>
      </c>
      <c r="I29" s="425"/>
      <c r="J29" s="425"/>
      <c r="K29" s="425"/>
      <c r="L29" s="425"/>
      <c r="M29" s="425"/>
      <c r="N29" s="425"/>
      <c r="O29" s="425"/>
      <c r="P29" s="425"/>
      <c r="Q29" s="425"/>
      <c r="R29" s="426"/>
      <c r="S29" s="226">
        <f>(VLOOKUP(B29,Y31:AI36,11,FALSE))+W38</f>
        <v>0</v>
      </c>
      <c r="T29" s="435"/>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c r="A30" s="430" t="str">
        <f>IF(BC8="Italiano","AVANZAMIENTO GIOCATORI",(IF(BC8="Español","MEJORAS DEL JUGADORE",(IF(BC8="Deutsch","SPIELERVERBESSERUNGEN",(IF(BC8="Français","AMÉLIORATIONS DE JOUEUR","PLAYER UPGRADES")))))))</f>
        <v>PLAYER UPGRADES</v>
      </c>
      <c r="B30" s="430"/>
      <c r="C30" s="430"/>
      <c r="D30" s="430"/>
      <c r="E30" s="430"/>
      <c r="F30" s="430"/>
      <c r="G30" s="430"/>
      <c r="H30" s="430"/>
      <c r="I30" s="430"/>
      <c r="J30" s="430"/>
      <c r="K30" s="430"/>
      <c r="L30" s="430"/>
      <c r="M30" s="430"/>
      <c r="N30" s="430"/>
      <c r="O30" s="430"/>
      <c r="P30" s="430"/>
      <c r="Q30" s="430"/>
      <c r="R30" s="430"/>
      <c r="S30" s="430"/>
      <c r="T30" s="435"/>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c r="A31" s="421" t="s">
        <v>1264</v>
      </c>
      <c r="B31" s="422"/>
      <c r="C31" s="422"/>
      <c r="D31" s="422"/>
      <c r="E31" s="422"/>
      <c r="F31" s="422"/>
      <c r="G31" s="422"/>
      <c r="H31" s="423"/>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35"/>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c r="A32" s="427"/>
      <c r="B32" s="428"/>
      <c r="C32" s="428"/>
      <c r="D32" s="428"/>
      <c r="E32" s="428"/>
      <c r="F32" s="428"/>
      <c r="G32" s="428"/>
      <c r="H32" s="429"/>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35"/>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31" t="str">
        <f>IF($J$40="Italiano","AVANZAMENTO 2",(IF($J$40="Español","MEJORA 2",(IF($J$40="Deutsch","VERBES-SERUNG 2",(IF($J$40="Français","AMÉLIORATION 2","UPGRADE 2")))))))</f>
        <v>UPGRADE 2</v>
      </c>
      <c r="E33" s="432"/>
      <c r="F33" s="241" t="str">
        <f>IF(Roster!$J$24="Italiano","COSTO",(IF(Roster!$J$24="Español","PRECIO",(IF(Roster!$J$24="Deutsch","WERT",(IF(Roster!$J$24="Français","VALEUR","COST")))))))</f>
        <v>COST</v>
      </c>
      <c r="G33" s="431" t="str">
        <f>IF($J$40="Italiano","AVANZAMENTO 3",(IF($J$40="Español","MEJORA 3",(IF($J$40="Deutsch","VERBES-SERUNG 3",(IF($J$40="Français","AMÉLIORATION 3","UPGRADE 3")))))))</f>
        <v>UPGRADE 3</v>
      </c>
      <c r="H33" s="432"/>
      <c r="I33" s="218" t="str">
        <f>IF(Roster!$J$24="Italiano","COSTO",(IF(Roster!$J$24="Español","PRECIO",(IF(Roster!$J$24="Deutsch","WERT",(IF(Roster!$J$24="Français","VALEUR","COST")))))))</f>
        <v>COST</v>
      </c>
      <c r="J33" s="431" t="str">
        <f>IF($J$40="Italiano","AVANZAMENTO 4",(IF($J$40="Español","MEJORA 4",(IF($J$40="Deutsch","VERBES-SERUNG 4",(IF($J$40="Français","AMÉLIORATION 4","UPGRADE 4")))))))</f>
        <v>UPGRADE 4</v>
      </c>
      <c r="K33" s="432"/>
      <c r="L33" s="218" t="str">
        <f>IF(Roster!$J$24="Italiano","COSTO",(IF(Roster!$J$24="Español","PRECIO",(IF(Roster!$J$24="Deutsch","WERT",(IF(Roster!$J$24="Français","VALEUR","COST")))))))</f>
        <v>COST</v>
      </c>
      <c r="M33" s="431" t="str">
        <f>IF($J$40="Italiano","AVANZAMENTO 5",(IF($J$40="Español","MEJORA 5",(IF($J$40="Deutsch","VERBES-SERUNG 5",(IF($J$40="Français","AMÉLIORATION 5","UPGRADE 5")))))))</f>
        <v>UPGRADE 5</v>
      </c>
      <c r="N33" s="432"/>
      <c r="O33" s="218" t="str">
        <f>IF(Roster!$J$24="Italiano","COSTO",(IF(Roster!$J$24="Español","PRECIO",(IF(Roster!$J$24="Deutsch","WERT",(IF(Roster!$J$24="Français","VALEUR","COST")))))))</f>
        <v>COST</v>
      </c>
      <c r="P33" s="431" t="str">
        <f>IF($J$40="Italiano","AVANZAMENTO 6",(IF($J$40="Español","MEJORA 6",(IF($J$40="Deutsch","VERBES-SERUNG 6",(IF($J$40="Français","AMÉLIORATION 6","UPGRADE 6")))))))</f>
        <v>UPGRADE 6</v>
      </c>
      <c r="Q33" s="432"/>
      <c r="R33" s="218" t="str">
        <f>IF(Roster!$J$24="Italiano","COSTO",(IF(Roster!$J$24="Español","PRECIO",(IF(Roster!$J$24="Deutsch","WERT",(IF(Roster!$J$24="Français","VALEUR","COST")))))))</f>
        <v>COST</v>
      </c>
      <c r="S33" s="218" t="s">
        <v>1268</v>
      </c>
      <c r="T33" s="435"/>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c r="A34" s="245" t="str">
        <f>IF($J$40="Italiano","GENERALE:",(IF($J$40="Français","GÉNÉRALE:","GENERAL:")))</f>
        <v>GENERAL:</v>
      </c>
      <c r="B34" s="258"/>
      <c r="C34" s="237">
        <f>IF(B34&lt;&gt;"",(IF(B29="Legendary Linemen",20000,(IF(B29="Reliable Ringers",30000,(IF(B29="Mercenaries",0,40000)))))),0)</f>
        <v>0</v>
      </c>
      <c r="D34" s="433"/>
      <c r="E34" s="434"/>
      <c r="F34" s="237" t="str">
        <f>IF(B29&lt;&gt;"Legendary Linemen","ILEGAL",(IF(D34&lt;&gt;"",50000,0)))</f>
        <v>ILEGAL</v>
      </c>
      <c r="G34" s="433"/>
      <c r="H34" s="434"/>
      <c r="I34" s="237" t="str">
        <f>IF(B29&lt;&gt;"Legendary Linemen","ILEGAL",(IF(G34&lt;&gt;"",80000,0)))</f>
        <v>ILEGAL</v>
      </c>
      <c r="J34" s="433"/>
      <c r="K34" s="434"/>
      <c r="L34" s="237" t="str">
        <f>IF(B29&lt;&gt;"Legendary Linemen","ILEGAL",(IF(J34&lt;&gt;"",110000,0)))</f>
        <v>ILEGAL</v>
      </c>
      <c r="M34" s="433"/>
      <c r="N34" s="434"/>
      <c r="O34" s="237" t="str">
        <f>IF(B29&lt;&gt;"Legendary Linemen","ILEGAL",(IF(M34&lt;&gt;"",140000,0)))</f>
        <v>ILEGAL</v>
      </c>
      <c r="P34" s="433"/>
      <c r="Q34" s="434"/>
      <c r="R34" s="237" t="str">
        <f>IF(B29&lt;&gt;"Legendary Linemen","ILEGAL",(IF(P34&lt;&gt;"",170000,0)))</f>
        <v>ILEGAL</v>
      </c>
      <c r="S34" s="237">
        <f>SUM(C34,F34,I34,L34,O34,R34)</f>
        <v>0</v>
      </c>
      <c r="T34" s="435"/>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c r="A35" s="245" t="str">
        <f>IF($J$40="Italiano","FORZA:",(IF($J$40="Español","FUERZA:",(IF($J$40="Français","FORCE:","STRENGTH:")))))</f>
        <v>STRENGTH:</v>
      </c>
      <c r="B35" s="258"/>
      <c r="C35" s="237">
        <f>IF(B35&lt;&gt;"",(IF(B29="Stunty Superstar",0,(IF(B29="Reliable Ringers",50000,(IF(B29="Mercenaries",0,30000)))))),0)</f>
        <v>0</v>
      </c>
      <c r="D35" s="433"/>
      <c r="E35" s="434"/>
      <c r="F35" s="237" t="str">
        <f>IF($B$3&lt;&gt;"Brutal Blockers",(IF($B$3&lt;&gt;"Bona Fide Big Guy","ILEGAL",(IF(D35&lt;&gt;"",70000,0)))),(IF(D35&lt;&gt;"",70000,0)))</f>
        <v>ILEGAL</v>
      </c>
      <c r="G35" s="433"/>
      <c r="H35" s="434"/>
      <c r="I35" s="237" t="str">
        <f>IF($B$3&lt;&gt;"Brutal Blockers",(IF($B$3&lt;&gt;"Bona Fide Big Guy","ILEGAL",(IF(G35&lt;&gt;"",110000,0)))),(IF(G35&lt;&gt;"",110000,0)))</f>
        <v>ILEGAL</v>
      </c>
      <c r="J35" s="433"/>
      <c r="K35" s="434"/>
      <c r="L35" s="237" t="str">
        <f>IF($B$3&lt;&gt;"Brutal Blockers",(IF($B$3&lt;&gt;"Bona Fide Big Guy","ILEGAL",(IF(J35&lt;&gt;"",150000,0)))),(IF(J35&lt;&gt;"",150000,0)))</f>
        <v>ILEGAL</v>
      </c>
      <c r="M35" s="433"/>
      <c r="N35" s="434"/>
      <c r="O35" s="237" t="str">
        <f>IF($B$3&lt;&gt;"Brutal Blockers",(IF($B$3&lt;&gt;"Bona Fide Big Guy","ILEGAL",(IF(M35&lt;&gt;"",190000,0)))),(IF(M35&lt;&gt;"",190000,0)))</f>
        <v>ILEGAL</v>
      </c>
      <c r="P35" s="433"/>
      <c r="Q35" s="434"/>
      <c r="R35" s="237" t="str">
        <f>IF($B$3&lt;&gt;"Brutal Blockers",(IF($B$3&lt;&gt;"Bona Fide Big Guy","ILEGAL",(IF(P35&lt;&gt;"",230000,0)))),(IF(P35&lt;&gt;"",230000,0)))</f>
        <v>ILEGAL</v>
      </c>
      <c r="S35" s="237">
        <f t="shared" ref="S35:S38" si="5">SUM(C35,F35,I35,L35,O35,R35)</f>
        <v>0</v>
      </c>
      <c r="T35" s="435"/>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c r="A36" s="245" t="str">
        <f>IF($J$40="Italiano","AGILITÀ:",(IF($J$40="Español","AGILIDAD:",(IF($J$40="Deutsch","AGILITÄT:",(IF($J$40="Français","AGILITÉ:","AGILITY:")))))))</f>
        <v>AGILITY:</v>
      </c>
      <c r="B36" s="258"/>
      <c r="C36" s="237">
        <f>IF(B36&lt;&gt;"",(IF(B29="Stunty Superstar",10000,(IF(B29="Brutal Blockers",40000,(IF(OR(B29="Mercenaries",B29="Bona Fide Big Guy"),0,30000)))))),0)</f>
        <v>0</v>
      </c>
      <c r="D36" s="433"/>
      <c r="E36" s="434"/>
      <c r="F36" s="237" t="str">
        <f>IF($B$3&lt;&gt;"Stunty Superstar",(IF($B$3&lt;&gt;"Reliable Ringers","ILEGAL",(IF(D36&lt;&gt;"",70000,0)))),(IF(D36&lt;&gt;"",30000,0)))</f>
        <v>ILEGAL</v>
      </c>
      <c r="G36" s="433"/>
      <c r="H36" s="434"/>
      <c r="I36" s="237" t="str">
        <f>IF($B$3&lt;&gt;"Stunty Superstar",(IF($B$3&lt;&gt;"Reliable Ringers","ILEGAL",(IF(G36&lt;&gt;"",110000,0)))),(IF(G36&lt;&gt;"",50000,0)))</f>
        <v>ILEGAL</v>
      </c>
      <c r="J36" s="433"/>
      <c r="K36" s="434"/>
      <c r="L36" s="237" t="str">
        <f>IF($B$3&lt;&gt;"Stunty Superstar",(IF($B$3&lt;&gt;"Reliable Ringers","ILEGAL",(IF(J36&lt;&gt;"",150000,0)))),(IF(J36&lt;&gt;"",70000,0)))</f>
        <v>ILEGAL</v>
      </c>
      <c r="M36" s="433"/>
      <c r="N36" s="434"/>
      <c r="O36" s="237" t="str">
        <f>IF($B$3&lt;&gt;"Stunty Superstar",(IF($B$3&lt;&gt;"Reliable Ringers","ILEGAL",(IF(M36&lt;&gt;"",190000,0)))),(IF(M36&lt;&gt;"",90000,0)))</f>
        <v>ILEGAL</v>
      </c>
      <c r="P36" s="433"/>
      <c r="Q36" s="434"/>
      <c r="R36" s="237" t="str">
        <f>IF($B$3&lt;&gt;"Stunty Superstar",(IF($B$3&lt;&gt;"Reliable Ringers","ILEGAL",(IF(P36&lt;&gt;"",230000,0)))),(IF(P36&lt;&gt;"",110000,0)))</f>
        <v>ILEGAL</v>
      </c>
      <c r="S36" s="237">
        <f t="shared" si="5"/>
        <v>0</v>
      </c>
      <c r="T36" s="435"/>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c r="A37" s="245" t="str">
        <f>IF($J$40="Español","PASE:",(IF($J$40="Français","PASSER:","PASS:")))</f>
        <v>PASS:</v>
      </c>
      <c r="B37" s="258"/>
      <c r="C37" s="237">
        <f>IF(B37&lt;&gt;"",(IF(B29="Mercenaries",0,(IF(OR(B29="Reliable Ringers",B29="Bona Fide Big Guy"),30000,20000)))),0)</f>
        <v>0</v>
      </c>
      <c r="D37" s="433"/>
      <c r="E37" s="434"/>
      <c r="F37" s="237" t="s">
        <v>1273</v>
      </c>
      <c r="G37" s="433"/>
      <c r="H37" s="434"/>
      <c r="I37" s="237" t="s">
        <v>1273</v>
      </c>
      <c r="J37" s="433"/>
      <c r="K37" s="434"/>
      <c r="L37" s="237" t="s">
        <v>1273</v>
      </c>
      <c r="M37" s="433"/>
      <c r="N37" s="434"/>
      <c r="O37" s="237" t="s">
        <v>1273</v>
      </c>
      <c r="P37" s="433"/>
      <c r="Q37" s="434"/>
      <c r="R37" s="237" t="s">
        <v>1273</v>
      </c>
      <c r="S37" s="237">
        <f t="shared" si="5"/>
        <v>0</v>
      </c>
      <c r="T37" s="435"/>
      <c r="V37" s="222"/>
      <c r="W37" s="222"/>
      <c r="X37" s="222"/>
      <c r="Y37" s="222"/>
      <c r="Z37" s="222"/>
      <c r="AA37" s="222"/>
      <c r="AB37" s="222"/>
      <c r="AC37" s="222"/>
      <c r="AD37" s="222"/>
      <c r="AE37" s="222"/>
      <c r="AF37" s="222"/>
      <c r="AG37" s="222"/>
      <c r="AH37" s="222"/>
      <c r="AI37" s="222"/>
    </row>
    <row r="38" spans="1:46" s="219" customFormat="1" ht="22.5" customHeight="1">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33"/>
      <c r="E38" s="434"/>
      <c r="F38" s="237" t="str">
        <f>IF(OR($B$3="Stunty Superstar",$B$3="Brutal Blockers",$B$3="Bona Fide Big Guy",$B$3="Mercenaries"),"ILEGAL",(IF(D38&lt;&gt;"",(IF($B$3="Legendary Linemen",70000,(IF(D38="Big Hand",30000,(IF(D38="Extra Arms",20000,(IF(D38="Two Heads",30000,(IF(D38="Very Long Legs",30000,"ILEGAL")))))))))),0)))</f>
        <v>ILEGAL</v>
      </c>
      <c r="G38" s="433"/>
      <c r="H38" s="434"/>
      <c r="I38" s="237" t="str">
        <f>IF(OR($B$3="Stunty Superstar",$B$3="Brutal Blockers",$B$3="Bona Fide Big Guy",$B$3="Mercenaries"),"ILEGAL",(IF(G38&lt;&gt;"",(IF($B$3="Legendary Linemen",110000,(IF(G38="Big Hand",30000,(IF(G38="Extra Arms",20000,(IF(G38="Two Heads",30000,(IF(G38="Very Long Legs",30000,0)))))))))),0)))</f>
        <v>ILEGAL</v>
      </c>
      <c r="J38" s="433"/>
      <c r="K38" s="434"/>
      <c r="L38" s="237" t="str">
        <f>IF(OR($B$3="Stunty Superstar",$B$3="Brutal Blockers",$B$3="Bona Fide Big Guy",$B$3="Mercenaries"),"ILEGAL",(IF(J38&lt;&gt;"",(IF($B$3="Legendary Linemen",150000,(IF(J38="Big Hand",30000,(IF(J38="Extra Arms",20000,(IF(J38="Two Heads",30000,(IF(J38="Very Long Legs",30000,0)))))))))),0)))</f>
        <v>ILEGAL</v>
      </c>
      <c r="M38" s="433"/>
      <c r="N38" s="434"/>
      <c r="O38" s="237" t="str">
        <f>IF(B29&lt;&gt;"Legendary Linemen","ILEGAL",(IF(M38&lt;&gt;"",190000,0)))</f>
        <v>ILEGAL</v>
      </c>
      <c r="P38" s="433"/>
      <c r="Q38" s="434"/>
      <c r="R38" s="237" t="str">
        <f>IF(B29&lt;&gt;"Legendary Linemen","ILEGAL",(IF(P38&lt;&gt;"",230000,0)))</f>
        <v>ILEGAL</v>
      </c>
      <c r="S38" s="237">
        <f t="shared" si="5"/>
        <v>0</v>
      </c>
      <c r="T38" s="435"/>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c r="A39" s="435"/>
      <c r="B39" s="435"/>
      <c r="C39" s="435"/>
      <c r="D39" s="435"/>
      <c r="E39" s="435"/>
      <c r="F39" s="435"/>
      <c r="G39" s="435"/>
      <c r="H39" s="435"/>
      <c r="I39" s="435"/>
      <c r="J39" s="435"/>
      <c r="K39" s="435"/>
      <c r="L39" s="435"/>
      <c r="M39" s="435"/>
      <c r="N39" s="435"/>
      <c r="O39" s="435"/>
      <c r="P39" s="435"/>
      <c r="Q39" s="435"/>
      <c r="R39" s="435"/>
      <c r="S39" s="435"/>
      <c r="T39" s="435"/>
      <c r="W39" s="216"/>
      <c r="X39" s="216"/>
      <c r="Y39" s="216"/>
    </row>
    <row r="40" spans="1:46" ht="12.75" hidden="1" customHeight="1">
      <c r="W40" s="216"/>
      <c r="X40" s="216"/>
      <c r="Y40" s="216"/>
    </row>
    <row r="41" spans="1:46" ht="12.75" hidden="1" customHeight="1">
      <c r="C41" s="439" t="s">
        <v>1274</v>
      </c>
      <c r="D41" s="440"/>
      <c r="F41" s="439" t="s">
        <v>1275</v>
      </c>
      <c r="G41" s="440"/>
      <c r="I41" s="439" t="s">
        <v>1276</v>
      </c>
      <c r="J41" s="440"/>
      <c r="L41" s="439" t="s">
        <v>1277</v>
      </c>
      <c r="M41" s="440"/>
      <c r="N41" s="253"/>
      <c r="O41" s="439" t="s">
        <v>1278</v>
      </c>
      <c r="P41" s="440"/>
      <c r="R41" s="238" t="s">
        <v>1279</v>
      </c>
      <c r="S41" s="238" t="s">
        <v>193</v>
      </c>
      <c r="T41" s="238" t="s">
        <v>1280</v>
      </c>
      <c r="U41" s="238" t="s">
        <v>1281</v>
      </c>
      <c r="V41" s="238" t="str">
        <f>""</f>
        <v/>
      </c>
      <c r="W41" s="238" t="str">
        <f>""</f>
        <v/>
      </c>
      <c r="X41" s="238" t="str">
        <f>""</f>
        <v/>
      </c>
      <c r="Y41" s="216"/>
    </row>
    <row r="42" spans="1:46" ht="12.75" hidden="1" customHeight="1">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c r="A43" s="235"/>
      <c r="B43" s="228"/>
      <c r="C43" s="227" t="str">
        <f>IF(Roster!$BU$2&lt;&gt;"SylvanianSpotlight",(IF(Roster!$BU$2&lt;&gt;"ElvenKingdomsLeague",(IF(Roster!$BU$2&lt;&gt;"Favouredof","Dirty Player (+1), Sneaky Git, Loner (5+)","")),"")),"")</f>
        <v/>
      </c>
      <c r="D43" s="228">
        <v>50000</v>
      </c>
      <c r="E43" s="234"/>
      <c r="F43" s="227" t="s">
        <v>1279</v>
      </c>
      <c r="G43" s="228">
        <v>70000</v>
      </c>
      <c r="H43" s="234"/>
      <c r="I43" s="227" t="str">
        <f>IF(Roster!$BU$2&lt;&gt;"Favouredof",(IF(Roster!$BU$2&lt;&gt;"ElvenKingdomsLeague",(IF(Roster!$BU$2&lt;&gt;"SylvanianSpotlight",(IF(Roster!$BU$2&lt;&gt;"UnderworldChallenge","Dirty Player (+1), Sneaky Git, Loner (5+)","")),"")),"")),"")</f>
        <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8">
        <v>80000</v>
      </c>
      <c r="E44" s="255"/>
      <c r="F44" s="227" t="str">
        <f>IF(Roster!$BU$2&lt;&gt;"LustrianSuperleague",(IF(Roster!$BU$2&lt;&gt;"ElvenKingdomsLeague","Dirty Player (+2), Sneaky Git, Loner (5+)","")),"")</f>
        <v>Dirty Player (+2), Sneaky Git, Loner (5+)</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Stab, Secret Weapon</v>
      </c>
      <c r="M44" s="228">
        <v>20000</v>
      </c>
      <c r="N44" s="255"/>
      <c r="O44" s="227" t="str">
        <f>IF(Roster!$BU$2&lt;&gt;"LustrianSuperleague",(IF(Roster!$BU$2&lt;&gt;"ElvenKingdomsLeague",(IF(Roster!$BU$2&lt;&gt;"SylvanianSpotlight","Frenzy, Unchannelled Fury, Horns, -Throw Team Mate, -Bone Head","")),"")),"")</f>
        <v/>
      </c>
      <c r="P44" s="228">
        <v>20000</v>
      </c>
      <c r="R44" s="238" t="s">
        <v>1289</v>
      </c>
      <c r="S44" s="238" t="s">
        <v>1290</v>
      </c>
      <c r="T44" s="238" t="s">
        <v>1291</v>
      </c>
      <c r="U44" s="238" t="s">
        <v>1288</v>
      </c>
      <c r="V44" s="238" t="str">
        <f>""</f>
        <v/>
      </c>
      <c r="W44" s="238" t="str">
        <f>""</f>
        <v/>
      </c>
      <c r="X44" s="238" t="str">
        <f>""</f>
        <v/>
      </c>
      <c r="Y44" s="216"/>
    </row>
    <row r="45" spans="1:46" ht="12.75" hidden="1" customHeight="1">
      <c r="A45" s="235"/>
      <c r="B45" s="228"/>
      <c r="C45" s="227" t="str">
        <f>IF(Roster!$BU$2&lt;&gt;"LustrianSuperleague",(IF(Roster!$BU$2&lt;&gt;"ElvenKingdomsLeague",(IF(Roster!$BU$2&lt;&gt;"Favouredof","Bombardier, Secret Weapon","")),"")),"")</f>
        <v>Bombardier, Secret Weapon</v>
      </c>
      <c r="D45" s="228">
        <v>40000</v>
      </c>
      <c r="E45" s="234"/>
      <c r="F45" s="227" t="str">
        <f>IF(Roster!$BU$2&lt;&gt;"LustrianSuperleague",(IF(Roster!$BU$2&lt;&gt;"ElvenKingdomsLeague","Bombardier, Secret Weapon","")),"")</f>
        <v>Bombardier, Secret Weapon</v>
      </c>
      <c r="G45" s="228">
        <v>40000</v>
      </c>
      <c r="H45" s="234"/>
      <c r="I45" s="227" t="str">
        <f>IF(Roster!$BU$2&lt;&gt;"ElvenKingdomsLeague",(IF(Roster!$BU$2&lt;&gt;"UnderworldChallenge","Mighty Blow (+2), Loner (5+)","")),"")</f>
        <v>Mighty Blow (+2), Loner (5+)</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45" s="228">
        <v>20000</v>
      </c>
      <c r="R45" s="238" t="s">
        <v>1292</v>
      </c>
      <c r="S45" s="238" t="s">
        <v>1293</v>
      </c>
      <c r="T45" s="238" t="s">
        <v>1294</v>
      </c>
      <c r="U45" s="238" t="s">
        <v>1295</v>
      </c>
      <c r="V45" s="238" t="s">
        <v>1288</v>
      </c>
      <c r="W45" s="238" t="str">
        <f>""</f>
        <v/>
      </c>
      <c r="X45" s="238" t="str">
        <f>""</f>
        <v/>
      </c>
      <c r="Y45" s="216"/>
    </row>
    <row r="46" spans="1:46" ht="12.75" hidden="1" customHeight="1">
      <c r="A46" s="235"/>
      <c r="B46" s="228"/>
      <c r="C46" s="227" t="str">
        <f>IF(Roster!$BU$2&lt;&gt;"ElvenKingdomsLeague",(IF(Roster!$BU$2&lt;&gt;"Favouredof","Stab, Secret Weapon","")),"")</f>
        <v>Stab, Secret Weapon</v>
      </c>
      <c r="D46" s="228">
        <v>20000</v>
      </c>
      <c r="E46" s="234"/>
      <c r="F46" s="227" t="str">
        <f>IF(Roster!$BU$2&lt;&gt;"Favouredof","Stab, Secret Weapon","")</f>
        <v>Stab, Secret Weapon</v>
      </c>
      <c r="G46" s="228">
        <v>20000</v>
      </c>
      <c r="H46" s="234"/>
      <c r="I46" s="227" t="str">
        <f>IF(Roster!$BU$2&lt;&gt;"ElvenKingdomsLeague",(IF(Roster!$BU$2&lt;&gt;"Favouredof","Stab, Secret Weapon","")),"")</f>
        <v>Stab, Secret Weapon</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c r="A47" s="235"/>
      <c r="B47" s="228"/>
      <c r="C47" s="227" t="str">
        <f>IF(Roster!$BU$2&lt;&gt;"ElvenKingdomsLeague",(IF(Roster!$BU$2&lt;&gt;"Favouredof","Chainsaw, No Hands, Secret Weapon","")),"")</f>
        <v>Chainsaw, No Hands, Secret Weapon</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Ball &amp; Chain, Secret Weapon, No Hands, +2ST, -1MA</v>
      </c>
      <c r="J47" s="228">
        <v>90000</v>
      </c>
      <c r="K47" s="219"/>
      <c r="L47" s="227" t="str">
        <f>""</f>
        <v/>
      </c>
      <c r="M47" s="228">
        <v>0</v>
      </c>
      <c r="N47" s="219"/>
      <c r="O47" s="227" t="str">
        <f>IF(Roster!$BU$2&lt;&gt;"SylvanianSpotlight",(IF(Roster!$BU$2&lt;&gt;"ElvenKingdomsLeague","Ball &amp; Chain, No hands, Really Stupid, Secret Weapon, +2ST, -Bone Head, -1MA","")),"")</f>
        <v/>
      </c>
      <c r="P47" s="228">
        <v>80000</v>
      </c>
      <c r="R47" s="238" t="s">
        <v>1299</v>
      </c>
      <c r="S47" s="238" t="s">
        <v>192</v>
      </c>
      <c r="T47" s="238" t="s">
        <v>1300</v>
      </c>
      <c r="U47" s="238" t="s">
        <v>1288</v>
      </c>
      <c r="V47" s="238" t="s">
        <v>1295</v>
      </c>
      <c r="W47" s="238" t="str">
        <f>""</f>
        <v/>
      </c>
      <c r="X47" s="238" t="str">
        <f>"+3ST, -2MA"</f>
        <v>+3ST, -2MA</v>
      </c>
      <c r="Y47" s="216"/>
    </row>
    <row r="48" spans="1:46" ht="12.75" hidden="1" customHeight="1">
      <c r="A48" s="235"/>
      <c r="B48" s="228"/>
      <c r="C48" s="227" t="str">
        <f>IF(Roster!$BU$2&lt;&gt;"OldWorldClassic",(IF(Roster!$BU$2&lt;&gt;"ElvenKingdomsLeague",(IF(Roster!$BU$2&lt;&gt;"Favouredof",(IF(Roster!$BU$2&lt;&gt;"OldWorldClassicWorldsEdgeSuperleague","Pogo Stick","")),"")),"")),"")</f>
        <v>Pogo Stick</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c r="A54" s="235"/>
      <c r="Q54" s="219"/>
      <c r="R54" s="238" t="s">
        <v>1296</v>
      </c>
      <c r="S54" s="238" t="s">
        <v>196</v>
      </c>
      <c r="T54" s="238" t="str">
        <f>""</f>
        <v/>
      </c>
      <c r="U54" s="238" t="str">
        <f>""</f>
        <v/>
      </c>
      <c r="V54" s="238" t="str">
        <f>""</f>
        <v/>
      </c>
      <c r="W54" s="238" t="str">
        <f>""</f>
        <v/>
      </c>
      <c r="X54" s="238" t="str">
        <f>"-Bone Head"</f>
        <v>-Bone Head</v>
      </c>
      <c r="Y54" s="216"/>
    </row>
    <row r="55" spans="1:25" ht="12.75" hidden="1" customHeight="1">
      <c r="A55" s="235"/>
      <c r="R55" s="238" t="s">
        <v>1320</v>
      </c>
      <c r="S55" s="238" t="s">
        <v>1321</v>
      </c>
      <c r="T55" s="238" t="s">
        <v>1300</v>
      </c>
      <c r="U55" s="238" t="s">
        <v>1322</v>
      </c>
      <c r="V55" s="238" t="s">
        <v>1311</v>
      </c>
      <c r="W55" s="238" t="s">
        <v>1288</v>
      </c>
      <c r="X55" s="238" t="str">
        <f>"+2ST, -Bone Head, -1MA"</f>
        <v>+2ST, -Bone Head, -1MA</v>
      </c>
      <c r="Y55" s="216"/>
    </row>
    <row r="56" spans="1:25" ht="12.75" hidden="1" customHeight="1">
      <c r="A56" s="235"/>
      <c r="S56" s="217" t="str">
        <f>""</f>
        <v/>
      </c>
      <c r="T56" s="253"/>
      <c r="U56" s="238"/>
      <c r="W56" s="216"/>
      <c r="X56" s="216"/>
      <c r="Y56" s="216"/>
    </row>
    <row r="57" spans="1:25" ht="12.75" hidden="1" customHeight="1">
      <c r="T57" s="253"/>
      <c r="U57" s="253"/>
      <c r="V57" s="217" t="str">
        <f>""</f>
        <v/>
      </c>
    </row>
    <row r="58" spans="1:25" ht="12.75" hidden="1" customHeight="1">
      <c r="T58" s="253"/>
      <c r="U58" s="238"/>
    </row>
    <row r="59" spans="1:25" ht="12.75" hidden="1" customHeight="1">
      <c r="A59" s="235"/>
    </row>
    <row r="61" spans="1:25" ht="12.75" hidden="1" customHeight="1">
      <c r="A61" s="235"/>
    </row>
    <row r="62" spans="1:25" ht="12.75" hidden="1" customHeight="1">
      <c r="A62" s="235"/>
    </row>
    <row r="63" spans="1:25" ht="12.75" hidden="1" customHeight="1">
      <c r="A63" s="235"/>
    </row>
    <row r="64" spans="1:25" ht="12.75" hidden="1" customHeight="1">
      <c r="A64" s="235"/>
    </row>
    <row r="66" spans="1:1" ht="12.75" hidden="1" customHeight="1">
      <c r="A66" s="235"/>
    </row>
    <row r="67" spans="1:1" ht="12.75" hidden="1" customHeight="1">
      <c r="A67" s="235"/>
    </row>
    <row r="68" spans="1:1" ht="12.75" hidden="1" customHeight="1">
      <c r="A68" s="235"/>
    </row>
    <row r="69" spans="1:1" ht="12.75" hidden="1" customHeight="1">
      <c r="A69" s="235"/>
    </row>
    <row r="70" spans="1:1" ht="12.75" hidden="1" customHeight="1">
      <c r="A70" s="235"/>
    </row>
  </sheetData>
  <sheetProtection algorithmName="SHA-512" hashValue="XAHkbFTTRzv1fPyJvtzy+Vdkf4PlEhRhbUXZs6mA2EHnE8+ZeBaNRtBF0FkUVNx8G95QAvMM9PWqdx6kkoBugg==" saltValue="3wp8X0v2MTmwUeFhtvZDfA==" spinCount="100000" sheet="1" objects="1" scenarios="1"/>
  <mergeCells count="121">
    <mergeCell ref="C41:D41"/>
    <mergeCell ref="F41:G41"/>
    <mergeCell ref="I41:J41"/>
    <mergeCell ref="L41:M41"/>
    <mergeCell ref="O41:P41"/>
    <mergeCell ref="D38:E38"/>
    <mergeCell ref="G38:H38"/>
    <mergeCell ref="J38:K38"/>
    <mergeCell ref="M38:N38"/>
    <mergeCell ref="P38:Q38"/>
    <mergeCell ref="A39:T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H28:R28"/>
    <mergeCell ref="AK28:AO28"/>
    <mergeCell ref="AP28:AT28"/>
    <mergeCell ref="H29:R29"/>
    <mergeCell ref="A30:S30"/>
    <mergeCell ref="A31:H31"/>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M10:N10"/>
    <mergeCell ref="M11:N11"/>
    <mergeCell ref="M12:N12"/>
    <mergeCell ref="J7:K7"/>
    <mergeCell ref="J8:K8"/>
    <mergeCell ref="J9:K9"/>
    <mergeCell ref="J10:K10"/>
    <mergeCell ref="J11:K11"/>
    <mergeCell ref="J12:K12"/>
    <mergeCell ref="G10:H10"/>
    <mergeCell ref="G11:H11"/>
    <mergeCell ref="G12:H12"/>
    <mergeCell ref="D7:E7"/>
    <mergeCell ref="D8:E8"/>
    <mergeCell ref="D9:E9"/>
    <mergeCell ref="D10:E10"/>
    <mergeCell ref="D11:E11"/>
    <mergeCell ref="D12:E12"/>
    <mergeCell ref="A1:S1"/>
    <mergeCell ref="H2:R2"/>
    <mergeCell ref="H3:R3"/>
    <mergeCell ref="A5:H5"/>
    <mergeCell ref="A6:H6"/>
    <mergeCell ref="A4:S4"/>
    <mergeCell ref="G7:H7"/>
    <mergeCell ref="G8:H8"/>
    <mergeCell ref="G9:H9"/>
    <mergeCell ref="M9:N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42"/>
      <c r="C2" s="105"/>
      <c r="D2" s="105"/>
      <c r="E2" s="105"/>
      <c r="F2" s="105"/>
      <c r="G2" s="105"/>
      <c r="H2" s="105"/>
      <c r="I2" s="105"/>
      <c r="J2" s="105"/>
      <c r="K2" s="105"/>
      <c r="L2" s="105"/>
      <c r="M2" s="105"/>
      <c r="N2" s="105"/>
      <c r="O2" s="105"/>
      <c r="P2" s="14"/>
      <c r="Q2" s="455" t="str">
        <f>IF(Roster!$A$2=0,"","#"&amp;Roster!$A$2)</f>
        <v>#1</v>
      </c>
      <c r="R2" s="105"/>
      <c r="S2" s="105"/>
      <c r="T2" s="105"/>
      <c r="U2" s="105"/>
      <c r="V2" s="105"/>
      <c r="W2" s="105"/>
      <c r="X2" s="105"/>
      <c r="Y2" s="105"/>
      <c r="Z2" s="105"/>
      <c r="AA2" s="105"/>
      <c r="AB2" s="105"/>
      <c r="AC2" s="105"/>
      <c r="AD2" s="105"/>
      <c r="AE2" s="14"/>
      <c r="AF2" s="455" t="str">
        <f>IF(Roster!$A$3=0,"","#"&amp;Roster!$A$3)</f>
        <v>#2</v>
      </c>
      <c r="AG2" s="105"/>
      <c r="AH2" s="105"/>
      <c r="AI2" s="105"/>
      <c r="AJ2" s="105"/>
      <c r="AK2" s="105"/>
      <c r="AL2" s="105"/>
      <c r="AM2" s="105"/>
      <c r="AN2" s="105"/>
      <c r="AO2" s="105"/>
      <c r="AP2" s="105"/>
      <c r="AQ2" s="105"/>
      <c r="AR2" s="105"/>
      <c r="AS2" s="105"/>
      <c r="AT2" s="14"/>
      <c r="AU2" s="455" t="str">
        <f>IF(Roster!$A$4=0,"","#"&amp;Roster!$A$4)</f>
        <v>#3</v>
      </c>
      <c r="AV2" s="105"/>
      <c r="AW2" s="105"/>
      <c r="AX2" s="105"/>
      <c r="AY2" s="105"/>
      <c r="AZ2" s="105"/>
      <c r="BA2" s="105"/>
      <c r="BB2" s="105"/>
      <c r="BC2" s="105"/>
      <c r="BD2" s="105"/>
      <c r="BE2" s="105"/>
      <c r="BF2" s="105"/>
      <c r="BG2" s="105"/>
      <c r="BH2" s="105"/>
    </row>
    <row r="3" spans="1:60" ht="15" customHeight="1">
      <c r="A3" s="14"/>
      <c r="B3" s="403"/>
      <c r="C3" s="445" t="str">
        <f>IF(Roster!$J$23=0,Roster!$C$23,Roster!$J$23)</f>
        <v>Livid Leftovers</v>
      </c>
      <c r="D3" s="395"/>
      <c r="E3" s="395"/>
      <c r="F3" s="395"/>
      <c r="G3" s="395"/>
      <c r="H3" s="395"/>
      <c r="I3" s="395"/>
      <c r="J3" s="395"/>
      <c r="K3" s="395"/>
      <c r="L3" s="395"/>
      <c r="M3" s="395"/>
      <c r="N3" s="396"/>
      <c r="O3" s="105"/>
      <c r="P3" s="14"/>
      <c r="Q3" s="403"/>
      <c r="R3" s="445" t="str">
        <f>IF(Roster!$B$2=0,"",Roster!$B$2)</f>
        <v>Mortifera Salem</v>
      </c>
      <c r="S3" s="395"/>
      <c r="T3" s="395"/>
      <c r="U3" s="395"/>
      <c r="V3" s="395"/>
      <c r="W3" s="395"/>
      <c r="X3" s="395"/>
      <c r="Y3" s="395"/>
      <c r="Z3" s="395"/>
      <c r="AA3" s="395"/>
      <c r="AB3" s="395"/>
      <c r="AC3" s="396"/>
      <c r="AD3" s="105"/>
      <c r="AE3" s="14"/>
      <c r="AF3" s="403"/>
      <c r="AG3" s="445" t="str">
        <f>IF(Roster!$B$3=0,"",Roster!$B$3)</f>
        <v>Casper Midnight</v>
      </c>
      <c r="AH3" s="395"/>
      <c r="AI3" s="395"/>
      <c r="AJ3" s="395"/>
      <c r="AK3" s="395"/>
      <c r="AL3" s="395"/>
      <c r="AM3" s="395"/>
      <c r="AN3" s="395"/>
      <c r="AO3" s="395"/>
      <c r="AP3" s="395"/>
      <c r="AQ3" s="395"/>
      <c r="AR3" s="396"/>
      <c r="AS3" s="105"/>
      <c r="AT3" s="14"/>
      <c r="AU3" s="403"/>
      <c r="AV3" s="445" t="str">
        <f>IF(Roster!$B$4=0,"",Roster!$B$4)</f>
        <v>Frau Koi Koi</v>
      </c>
      <c r="AW3" s="395"/>
      <c r="AX3" s="395"/>
      <c r="AY3" s="395"/>
      <c r="AZ3" s="395"/>
      <c r="BA3" s="395"/>
      <c r="BB3" s="395"/>
      <c r="BC3" s="395"/>
      <c r="BD3" s="395"/>
      <c r="BE3" s="395"/>
      <c r="BF3" s="395"/>
      <c r="BG3" s="396"/>
      <c r="BH3" s="105"/>
    </row>
    <row r="4" spans="1:60" ht="11.25" customHeight="1">
      <c r="A4" s="14"/>
      <c r="B4" s="403"/>
      <c r="C4" s="443" t="str">
        <f>IF(Roster!$AI$29="SPONSORS",Roster!$J$22,Roster!$J$22&amp;"; Sponsor: "&amp;Roster!$AI$29)</f>
        <v>Necromantic</v>
      </c>
      <c r="D4" s="395"/>
      <c r="E4" s="395"/>
      <c r="F4" s="395"/>
      <c r="G4" s="395"/>
      <c r="H4" s="395"/>
      <c r="I4" s="395"/>
      <c r="J4" s="395"/>
      <c r="K4" s="395"/>
      <c r="L4" s="395"/>
      <c r="M4" s="395"/>
      <c r="N4" s="396"/>
      <c r="O4" s="106"/>
      <c r="P4" s="14"/>
      <c r="Q4" s="404"/>
      <c r="R4" s="443" t="str">
        <f>IF(Roster!$C$2=0,"",Roster!$C$2)</f>
        <v>Flesh Golem</v>
      </c>
      <c r="S4" s="395"/>
      <c r="T4" s="395"/>
      <c r="U4" s="395"/>
      <c r="V4" s="395"/>
      <c r="W4" s="395"/>
      <c r="X4" s="395"/>
      <c r="Y4" s="395"/>
      <c r="Z4" s="395"/>
      <c r="AA4" s="395"/>
      <c r="AB4" s="395"/>
      <c r="AC4" s="396"/>
      <c r="AD4" s="106"/>
      <c r="AE4" s="14"/>
      <c r="AF4" s="404"/>
      <c r="AG4" s="443" t="str">
        <f>IF(Roster!$C$3=0,"",Roster!$C$3)</f>
        <v>Flesh Golem</v>
      </c>
      <c r="AH4" s="395"/>
      <c r="AI4" s="395"/>
      <c r="AJ4" s="395"/>
      <c r="AK4" s="395"/>
      <c r="AL4" s="395"/>
      <c r="AM4" s="395"/>
      <c r="AN4" s="395"/>
      <c r="AO4" s="395"/>
      <c r="AP4" s="395"/>
      <c r="AQ4" s="395"/>
      <c r="AR4" s="396"/>
      <c r="AS4" s="106"/>
      <c r="AT4" s="14"/>
      <c r="AU4" s="404"/>
      <c r="AV4" s="443" t="str">
        <f>IF(Roster!$C$4=0,"",Roster!$C$4)</f>
        <v>Wraiths</v>
      </c>
      <c r="AW4" s="395"/>
      <c r="AX4" s="395"/>
      <c r="AY4" s="395"/>
      <c r="AZ4" s="395"/>
      <c r="BA4" s="395"/>
      <c r="BB4" s="395"/>
      <c r="BC4" s="395"/>
      <c r="BD4" s="395"/>
      <c r="BE4" s="395"/>
      <c r="BF4" s="395"/>
      <c r="BG4" s="396"/>
      <c r="BH4" s="106"/>
    </row>
    <row r="5" spans="1:60" ht="11.25" customHeight="1">
      <c r="A5" s="14"/>
      <c r="B5" s="404"/>
      <c r="C5" s="107"/>
      <c r="D5" s="443" t="str">
        <f>IF(Roster!$C$30=0,"",Roster!$C$30)</f>
        <v>TEAM VALUE</v>
      </c>
      <c r="E5" s="395"/>
      <c r="F5" s="396"/>
      <c r="G5" s="108"/>
      <c r="H5" s="443" t="str">
        <f>IF(Roster!$R$21=0,"",Roster!$R$21)</f>
        <v>DEDICATED FANS</v>
      </c>
      <c r="I5" s="395"/>
      <c r="J5" s="396"/>
      <c r="K5" s="108"/>
      <c r="L5" s="443" t="str">
        <f>IF(Roster!$R$22=0,"",Roster!$R$22)</f>
        <v>REROLLS</v>
      </c>
      <c r="M5" s="395"/>
      <c r="N5" s="396"/>
      <c r="O5" s="105"/>
      <c r="P5" s="14"/>
      <c r="Q5" s="109" t="str">
        <f>IF(Roster!$J$1=0,"",Roster!$J$1)</f>
        <v>MA</v>
      </c>
      <c r="R5" s="458"/>
      <c r="S5" s="395"/>
      <c r="T5" s="395"/>
      <c r="U5" s="395"/>
      <c r="V5" s="395"/>
      <c r="W5" s="395"/>
      <c r="X5" s="395"/>
      <c r="Y5" s="395"/>
      <c r="Z5" s="395"/>
      <c r="AA5" s="395"/>
      <c r="AB5" s="395"/>
      <c r="AC5" s="396"/>
      <c r="AD5" s="105"/>
      <c r="AE5" s="14"/>
      <c r="AF5" s="109" t="str">
        <f>IF(Roster!$J$1=0,"",Roster!$J$1)</f>
        <v>MA</v>
      </c>
      <c r="AG5" s="458"/>
      <c r="AH5" s="395"/>
      <c r="AI5" s="395"/>
      <c r="AJ5" s="395"/>
      <c r="AK5" s="395"/>
      <c r="AL5" s="395"/>
      <c r="AM5" s="395"/>
      <c r="AN5" s="395"/>
      <c r="AO5" s="395"/>
      <c r="AP5" s="395"/>
      <c r="AQ5" s="395"/>
      <c r="AR5" s="396"/>
      <c r="AS5" s="105"/>
      <c r="AT5" s="14"/>
      <c r="AU5" s="109" t="str">
        <f>IF(Roster!$J$1=0,"",Roster!$J$1)</f>
        <v>MA</v>
      </c>
      <c r="AV5" s="458"/>
      <c r="AW5" s="395"/>
      <c r="AX5" s="395"/>
      <c r="AY5" s="395"/>
      <c r="AZ5" s="395"/>
      <c r="BA5" s="395"/>
      <c r="BB5" s="395"/>
      <c r="BC5" s="395"/>
      <c r="BD5" s="395"/>
      <c r="BE5" s="395"/>
      <c r="BF5" s="395"/>
      <c r="BG5" s="396"/>
      <c r="BH5" s="105"/>
    </row>
    <row r="6" spans="1:60" ht="37.5" customHeight="1">
      <c r="A6" s="14"/>
      <c r="B6" s="444" t="str">
        <f>IF(Roster!$J$21=0,"",Roster!$J$21)</f>
        <v>Teowulf</v>
      </c>
      <c r="C6" s="110"/>
      <c r="D6" s="441">
        <f>Roster!$J$30</f>
        <v>1200</v>
      </c>
      <c r="E6" s="395"/>
      <c r="F6" s="396"/>
      <c r="G6" s="108"/>
      <c r="H6" s="441" t="str">
        <f>IF(Roster!$W$21=0,"",Roster!$W$21)</f>
        <v/>
      </c>
      <c r="I6" s="395"/>
      <c r="J6" s="396"/>
      <c r="K6" s="108"/>
      <c r="L6" s="441">
        <f>Roster!$W$22</f>
        <v>3</v>
      </c>
      <c r="M6" s="395"/>
      <c r="N6" s="396"/>
      <c r="O6" s="105"/>
      <c r="P6" s="14"/>
      <c r="Q6" s="111">
        <f>IF(Roster!$J$2=0,"",Roster!$J$2)</f>
        <v>4</v>
      </c>
      <c r="R6" s="462"/>
      <c r="S6" s="459"/>
      <c r="T6" s="448"/>
      <c r="U6" s="448"/>
      <c r="V6" s="448"/>
      <c r="W6" s="448"/>
      <c r="X6" s="448"/>
      <c r="Y6" s="448"/>
      <c r="Z6" s="448"/>
      <c r="AA6" s="448"/>
      <c r="AB6" s="448"/>
      <c r="AC6" s="449"/>
      <c r="AD6" s="105"/>
      <c r="AE6" s="14"/>
      <c r="AF6" s="111">
        <f>IF(Roster!$J$3=0,"",Roster!$J$3)</f>
        <v>4</v>
      </c>
      <c r="AG6" s="462"/>
      <c r="AH6" s="459"/>
      <c r="AI6" s="448"/>
      <c r="AJ6" s="448"/>
      <c r="AK6" s="448"/>
      <c r="AL6" s="448"/>
      <c r="AM6" s="448"/>
      <c r="AN6" s="448"/>
      <c r="AO6" s="448"/>
      <c r="AP6" s="448"/>
      <c r="AQ6" s="448"/>
      <c r="AR6" s="449"/>
      <c r="AS6" s="105"/>
      <c r="AT6" s="14"/>
      <c r="AU6" s="111">
        <f>IF(Roster!$J$4=0,"",Roster!$J$4)</f>
        <v>6</v>
      </c>
      <c r="AV6" s="462"/>
      <c r="AW6" s="459"/>
      <c r="AX6" s="448"/>
      <c r="AY6" s="448"/>
      <c r="AZ6" s="448"/>
      <c r="BA6" s="448"/>
      <c r="BB6" s="448"/>
      <c r="BC6" s="448"/>
      <c r="BD6" s="448"/>
      <c r="BE6" s="448"/>
      <c r="BF6" s="448"/>
      <c r="BG6" s="449"/>
      <c r="BH6" s="105"/>
    </row>
    <row r="7" spans="1:60" ht="11.25" customHeight="1">
      <c r="A7" s="14"/>
      <c r="B7" s="403"/>
      <c r="C7" s="109"/>
      <c r="D7" s="443" t="str">
        <f>IF(Roster!$AD$21=0,"",Roster!$AD$21)</f>
        <v>MORTUARY ASSISTANT</v>
      </c>
      <c r="E7" s="395"/>
      <c r="F7" s="396"/>
      <c r="G7" s="108"/>
      <c r="H7" s="443" t="str">
        <f>IF(Roster!$R$23=0,"",Roster!$R$23)</f>
        <v>CHEERLEADERS</v>
      </c>
      <c r="I7" s="395"/>
      <c r="J7" s="396"/>
      <c r="K7" s="108"/>
      <c r="L7" s="443" t="str">
        <f>IF(Roster!$R$24=0,"",Roster!$R$24)</f>
        <v>ASSISTANT COACHES</v>
      </c>
      <c r="M7" s="395"/>
      <c r="N7" s="396"/>
      <c r="O7" s="105"/>
      <c r="P7" s="14"/>
      <c r="Q7" s="109" t="str">
        <f>IF(Roster!$K$1=0,"",Roster!$K$1)</f>
        <v>ST</v>
      </c>
      <c r="R7" s="403"/>
      <c r="S7" s="450"/>
      <c r="T7" s="357"/>
      <c r="U7" s="357"/>
      <c r="V7" s="357"/>
      <c r="W7" s="357"/>
      <c r="X7" s="357"/>
      <c r="Y7" s="357"/>
      <c r="Z7" s="357"/>
      <c r="AA7" s="357"/>
      <c r="AB7" s="357"/>
      <c r="AC7" s="451"/>
      <c r="AD7" s="105"/>
      <c r="AE7" s="14"/>
      <c r="AF7" s="109" t="str">
        <f>IF(Roster!$K$1=0,"",Roster!$K$1)</f>
        <v>ST</v>
      </c>
      <c r="AG7" s="403"/>
      <c r="AH7" s="450"/>
      <c r="AI7" s="357"/>
      <c r="AJ7" s="357"/>
      <c r="AK7" s="357"/>
      <c r="AL7" s="357"/>
      <c r="AM7" s="357"/>
      <c r="AN7" s="357"/>
      <c r="AO7" s="357"/>
      <c r="AP7" s="357"/>
      <c r="AQ7" s="357"/>
      <c r="AR7" s="451"/>
      <c r="AS7" s="105"/>
      <c r="AT7" s="14"/>
      <c r="AU7" s="109" t="str">
        <f>IF(Roster!$K$1=0,"",Roster!$K$1)</f>
        <v>ST</v>
      </c>
      <c r="AV7" s="403"/>
      <c r="AW7" s="450"/>
      <c r="AX7" s="357"/>
      <c r="AY7" s="357"/>
      <c r="AZ7" s="357"/>
      <c r="BA7" s="357"/>
      <c r="BB7" s="357"/>
      <c r="BC7" s="357"/>
      <c r="BD7" s="357"/>
      <c r="BE7" s="357"/>
      <c r="BF7" s="357"/>
      <c r="BG7" s="451"/>
      <c r="BH7" s="105"/>
    </row>
    <row r="8" spans="1:60" ht="37.5" customHeight="1">
      <c r="A8" s="14"/>
      <c r="B8" s="403"/>
      <c r="C8" s="112"/>
      <c r="D8" s="441">
        <f>Roster!$AI$21</f>
        <v>0</v>
      </c>
      <c r="E8" s="395"/>
      <c r="F8" s="396"/>
      <c r="G8" s="108"/>
      <c r="H8" s="441">
        <f>Roster!$W$23</f>
        <v>0</v>
      </c>
      <c r="I8" s="395"/>
      <c r="J8" s="396"/>
      <c r="K8" s="108"/>
      <c r="L8" s="441">
        <f>Roster!$W$24</f>
        <v>1</v>
      </c>
      <c r="M8" s="395"/>
      <c r="N8" s="396"/>
      <c r="O8" s="105"/>
      <c r="P8" s="14"/>
      <c r="Q8" s="111">
        <f>IF(Roster!$K$2=0,"",Roster!$K$2)</f>
        <v>4</v>
      </c>
      <c r="R8" s="403"/>
      <c r="S8" s="450"/>
      <c r="T8" s="357"/>
      <c r="U8" s="357"/>
      <c r="V8" s="357"/>
      <c r="W8" s="357"/>
      <c r="X8" s="357"/>
      <c r="Y8" s="357"/>
      <c r="Z8" s="357"/>
      <c r="AA8" s="357"/>
      <c r="AB8" s="357"/>
      <c r="AC8" s="451"/>
      <c r="AD8" s="105"/>
      <c r="AE8" s="14"/>
      <c r="AF8" s="111">
        <f>IF(Roster!$K$3=0,"",Roster!$K$3)</f>
        <v>4</v>
      </c>
      <c r="AG8" s="403"/>
      <c r="AH8" s="450"/>
      <c r="AI8" s="357"/>
      <c r="AJ8" s="357"/>
      <c r="AK8" s="357"/>
      <c r="AL8" s="357"/>
      <c r="AM8" s="357"/>
      <c r="AN8" s="357"/>
      <c r="AO8" s="357"/>
      <c r="AP8" s="357"/>
      <c r="AQ8" s="357"/>
      <c r="AR8" s="451"/>
      <c r="AS8" s="105"/>
      <c r="AT8" s="14"/>
      <c r="AU8" s="111">
        <f>IF(Roster!$K$4=0,"",Roster!$K$4)</f>
        <v>3</v>
      </c>
      <c r="AV8" s="403"/>
      <c r="AW8" s="450"/>
      <c r="AX8" s="357"/>
      <c r="AY8" s="357"/>
      <c r="AZ8" s="357"/>
      <c r="BA8" s="357"/>
      <c r="BB8" s="357"/>
      <c r="BC8" s="357"/>
      <c r="BD8" s="357"/>
      <c r="BE8" s="357"/>
      <c r="BF8" s="357"/>
      <c r="BG8" s="451"/>
      <c r="BH8" s="105"/>
    </row>
    <row r="9" spans="1:60" ht="11.25" customHeight="1">
      <c r="A9" s="14"/>
      <c r="B9" s="403"/>
      <c r="C9" s="107"/>
      <c r="D9" s="443" t="str">
        <f>IF(Roster!$R$25=0,"",Roster!$R$25)</f>
        <v>BLOODWEISER KEGS</v>
      </c>
      <c r="E9" s="395"/>
      <c r="F9" s="396"/>
      <c r="G9" s="108"/>
      <c r="H9" s="443" t="str">
        <f>IF(Roster!$R$26=0,"",Roster!$R$26)</f>
        <v>BRIBES</v>
      </c>
      <c r="I9" s="395"/>
      <c r="J9" s="396"/>
      <c r="K9" s="108"/>
      <c r="L9" s="443" t="str">
        <f>IF(Roster!$R$27=0,"",Roster!$R$27)</f>
        <v>MASTER CHEF</v>
      </c>
      <c r="M9" s="395"/>
      <c r="N9" s="396"/>
      <c r="O9" s="105"/>
      <c r="P9" s="14"/>
      <c r="Q9" s="109" t="str">
        <f>IF(Roster!$L$1=0,"",Roster!$L$1)</f>
        <v>AG</v>
      </c>
      <c r="R9" s="403"/>
      <c r="S9" s="450"/>
      <c r="T9" s="357"/>
      <c r="U9" s="357"/>
      <c r="V9" s="357"/>
      <c r="W9" s="357"/>
      <c r="X9" s="357"/>
      <c r="Y9" s="357"/>
      <c r="Z9" s="357"/>
      <c r="AA9" s="357"/>
      <c r="AB9" s="357"/>
      <c r="AC9" s="451"/>
      <c r="AD9" s="105"/>
      <c r="AE9" s="14"/>
      <c r="AF9" s="109" t="str">
        <f>IF(Roster!$L$1=0,"",Roster!$L$1)</f>
        <v>AG</v>
      </c>
      <c r="AG9" s="403"/>
      <c r="AH9" s="450"/>
      <c r="AI9" s="357"/>
      <c r="AJ9" s="357"/>
      <c r="AK9" s="357"/>
      <c r="AL9" s="357"/>
      <c r="AM9" s="357"/>
      <c r="AN9" s="357"/>
      <c r="AO9" s="357"/>
      <c r="AP9" s="357"/>
      <c r="AQ9" s="357"/>
      <c r="AR9" s="451"/>
      <c r="AS9" s="105"/>
      <c r="AT9" s="14"/>
      <c r="AU9" s="109" t="str">
        <f>IF(Roster!$L$1=0,"",Roster!$L$1)</f>
        <v>AG</v>
      </c>
      <c r="AV9" s="403"/>
      <c r="AW9" s="450"/>
      <c r="AX9" s="357"/>
      <c r="AY9" s="357"/>
      <c r="AZ9" s="357"/>
      <c r="BA9" s="357"/>
      <c r="BB9" s="357"/>
      <c r="BC9" s="357"/>
      <c r="BD9" s="357"/>
      <c r="BE9" s="357"/>
      <c r="BF9" s="357"/>
      <c r="BG9" s="451"/>
      <c r="BH9" s="105"/>
    </row>
    <row r="10" spans="1:60" ht="37.5" customHeight="1">
      <c r="A10" s="14"/>
      <c r="B10" s="403"/>
      <c r="C10" s="112"/>
      <c r="D10" s="441">
        <f>Roster!$W$25</f>
        <v>0</v>
      </c>
      <c r="E10" s="395"/>
      <c r="F10" s="396"/>
      <c r="G10" s="108"/>
      <c r="H10" s="441">
        <f>Roster!$W$26</f>
        <v>0</v>
      </c>
      <c r="I10" s="395"/>
      <c r="J10" s="396"/>
      <c r="K10" s="108"/>
      <c r="L10" s="441">
        <f>Roster!$W$27</f>
        <v>0</v>
      </c>
      <c r="M10" s="395"/>
      <c r="N10" s="396"/>
      <c r="O10" s="105"/>
      <c r="P10" s="14"/>
      <c r="Q10" s="111" t="str">
        <f>IF(Roster!$L$2=0&amp;"+","",Roster!$L$2)</f>
        <v>4+</v>
      </c>
      <c r="R10" s="403"/>
      <c r="S10" s="450"/>
      <c r="T10" s="357"/>
      <c r="U10" s="357"/>
      <c r="V10" s="357"/>
      <c r="W10" s="357"/>
      <c r="X10" s="357"/>
      <c r="Y10" s="357"/>
      <c r="Z10" s="357"/>
      <c r="AA10" s="357"/>
      <c r="AB10" s="357"/>
      <c r="AC10" s="451"/>
      <c r="AD10" s="105"/>
      <c r="AE10" s="14"/>
      <c r="AF10" s="111" t="str">
        <f>IF(Roster!$L$3=0&amp;"+","",Roster!$L$3)</f>
        <v>4+</v>
      </c>
      <c r="AG10" s="403"/>
      <c r="AH10" s="450"/>
      <c r="AI10" s="357"/>
      <c r="AJ10" s="357"/>
      <c r="AK10" s="357"/>
      <c r="AL10" s="357"/>
      <c r="AM10" s="357"/>
      <c r="AN10" s="357"/>
      <c r="AO10" s="357"/>
      <c r="AP10" s="357"/>
      <c r="AQ10" s="357"/>
      <c r="AR10" s="451"/>
      <c r="AS10" s="105"/>
      <c r="AT10" s="14"/>
      <c r="AU10" s="111" t="str">
        <f>IF(Roster!$L$4=0&amp;"+","",Roster!$L$4)</f>
        <v>3+</v>
      </c>
      <c r="AV10" s="403"/>
      <c r="AW10" s="450"/>
      <c r="AX10" s="357"/>
      <c r="AY10" s="357"/>
      <c r="AZ10" s="357"/>
      <c r="BA10" s="357"/>
      <c r="BB10" s="357"/>
      <c r="BC10" s="357"/>
      <c r="BD10" s="357"/>
      <c r="BE10" s="357"/>
      <c r="BF10" s="357"/>
      <c r="BG10" s="451"/>
      <c r="BH10" s="105"/>
    </row>
    <row r="11" spans="1:60" ht="11.25" customHeight="1">
      <c r="A11" s="14"/>
      <c r="B11" s="403"/>
      <c r="C11" s="109"/>
      <c r="D11" s="446" t="str">
        <f>IF(Roster!$R$28=0,"",Roster!$R$28)</f>
        <v>RIOTOUS ROOKIES</v>
      </c>
      <c r="E11" s="395"/>
      <c r="F11" s="396"/>
      <c r="G11" s="113"/>
      <c r="H11" s="446" t="str">
        <f>IF(Roster!$AD$23=0,"",Roster!$AD$23)</f>
        <v>WIZARDS</v>
      </c>
      <c r="I11" s="395"/>
      <c r="J11" s="396"/>
      <c r="K11" s="113"/>
      <c r="L11" s="443" t="str">
        <f>IF(Roster!$AD$22=0,"",Roster!$AD$22)</f>
        <v>WEATHER MAGE</v>
      </c>
      <c r="M11" s="395"/>
      <c r="N11" s="396"/>
      <c r="O11" s="114"/>
      <c r="P11" s="14"/>
      <c r="Q11" s="109" t="str">
        <f>IF(Roster!$M$1=0,"",Roster!$M$1)</f>
        <v>PA</v>
      </c>
      <c r="R11" s="403"/>
      <c r="S11" s="450"/>
      <c r="T11" s="357"/>
      <c r="U11" s="357"/>
      <c r="V11" s="357"/>
      <c r="W11" s="357"/>
      <c r="X11" s="357"/>
      <c r="Y11" s="357"/>
      <c r="Z11" s="357"/>
      <c r="AA11" s="357"/>
      <c r="AB11" s="357"/>
      <c r="AC11" s="451"/>
      <c r="AD11" s="114"/>
      <c r="AE11" s="14"/>
      <c r="AF11" s="109" t="str">
        <f>IF(Roster!$M$1=0,"",Roster!$M$1)</f>
        <v>PA</v>
      </c>
      <c r="AG11" s="403"/>
      <c r="AH11" s="450"/>
      <c r="AI11" s="357"/>
      <c r="AJ11" s="357"/>
      <c r="AK11" s="357"/>
      <c r="AL11" s="357"/>
      <c r="AM11" s="357"/>
      <c r="AN11" s="357"/>
      <c r="AO11" s="357"/>
      <c r="AP11" s="357"/>
      <c r="AQ11" s="357"/>
      <c r="AR11" s="451"/>
      <c r="AS11" s="114"/>
      <c r="AT11" s="14"/>
      <c r="AU11" s="109" t="str">
        <f>IF(Roster!$M$1=0,"",Roster!$M$1)</f>
        <v>PA</v>
      </c>
      <c r="AV11" s="403"/>
      <c r="AW11" s="450"/>
      <c r="AX11" s="357"/>
      <c r="AY11" s="357"/>
      <c r="AZ11" s="357"/>
      <c r="BA11" s="357"/>
      <c r="BB11" s="357"/>
      <c r="BC11" s="357"/>
      <c r="BD11" s="357"/>
      <c r="BE11" s="357"/>
      <c r="BF11" s="357"/>
      <c r="BG11" s="451"/>
      <c r="BH11" s="114"/>
    </row>
    <row r="12" spans="1:60" ht="6" customHeight="1">
      <c r="A12" s="14"/>
      <c r="B12" s="403"/>
      <c r="C12" s="110"/>
      <c r="D12" s="447">
        <f>Roster!$W$28</f>
        <v>0</v>
      </c>
      <c r="E12" s="448"/>
      <c r="F12" s="449"/>
      <c r="G12" s="115"/>
      <c r="H12" s="447">
        <f>Roster!$AI$23</f>
        <v>0</v>
      </c>
      <c r="I12" s="448"/>
      <c r="J12" s="449"/>
      <c r="K12" s="115"/>
      <c r="L12" s="447">
        <f>Roster!$AI$22</f>
        <v>0</v>
      </c>
      <c r="M12" s="448"/>
      <c r="N12" s="449"/>
      <c r="O12" s="116"/>
      <c r="P12" s="14"/>
      <c r="Q12" s="457" t="str">
        <f>IF(Roster!$M$2=0&amp;"+","",Roster!$M$2)</f>
        <v/>
      </c>
      <c r="R12" s="403"/>
      <c r="S12" s="452"/>
      <c r="T12" s="453"/>
      <c r="U12" s="453"/>
      <c r="V12" s="453"/>
      <c r="W12" s="453"/>
      <c r="X12" s="453"/>
      <c r="Y12" s="453"/>
      <c r="Z12" s="453"/>
      <c r="AA12" s="453"/>
      <c r="AB12" s="453"/>
      <c r="AC12" s="454"/>
      <c r="AD12" s="116"/>
      <c r="AE12" s="14"/>
      <c r="AF12" s="457" t="str">
        <f>IF(Roster!$M$3=0&amp;"+","",Roster!$M$3)</f>
        <v/>
      </c>
      <c r="AG12" s="403"/>
      <c r="AH12" s="452"/>
      <c r="AI12" s="453"/>
      <c r="AJ12" s="453"/>
      <c r="AK12" s="453"/>
      <c r="AL12" s="453"/>
      <c r="AM12" s="453"/>
      <c r="AN12" s="453"/>
      <c r="AO12" s="453"/>
      <c r="AP12" s="453"/>
      <c r="AQ12" s="453"/>
      <c r="AR12" s="454"/>
      <c r="AS12" s="116"/>
      <c r="AT12" s="14"/>
      <c r="AU12" s="457" t="str">
        <f>IF(Roster!$M$4=0&amp;"+","",Roster!$M$4)</f>
        <v/>
      </c>
      <c r="AV12" s="403"/>
      <c r="AW12" s="452"/>
      <c r="AX12" s="453"/>
      <c r="AY12" s="453"/>
      <c r="AZ12" s="453"/>
      <c r="BA12" s="453"/>
      <c r="BB12" s="453"/>
      <c r="BC12" s="453"/>
      <c r="BD12" s="453"/>
      <c r="BE12" s="453"/>
      <c r="BF12" s="453"/>
      <c r="BG12" s="454"/>
      <c r="BH12" s="116"/>
    </row>
    <row r="13" spans="1:60" ht="4.5" customHeight="1">
      <c r="A13" s="14"/>
      <c r="B13" s="403"/>
      <c r="C13" s="110"/>
      <c r="D13" s="450"/>
      <c r="E13" s="357"/>
      <c r="F13" s="451"/>
      <c r="G13" s="115"/>
      <c r="H13" s="450"/>
      <c r="I13" s="357"/>
      <c r="J13" s="451"/>
      <c r="K13" s="115"/>
      <c r="L13" s="450"/>
      <c r="M13" s="357"/>
      <c r="N13" s="451"/>
      <c r="O13" s="116"/>
      <c r="P13" s="14"/>
      <c r="Q13" s="403"/>
      <c r="R13" s="403"/>
      <c r="S13" s="117"/>
      <c r="T13" s="118"/>
      <c r="U13" s="117"/>
      <c r="V13" s="118"/>
      <c r="W13" s="117"/>
      <c r="X13" s="118"/>
      <c r="Y13" s="117"/>
      <c r="Z13" s="118"/>
      <c r="AA13" s="117"/>
      <c r="AB13" s="118"/>
      <c r="AC13" s="117"/>
      <c r="AD13" s="116"/>
      <c r="AE13" s="14"/>
      <c r="AF13" s="403"/>
      <c r="AG13" s="403"/>
      <c r="AH13" s="117"/>
      <c r="AI13" s="118"/>
      <c r="AJ13" s="117"/>
      <c r="AK13" s="118"/>
      <c r="AL13" s="117"/>
      <c r="AM13" s="118"/>
      <c r="AN13" s="117"/>
      <c r="AO13" s="118"/>
      <c r="AP13" s="117"/>
      <c r="AQ13" s="118"/>
      <c r="AR13" s="117"/>
      <c r="AS13" s="116"/>
      <c r="AT13" s="14"/>
      <c r="AU13" s="403"/>
      <c r="AV13" s="403"/>
      <c r="AW13" s="117"/>
      <c r="AX13" s="118"/>
      <c r="AY13" s="117"/>
      <c r="AZ13" s="118"/>
      <c r="BA13" s="117"/>
      <c r="BB13" s="118"/>
      <c r="BC13" s="117"/>
      <c r="BD13" s="118"/>
      <c r="BE13" s="117"/>
      <c r="BF13" s="118"/>
      <c r="BG13" s="117"/>
      <c r="BH13" s="116"/>
    </row>
    <row r="14" spans="1:60" ht="11.25" customHeight="1">
      <c r="A14" s="14"/>
      <c r="B14" s="403"/>
      <c r="C14" s="110"/>
      <c r="D14" s="450"/>
      <c r="E14" s="357"/>
      <c r="F14" s="451"/>
      <c r="G14" s="115"/>
      <c r="H14" s="450"/>
      <c r="I14" s="357"/>
      <c r="J14" s="451"/>
      <c r="K14" s="115"/>
      <c r="L14" s="450"/>
      <c r="M14" s="357"/>
      <c r="N14" s="451"/>
      <c r="O14" s="116"/>
      <c r="P14" s="14"/>
      <c r="Q14" s="403"/>
      <c r="R14" s="403"/>
      <c r="S14" s="461" t="str">
        <f>IF(Roster!$J$24="Italiano","ABILITÀ &amp; TRATTI",(IF(Roster!$J$24="Español","HABILIDADES Y RASGOS","SKILLS &amp; TRAITS")))</f>
        <v>SKILLS &amp; TRAITS</v>
      </c>
      <c r="T14" s="395"/>
      <c r="U14" s="395"/>
      <c r="V14" s="395"/>
      <c r="W14" s="395"/>
      <c r="X14" s="395"/>
      <c r="Y14" s="395"/>
      <c r="Z14" s="395"/>
      <c r="AA14" s="395"/>
      <c r="AB14" s="395"/>
      <c r="AC14" s="396"/>
      <c r="AD14" s="116"/>
      <c r="AE14" s="14"/>
      <c r="AF14" s="403"/>
      <c r="AG14" s="403"/>
      <c r="AH14" s="461" t="str">
        <f>IF(Roster!$J$24="Italiano","ABILITÀ &amp; TRATTI",(IF(Roster!$J$24="Español","HABILIDADES Y RASGOS","SKILLS &amp; TRAITS")))</f>
        <v>SKILLS &amp; TRAITS</v>
      </c>
      <c r="AI14" s="395"/>
      <c r="AJ14" s="395"/>
      <c r="AK14" s="395"/>
      <c r="AL14" s="395"/>
      <c r="AM14" s="395"/>
      <c r="AN14" s="395"/>
      <c r="AO14" s="395"/>
      <c r="AP14" s="395"/>
      <c r="AQ14" s="395"/>
      <c r="AR14" s="396"/>
      <c r="AS14" s="116"/>
      <c r="AT14" s="14"/>
      <c r="AU14" s="403"/>
      <c r="AV14" s="403"/>
      <c r="AW14" s="461" t="str">
        <f>IF(Roster!$J$24="Italiano","ABILITÀ &amp; TRATTI",(IF(Roster!$J$24="Español","HABILIDADES Y RASGOS","SKILLS &amp; TRAITS")))</f>
        <v>SKILLS &amp; TRAITS</v>
      </c>
      <c r="AX14" s="395"/>
      <c r="AY14" s="395"/>
      <c r="AZ14" s="395"/>
      <c r="BA14" s="395"/>
      <c r="BB14" s="395"/>
      <c r="BC14" s="395"/>
      <c r="BD14" s="395"/>
      <c r="BE14" s="395"/>
      <c r="BF14" s="395"/>
      <c r="BG14" s="396"/>
      <c r="BH14" s="116"/>
    </row>
    <row r="15" spans="1:60" ht="15" customHeight="1">
      <c r="A15" s="14"/>
      <c r="B15" s="403"/>
      <c r="C15" s="110"/>
      <c r="D15" s="450"/>
      <c r="E15" s="357"/>
      <c r="F15" s="451"/>
      <c r="G15" s="110"/>
      <c r="H15" s="450"/>
      <c r="I15" s="357"/>
      <c r="J15" s="451"/>
      <c r="K15" s="110"/>
      <c r="L15" s="450"/>
      <c r="M15" s="357"/>
      <c r="N15" s="451"/>
      <c r="O15" s="116"/>
      <c r="P15" s="14"/>
      <c r="Q15" s="403"/>
      <c r="R15" s="403"/>
      <c r="S15" s="460" t="str">
        <f>IF(Roster!$O$2=0,"",Roster!$O$2&amp;Roster!BF2)</f>
        <v>Regeneration, Stand Firm, Thick Skull, Block</v>
      </c>
      <c r="T15" s="448"/>
      <c r="U15" s="448"/>
      <c r="V15" s="448"/>
      <c r="W15" s="448"/>
      <c r="X15" s="448"/>
      <c r="Y15" s="448"/>
      <c r="Z15" s="448"/>
      <c r="AA15" s="448"/>
      <c r="AB15" s="448"/>
      <c r="AC15" s="449"/>
      <c r="AD15" s="116"/>
      <c r="AE15" s="14"/>
      <c r="AF15" s="403"/>
      <c r="AG15" s="403"/>
      <c r="AH15" s="460" t="str">
        <f>IF(Roster!$O$3=0,"",Roster!$O$3&amp;Roster!BF3)</f>
        <v>Regeneration, Stand Firm, Thick Skull, Block</v>
      </c>
      <c r="AI15" s="448"/>
      <c r="AJ15" s="448"/>
      <c r="AK15" s="448"/>
      <c r="AL15" s="448"/>
      <c r="AM15" s="448"/>
      <c r="AN15" s="448"/>
      <c r="AO15" s="448"/>
      <c r="AP15" s="448"/>
      <c r="AQ15" s="448"/>
      <c r="AR15" s="449"/>
      <c r="AS15" s="116"/>
      <c r="AT15" s="14"/>
      <c r="AU15" s="403"/>
      <c r="AV15" s="403"/>
      <c r="AW15" s="460" t="str">
        <f>IF(Roster!$O$4=0,"",Roster!$O$4&amp;Roster!BF4)</f>
        <v>Block, Foul Appearance, No Hands, Regeneration, Side Step, Guard</v>
      </c>
      <c r="AX15" s="448"/>
      <c r="AY15" s="448"/>
      <c r="AZ15" s="448"/>
      <c r="BA15" s="448"/>
      <c r="BB15" s="448"/>
      <c r="BC15" s="448"/>
      <c r="BD15" s="448"/>
      <c r="BE15" s="448"/>
      <c r="BF15" s="448"/>
      <c r="BG15" s="449"/>
      <c r="BH15" s="116"/>
    </row>
    <row r="16" spans="1:60" ht="4.5" customHeight="1">
      <c r="A16" s="14"/>
      <c r="B16" s="403"/>
      <c r="C16" s="110"/>
      <c r="D16" s="452"/>
      <c r="E16" s="453"/>
      <c r="F16" s="454"/>
      <c r="G16" s="110"/>
      <c r="H16" s="452"/>
      <c r="I16" s="453"/>
      <c r="J16" s="454"/>
      <c r="K16" s="110"/>
      <c r="L16" s="452"/>
      <c r="M16" s="453"/>
      <c r="N16" s="454"/>
      <c r="O16" s="116"/>
      <c r="P16" s="14"/>
      <c r="Q16" s="404"/>
      <c r="R16" s="403"/>
      <c r="S16" s="450"/>
      <c r="T16" s="357"/>
      <c r="U16" s="357"/>
      <c r="V16" s="357"/>
      <c r="W16" s="357"/>
      <c r="X16" s="357"/>
      <c r="Y16" s="357"/>
      <c r="Z16" s="357"/>
      <c r="AA16" s="357"/>
      <c r="AB16" s="357"/>
      <c r="AC16" s="451"/>
      <c r="AD16" s="116"/>
      <c r="AE16" s="14"/>
      <c r="AF16" s="404"/>
      <c r="AG16" s="403"/>
      <c r="AH16" s="450"/>
      <c r="AI16" s="357"/>
      <c r="AJ16" s="357"/>
      <c r="AK16" s="357"/>
      <c r="AL16" s="357"/>
      <c r="AM16" s="357"/>
      <c r="AN16" s="357"/>
      <c r="AO16" s="357"/>
      <c r="AP16" s="357"/>
      <c r="AQ16" s="357"/>
      <c r="AR16" s="451"/>
      <c r="AS16" s="116"/>
      <c r="AT16" s="14"/>
      <c r="AU16" s="404"/>
      <c r="AV16" s="403"/>
      <c r="AW16" s="450"/>
      <c r="AX16" s="357"/>
      <c r="AY16" s="357"/>
      <c r="AZ16" s="357"/>
      <c r="BA16" s="357"/>
      <c r="BB16" s="357"/>
      <c r="BC16" s="357"/>
      <c r="BD16" s="357"/>
      <c r="BE16" s="357"/>
      <c r="BF16" s="357"/>
      <c r="BG16" s="451"/>
      <c r="BH16" s="116"/>
    </row>
    <row r="17" spans="1:60" ht="11.25" customHeight="1">
      <c r="A17" s="14"/>
      <c r="B17" s="403"/>
      <c r="C17" s="109"/>
      <c r="D17" s="443" t="str">
        <f>IF(Roster!$R$29=0,"",Roster!$R$29)</f>
        <v>SPECIAL CARD</v>
      </c>
      <c r="E17" s="395"/>
      <c r="F17" s="396"/>
      <c r="G17" s="109"/>
      <c r="H17" s="446" t="str">
        <f>IF(Roster!$AD$24=0,"",Roster!$AD$24)</f>
        <v>(IN)FAMOUS COACHES</v>
      </c>
      <c r="I17" s="395"/>
      <c r="J17" s="396"/>
      <c r="K17" s="109"/>
      <c r="L17" s="446" t="str">
        <f>IF(Roster!$AD$25=0,"",Roster!$AD$25)</f>
        <v>(IN)FAMOUS COACHES</v>
      </c>
      <c r="M17" s="395"/>
      <c r="N17" s="396"/>
      <c r="O17" s="105"/>
      <c r="P17" s="14"/>
      <c r="Q17" s="109" t="str">
        <f>IF(Roster!$N$1=0,"",Roster!$N$1)</f>
        <v>AV</v>
      </c>
      <c r="R17" s="403"/>
      <c r="S17" s="450"/>
      <c r="T17" s="357"/>
      <c r="U17" s="357"/>
      <c r="V17" s="357"/>
      <c r="W17" s="357"/>
      <c r="X17" s="357"/>
      <c r="Y17" s="357"/>
      <c r="Z17" s="357"/>
      <c r="AA17" s="357"/>
      <c r="AB17" s="357"/>
      <c r="AC17" s="451"/>
      <c r="AD17" s="105"/>
      <c r="AE17" s="14"/>
      <c r="AF17" s="109" t="str">
        <f>IF(Roster!$N$1=0,"",Roster!$N$1)</f>
        <v>AV</v>
      </c>
      <c r="AG17" s="403"/>
      <c r="AH17" s="450"/>
      <c r="AI17" s="357"/>
      <c r="AJ17" s="357"/>
      <c r="AK17" s="357"/>
      <c r="AL17" s="357"/>
      <c r="AM17" s="357"/>
      <c r="AN17" s="357"/>
      <c r="AO17" s="357"/>
      <c r="AP17" s="357"/>
      <c r="AQ17" s="357"/>
      <c r="AR17" s="451"/>
      <c r="AS17" s="105"/>
      <c r="AT17" s="14"/>
      <c r="AU17" s="109" t="str">
        <f>IF(Roster!$N$1=0,"",Roster!$N$1)</f>
        <v>AV</v>
      </c>
      <c r="AV17" s="403"/>
      <c r="AW17" s="450"/>
      <c r="AX17" s="357"/>
      <c r="AY17" s="357"/>
      <c r="AZ17" s="357"/>
      <c r="BA17" s="357"/>
      <c r="BB17" s="357"/>
      <c r="BC17" s="357"/>
      <c r="BD17" s="357"/>
      <c r="BE17" s="357"/>
      <c r="BF17" s="357"/>
      <c r="BG17" s="451"/>
      <c r="BH17" s="105"/>
    </row>
    <row r="18" spans="1:60" ht="15" customHeight="1">
      <c r="A18" s="14"/>
      <c r="B18" s="403"/>
      <c r="C18" s="110"/>
      <c r="D18" s="447">
        <f>Roster!$W$29</f>
        <v>0</v>
      </c>
      <c r="E18" s="448"/>
      <c r="F18" s="449"/>
      <c r="G18" s="110"/>
      <c r="H18" s="447">
        <f>Roster!$AI$24</f>
        <v>0</v>
      </c>
      <c r="I18" s="448"/>
      <c r="J18" s="449"/>
      <c r="K18" s="110"/>
      <c r="L18" s="447">
        <f>Roster!$AI$24</f>
        <v>0</v>
      </c>
      <c r="M18" s="448"/>
      <c r="N18" s="449"/>
      <c r="O18" s="119"/>
      <c r="P18" s="14"/>
      <c r="Q18" s="457" t="str">
        <f>IF(Roster!$N$2=0&amp;"+","",Roster!$N$2)</f>
        <v>10+</v>
      </c>
      <c r="R18" s="403"/>
      <c r="S18" s="450"/>
      <c r="T18" s="357"/>
      <c r="U18" s="357"/>
      <c r="V18" s="357"/>
      <c r="W18" s="357"/>
      <c r="X18" s="357"/>
      <c r="Y18" s="357"/>
      <c r="Z18" s="357"/>
      <c r="AA18" s="357"/>
      <c r="AB18" s="357"/>
      <c r="AC18" s="451"/>
      <c r="AD18" s="119"/>
      <c r="AE18" s="14"/>
      <c r="AF18" s="457" t="str">
        <f>IF(Roster!$N$3=0&amp;"+","",Roster!$N$3)</f>
        <v>10+</v>
      </c>
      <c r="AG18" s="403"/>
      <c r="AH18" s="450"/>
      <c r="AI18" s="357"/>
      <c r="AJ18" s="357"/>
      <c r="AK18" s="357"/>
      <c r="AL18" s="357"/>
      <c r="AM18" s="357"/>
      <c r="AN18" s="357"/>
      <c r="AO18" s="357"/>
      <c r="AP18" s="357"/>
      <c r="AQ18" s="357"/>
      <c r="AR18" s="451"/>
      <c r="AS18" s="119"/>
      <c r="AT18" s="14"/>
      <c r="AU18" s="457" t="str">
        <f>IF(Roster!$N$4=0&amp;"+","",Roster!$N$4)</f>
        <v>9+</v>
      </c>
      <c r="AV18" s="403"/>
      <c r="AW18" s="450"/>
      <c r="AX18" s="357"/>
      <c r="AY18" s="357"/>
      <c r="AZ18" s="357"/>
      <c r="BA18" s="357"/>
      <c r="BB18" s="357"/>
      <c r="BC18" s="357"/>
      <c r="BD18" s="357"/>
      <c r="BE18" s="357"/>
      <c r="BF18" s="357"/>
      <c r="BG18" s="451"/>
      <c r="BH18" s="119"/>
    </row>
    <row r="19" spans="1:60" ht="4.5" customHeight="1">
      <c r="A19" s="14"/>
      <c r="B19" s="403"/>
      <c r="C19" s="110"/>
      <c r="D19" s="450"/>
      <c r="E19" s="357"/>
      <c r="F19" s="451"/>
      <c r="G19" s="110"/>
      <c r="H19" s="450"/>
      <c r="I19" s="357"/>
      <c r="J19" s="451"/>
      <c r="K19" s="110"/>
      <c r="L19" s="450"/>
      <c r="M19" s="357"/>
      <c r="N19" s="451"/>
      <c r="O19" s="119"/>
      <c r="P19" s="14"/>
      <c r="Q19" s="403"/>
      <c r="R19" s="403"/>
      <c r="S19" s="450"/>
      <c r="T19" s="357"/>
      <c r="U19" s="357"/>
      <c r="V19" s="357"/>
      <c r="W19" s="357"/>
      <c r="X19" s="357"/>
      <c r="Y19" s="357"/>
      <c r="Z19" s="357"/>
      <c r="AA19" s="357"/>
      <c r="AB19" s="357"/>
      <c r="AC19" s="451"/>
      <c r="AD19" s="119"/>
      <c r="AE19" s="14"/>
      <c r="AF19" s="403"/>
      <c r="AG19" s="403"/>
      <c r="AH19" s="450"/>
      <c r="AI19" s="357"/>
      <c r="AJ19" s="357"/>
      <c r="AK19" s="357"/>
      <c r="AL19" s="357"/>
      <c r="AM19" s="357"/>
      <c r="AN19" s="357"/>
      <c r="AO19" s="357"/>
      <c r="AP19" s="357"/>
      <c r="AQ19" s="357"/>
      <c r="AR19" s="451"/>
      <c r="AS19" s="119"/>
      <c r="AT19" s="14"/>
      <c r="AU19" s="403"/>
      <c r="AV19" s="403"/>
      <c r="AW19" s="450"/>
      <c r="AX19" s="357"/>
      <c r="AY19" s="357"/>
      <c r="AZ19" s="357"/>
      <c r="BA19" s="357"/>
      <c r="BB19" s="357"/>
      <c r="BC19" s="357"/>
      <c r="BD19" s="357"/>
      <c r="BE19" s="357"/>
      <c r="BF19" s="357"/>
      <c r="BG19" s="451"/>
      <c r="BH19" s="119"/>
    </row>
    <row r="20" spans="1:60" ht="11.25" customHeight="1">
      <c r="A20" s="14"/>
      <c r="B20" s="403"/>
      <c r="C20" s="110"/>
      <c r="D20" s="450"/>
      <c r="E20" s="357"/>
      <c r="F20" s="451"/>
      <c r="G20" s="114"/>
      <c r="H20" s="450"/>
      <c r="I20" s="357"/>
      <c r="J20" s="451"/>
      <c r="K20" s="114"/>
      <c r="L20" s="450"/>
      <c r="M20" s="357"/>
      <c r="N20" s="451"/>
      <c r="O20" s="119"/>
      <c r="P20" s="14"/>
      <c r="Q20" s="403"/>
      <c r="R20" s="403"/>
      <c r="S20" s="450"/>
      <c r="T20" s="357"/>
      <c r="U20" s="357"/>
      <c r="V20" s="357"/>
      <c r="W20" s="357"/>
      <c r="X20" s="357"/>
      <c r="Y20" s="357"/>
      <c r="Z20" s="357"/>
      <c r="AA20" s="357"/>
      <c r="AB20" s="357"/>
      <c r="AC20" s="451"/>
      <c r="AD20" s="119"/>
      <c r="AE20" s="14"/>
      <c r="AF20" s="403"/>
      <c r="AG20" s="403"/>
      <c r="AH20" s="450"/>
      <c r="AI20" s="357"/>
      <c r="AJ20" s="357"/>
      <c r="AK20" s="357"/>
      <c r="AL20" s="357"/>
      <c r="AM20" s="357"/>
      <c r="AN20" s="357"/>
      <c r="AO20" s="357"/>
      <c r="AP20" s="357"/>
      <c r="AQ20" s="357"/>
      <c r="AR20" s="451"/>
      <c r="AS20" s="119"/>
      <c r="AT20" s="14"/>
      <c r="AU20" s="403"/>
      <c r="AV20" s="403"/>
      <c r="AW20" s="450"/>
      <c r="AX20" s="357"/>
      <c r="AY20" s="357"/>
      <c r="AZ20" s="357"/>
      <c r="BA20" s="357"/>
      <c r="BB20" s="357"/>
      <c r="BC20" s="357"/>
      <c r="BD20" s="357"/>
      <c r="BE20" s="357"/>
      <c r="BF20" s="357"/>
      <c r="BG20" s="451"/>
      <c r="BH20" s="119"/>
    </row>
    <row r="21" spans="1:60" ht="6.75" customHeight="1">
      <c r="A21" s="14"/>
      <c r="B21" s="403"/>
      <c r="C21" s="110"/>
      <c r="D21" s="452"/>
      <c r="E21" s="453"/>
      <c r="F21" s="454"/>
      <c r="G21" s="120"/>
      <c r="H21" s="452"/>
      <c r="I21" s="453"/>
      <c r="J21" s="454"/>
      <c r="K21" s="120"/>
      <c r="L21" s="452"/>
      <c r="M21" s="453"/>
      <c r="N21" s="454"/>
      <c r="O21" s="119"/>
      <c r="P21" s="14"/>
      <c r="Q21" s="404"/>
      <c r="R21" s="403"/>
      <c r="S21" s="450"/>
      <c r="T21" s="357"/>
      <c r="U21" s="357"/>
      <c r="V21" s="357"/>
      <c r="W21" s="357"/>
      <c r="X21" s="357"/>
      <c r="Y21" s="357"/>
      <c r="Z21" s="357"/>
      <c r="AA21" s="357"/>
      <c r="AB21" s="357"/>
      <c r="AC21" s="451"/>
      <c r="AD21" s="119"/>
      <c r="AE21" s="14"/>
      <c r="AF21" s="404"/>
      <c r="AG21" s="403"/>
      <c r="AH21" s="450"/>
      <c r="AI21" s="357"/>
      <c r="AJ21" s="357"/>
      <c r="AK21" s="357"/>
      <c r="AL21" s="357"/>
      <c r="AM21" s="357"/>
      <c r="AN21" s="357"/>
      <c r="AO21" s="357"/>
      <c r="AP21" s="357"/>
      <c r="AQ21" s="357"/>
      <c r="AR21" s="451"/>
      <c r="AS21" s="119"/>
      <c r="AT21" s="14"/>
      <c r="AU21" s="404"/>
      <c r="AV21" s="403"/>
      <c r="AW21" s="450"/>
      <c r="AX21" s="357"/>
      <c r="AY21" s="357"/>
      <c r="AZ21" s="357"/>
      <c r="BA21" s="357"/>
      <c r="BB21" s="357"/>
      <c r="BC21" s="357"/>
      <c r="BD21" s="357"/>
      <c r="BE21" s="357"/>
      <c r="BF21" s="357"/>
      <c r="BG21" s="451"/>
      <c r="BH21" s="119"/>
    </row>
    <row r="22" spans="1:60" ht="11.25" customHeight="1">
      <c r="A22" s="14"/>
      <c r="B22" s="403"/>
      <c r="C22" s="107"/>
      <c r="D22" s="446" t="str">
        <f>IF(Roster!$AD$26=0,"",Roster!$AD$26)</f>
        <v>BIASED REFEREE</v>
      </c>
      <c r="E22" s="395"/>
      <c r="F22" s="396"/>
      <c r="G22" s="120"/>
      <c r="H22" s="446" t="str">
        <f>IF(Roster!$AD$27=0,"",Roster!$AD$27)</f>
        <v>OTHER INDUCEMENTS</v>
      </c>
      <c r="I22" s="395"/>
      <c r="J22" s="396"/>
      <c r="K22" s="120"/>
      <c r="L22" s="443" t="str">
        <f>IF(Roster!$AD$28=0,"",Roster!$AD$28)</f>
        <v>WANDERING APO</v>
      </c>
      <c r="M22" s="395"/>
      <c r="N22" s="396"/>
      <c r="O22" s="120"/>
      <c r="P22" s="14"/>
      <c r="Q22" s="109" t="str">
        <f>IF(Roster!$AN$1=0,"",Roster!$AN$1)</f>
        <v>COST</v>
      </c>
      <c r="R22" s="403"/>
      <c r="S22" s="450"/>
      <c r="T22" s="357"/>
      <c r="U22" s="357"/>
      <c r="V22" s="357"/>
      <c r="W22" s="357"/>
      <c r="X22" s="357"/>
      <c r="Y22" s="357"/>
      <c r="Z22" s="357"/>
      <c r="AA22" s="357"/>
      <c r="AB22" s="357"/>
      <c r="AC22" s="451"/>
      <c r="AD22" s="120"/>
      <c r="AE22" s="14"/>
      <c r="AF22" s="109" t="str">
        <f>IF(Roster!$AN$1=0,"",Roster!$AN$1)</f>
        <v>COST</v>
      </c>
      <c r="AG22" s="403"/>
      <c r="AH22" s="450"/>
      <c r="AI22" s="357"/>
      <c r="AJ22" s="357"/>
      <c r="AK22" s="357"/>
      <c r="AL22" s="357"/>
      <c r="AM22" s="357"/>
      <c r="AN22" s="357"/>
      <c r="AO22" s="357"/>
      <c r="AP22" s="357"/>
      <c r="AQ22" s="357"/>
      <c r="AR22" s="451"/>
      <c r="AS22" s="120"/>
      <c r="AT22" s="14"/>
      <c r="AU22" s="109" t="str">
        <f>IF(Roster!$AN$1=0,"",Roster!$AN$1)</f>
        <v>COST</v>
      </c>
      <c r="AV22" s="403"/>
      <c r="AW22" s="450"/>
      <c r="AX22" s="357"/>
      <c r="AY22" s="357"/>
      <c r="AZ22" s="357"/>
      <c r="BA22" s="357"/>
      <c r="BB22" s="357"/>
      <c r="BC22" s="357"/>
      <c r="BD22" s="357"/>
      <c r="BE22" s="357"/>
      <c r="BF22" s="357"/>
      <c r="BG22" s="451"/>
      <c r="BH22" s="120"/>
    </row>
    <row r="23" spans="1:60" ht="34.5" customHeight="1">
      <c r="A23" s="14"/>
      <c r="B23" s="404"/>
      <c r="C23" s="121"/>
      <c r="D23" s="456">
        <f>Roster!$AI$26</f>
        <v>0</v>
      </c>
      <c r="E23" s="395"/>
      <c r="F23" s="396"/>
      <c r="G23" s="120"/>
      <c r="H23" s="456">
        <f>Roster!$AI$27</f>
        <v>0</v>
      </c>
      <c r="I23" s="395"/>
      <c r="J23" s="396"/>
      <c r="K23" s="120"/>
      <c r="L23" s="456">
        <f>Roster!$AI$28</f>
        <v>0</v>
      </c>
      <c r="M23" s="395"/>
      <c r="N23" s="396"/>
      <c r="O23" s="120"/>
      <c r="P23" s="14"/>
      <c r="Q23" s="122">
        <f>IF(Roster!$AN$2=0,"",Roster!$AN$2)</f>
        <v>115000</v>
      </c>
      <c r="R23" s="404"/>
      <c r="S23" s="452"/>
      <c r="T23" s="453"/>
      <c r="U23" s="453"/>
      <c r="V23" s="453"/>
      <c r="W23" s="453"/>
      <c r="X23" s="453"/>
      <c r="Y23" s="453"/>
      <c r="Z23" s="453"/>
      <c r="AA23" s="453"/>
      <c r="AB23" s="453"/>
      <c r="AC23" s="454"/>
      <c r="AD23" s="120"/>
      <c r="AE23" s="14"/>
      <c r="AF23" s="122">
        <f>IF(Roster!$AN$3=0,"",Roster!$AN$3)</f>
        <v>115000</v>
      </c>
      <c r="AG23" s="404"/>
      <c r="AH23" s="452"/>
      <c r="AI23" s="453"/>
      <c r="AJ23" s="453"/>
      <c r="AK23" s="453"/>
      <c r="AL23" s="453"/>
      <c r="AM23" s="453"/>
      <c r="AN23" s="453"/>
      <c r="AO23" s="453"/>
      <c r="AP23" s="453"/>
      <c r="AQ23" s="453"/>
      <c r="AR23" s="454"/>
      <c r="AS23" s="120"/>
      <c r="AT23" s="14"/>
      <c r="AU23" s="122">
        <f>IF(Roster!$AN$4=0,"",Roster!$AN$4)</f>
        <v>95000</v>
      </c>
      <c r="AV23" s="404"/>
      <c r="AW23" s="452"/>
      <c r="AX23" s="453"/>
      <c r="AY23" s="453"/>
      <c r="AZ23" s="453"/>
      <c r="BA23" s="453"/>
      <c r="BB23" s="453"/>
      <c r="BC23" s="453"/>
      <c r="BD23" s="453"/>
      <c r="BE23" s="453"/>
      <c r="BF23" s="453"/>
      <c r="BG23" s="454"/>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55" t="str">
        <f>IF(Roster!$A$5=0,"","#"&amp;Roster!$A$5)</f>
        <v>#4</v>
      </c>
      <c r="C26" s="105"/>
      <c r="D26" s="105"/>
      <c r="E26" s="105"/>
      <c r="F26" s="105"/>
      <c r="G26" s="105"/>
      <c r="H26" s="105"/>
      <c r="I26" s="105"/>
      <c r="J26" s="105"/>
      <c r="K26" s="105"/>
      <c r="L26" s="105"/>
      <c r="M26" s="105"/>
      <c r="N26" s="105"/>
      <c r="O26" s="105"/>
      <c r="P26" s="14"/>
      <c r="Q26" s="455" t="str">
        <f>IF(Roster!$A$6=0,"","#"&amp;Roster!$A$6)</f>
        <v>#5</v>
      </c>
      <c r="R26" s="105"/>
      <c r="S26" s="105"/>
      <c r="T26" s="105"/>
      <c r="U26" s="105"/>
      <c r="V26" s="105"/>
      <c r="W26" s="105"/>
      <c r="X26" s="105"/>
      <c r="Y26" s="105"/>
      <c r="Z26" s="105"/>
      <c r="AA26" s="105"/>
      <c r="AB26" s="105"/>
      <c r="AC26" s="105"/>
      <c r="AD26" s="105"/>
      <c r="AE26" s="14"/>
      <c r="AF26" s="455" t="str">
        <f>IF(Roster!$A$7=0,"","#"&amp;Roster!$A$7)</f>
        <v>#6</v>
      </c>
      <c r="AG26" s="105"/>
      <c r="AH26" s="105"/>
      <c r="AI26" s="105"/>
      <c r="AJ26" s="105"/>
      <c r="AK26" s="105"/>
      <c r="AL26" s="105"/>
      <c r="AM26" s="105"/>
      <c r="AN26" s="105"/>
      <c r="AO26" s="105"/>
      <c r="AP26" s="105"/>
      <c r="AQ26" s="105"/>
      <c r="AR26" s="105"/>
      <c r="AS26" s="105"/>
      <c r="AT26" s="14"/>
      <c r="AU26" s="455" t="str">
        <f>IF(Roster!$A$8=0,"","#"&amp;Roster!$A$8)</f>
        <v>#7</v>
      </c>
      <c r="AV26" s="105"/>
      <c r="AW26" s="105"/>
      <c r="AX26" s="105"/>
      <c r="AY26" s="105"/>
      <c r="AZ26" s="105"/>
      <c r="BA26" s="105"/>
      <c r="BB26" s="105"/>
      <c r="BC26" s="105"/>
      <c r="BD26" s="105"/>
      <c r="BE26" s="105"/>
      <c r="BF26" s="105"/>
      <c r="BG26" s="105"/>
      <c r="BH26" s="105"/>
    </row>
    <row r="27" spans="1:60" ht="15" customHeight="1">
      <c r="A27" s="14"/>
      <c r="B27" s="403"/>
      <c r="C27" s="445" t="str">
        <f>IF(Roster!$B$5=0,"",Roster!$B$5)</f>
        <v>Kikimuoro</v>
      </c>
      <c r="D27" s="395"/>
      <c r="E27" s="395"/>
      <c r="F27" s="395"/>
      <c r="G27" s="395"/>
      <c r="H27" s="395"/>
      <c r="I27" s="395"/>
      <c r="J27" s="395"/>
      <c r="K27" s="395"/>
      <c r="L27" s="395"/>
      <c r="M27" s="395"/>
      <c r="N27" s="396"/>
      <c r="O27" s="105"/>
      <c r="P27" s="14"/>
      <c r="Q27" s="403"/>
      <c r="R27" s="445" t="str">
        <f>IF(Roster!$B$6=0,"",Roster!$B$6)</f>
        <v>Marko Kravchenko</v>
      </c>
      <c r="S27" s="395"/>
      <c r="T27" s="395"/>
      <c r="U27" s="395"/>
      <c r="V27" s="395"/>
      <c r="W27" s="395"/>
      <c r="X27" s="395"/>
      <c r="Y27" s="395"/>
      <c r="Z27" s="395"/>
      <c r="AA27" s="395"/>
      <c r="AB27" s="395"/>
      <c r="AC27" s="396"/>
      <c r="AD27" s="105"/>
      <c r="AE27" s="14"/>
      <c r="AF27" s="403"/>
      <c r="AG27" s="445" t="str">
        <f>IF(Roster!$B$7=0,"",Roster!$B$7)</f>
        <v>Tamara Kravchenko</v>
      </c>
      <c r="AH27" s="395"/>
      <c r="AI27" s="395"/>
      <c r="AJ27" s="395"/>
      <c r="AK27" s="395"/>
      <c r="AL27" s="395"/>
      <c r="AM27" s="395"/>
      <c r="AN27" s="395"/>
      <c r="AO27" s="395"/>
      <c r="AP27" s="395"/>
      <c r="AQ27" s="395"/>
      <c r="AR27" s="396"/>
      <c r="AS27" s="105"/>
      <c r="AT27" s="14"/>
      <c r="AU27" s="403"/>
      <c r="AV27" s="445" t="str">
        <f>IF(Roster!$B$8=0,"",Roster!$B$8)</f>
        <v>Silbàn</v>
      </c>
      <c r="AW27" s="395"/>
      <c r="AX27" s="395"/>
      <c r="AY27" s="395"/>
      <c r="AZ27" s="395"/>
      <c r="BA27" s="395"/>
      <c r="BB27" s="395"/>
      <c r="BC27" s="395"/>
      <c r="BD27" s="395"/>
      <c r="BE27" s="395"/>
      <c r="BF27" s="395"/>
      <c r="BG27" s="396"/>
      <c r="BH27" s="105"/>
    </row>
    <row r="28" spans="1:60" ht="11.25" customHeight="1">
      <c r="A28" s="14"/>
      <c r="B28" s="404"/>
      <c r="C28" s="443" t="str">
        <f>IF(Roster!$C$5=0,"",Roster!$C$5)</f>
        <v>Wraiths</v>
      </c>
      <c r="D28" s="395"/>
      <c r="E28" s="395"/>
      <c r="F28" s="395"/>
      <c r="G28" s="395"/>
      <c r="H28" s="395"/>
      <c r="I28" s="395"/>
      <c r="J28" s="395"/>
      <c r="K28" s="395"/>
      <c r="L28" s="395"/>
      <c r="M28" s="395"/>
      <c r="N28" s="396"/>
      <c r="O28" s="106"/>
      <c r="P28" s="14"/>
      <c r="Q28" s="404"/>
      <c r="R28" s="443" t="str">
        <f>IF(Roster!$C$6=0,"",Roster!$C$6)</f>
        <v>Werewolf</v>
      </c>
      <c r="S28" s="395"/>
      <c r="T28" s="395"/>
      <c r="U28" s="395"/>
      <c r="V28" s="395"/>
      <c r="W28" s="395"/>
      <c r="X28" s="395"/>
      <c r="Y28" s="395"/>
      <c r="Z28" s="395"/>
      <c r="AA28" s="395"/>
      <c r="AB28" s="395"/>
      <c r="AC28" s="396"/>
      <c r="AD28" s="106"/>
      <c r="AE28" s="14"/>
      <c r="AF28" s="404"/>
      <c r="AG28" s="443" t="str">
        <f>IF(Roster!$C$7=0,"",Roster!$C$7)</f>
        <v>Werewolf</v>
      </c>
      <c r="AH28" s="395"/>
      <c r="AI28" s="395"/>
      <c r="AJ28" s="395"/>
      <c r="AK28" s="395"/>
      <c r="AL28" s="395"/>
      <c r="AM28" s="395"/>
      <c r="AN28" s="395"/>
      <c r="AO28" s="395"/>
      <c r="AP28" s="395"/>
      <c r="AQ28" s="395"/>
      <c r="AR28" s="396"/>
      <c r="AS28" s="106"/>
      <c r="AT28" s="14"/>
      <c r="AU28" s="404"/>
      <c r="AV28" s="443" t="str">
        <f>IF(Roster!$C$8=0,"",Roster!$C$8)</f>
        <v>Ghoul</v>
      </c>
      <c r="AW28" s="395"/>
      <c r="AX28" s="395"/>
      <c r="AY28" s="395"/>
      <c r="AZ28" s="395"/>
      <c r="BA28" s="395"/>
      <c r="BB28" s="395"/>
      <c r="BC28" s="395"/>
      <c r="BD28" s="395"/>
      <c r="BE28" s="395"/>
      <c r="BF28" s="395"/>
      <c r="BG28" s="396"/>
      <c r="BH28" s="106"/>
    </row>
    <row r="29" spans="1:60" ht="11.25" customHeight="1">
      <c r="A29" s="14"/>
      <c r="B29" s="109" t="str">
        <f>IF(Roster!$J$1=0,"",Roster!$J$1)</f>
        <v>MA</v>
      </c>
      <c r="C29" s="458"/>
      <c r="D29" s="395"/>
      <c r="E29" s="395"/>
      <c r="F29" s="395"/>
      <c r="G29" s="395"/>
      <c r="H29" s="395"/>
      <c r="I29" s="395"/>
      <c r="J29" s="395"/>
      <c r="K29" s="395"/>
      <c r="L29" s="395"/>
      <c r="M29" s="395"/>
      <c r="N29" s="396"/>
      <c r="O29" s="105"/>
      <c r="P29" s="14"/>
      <c r="Q29" s="109" t="str">
        <f>IF(Roster!$J$1=0,"",Roster!$J$1)</f>
        <v>MA</v>
      </c>
      <c r="R29" s="458"/>
      <c r="S29" s="395"/>
      <c r="T29" s="395"/>
      <c r="U29" s="395"/>
      <c r="V29" s="395"/>
      <c r="W29" s="395"/>
      <c r="X29" s="395"/>
      <c r="Y29" s="395"/>
      <c r="Z29" s="395"/>
      <c r="AA29" s="395"/>
      <c r="AB29" s="395"/>
      <c r="AC29" s="396"/>
      <c r="AD29" s="105"/>
      <c r="AE29" s="14"/>
      <c r="AF29" s="109" t="str">
        <f>IF(Roster!$J$1=0,"",Roster!$J$1)</f>
        <v>MA</v>
      </c>
      <c r="AG29" s="458"/>
      <c r="AH29" s="395"/>
      <c r="AI29" s="395"/>
      <c r="AJ29" s="395"/>
      <c r="AK29" s="395"/>
      <c r="AL29" s="395"/>
      <c r="AM29" s="395"/>
      <c r="AN29" s="395"/>
      <c r="AO29" s="395"/>
      <c r="AP29" s="395"/>
      <c r="AQ29" s="395"/>
      <c r="AR29" s="396"/>
      <c r="AS29" s="105"/>
      <c r="AT29" s="14"/>
      <c r="AU29" s="109" t="str">
        <f>IF(Roster!$J$1=0,"",Roster!$J$1)</f>
        <v>MA</v>
      </c>
      <c r="AV29" s="458"/>
      <c r="AW29" s="395"/>
      <c r="AX29" s="395"/>
      <c r="AY29" s="395"/>
      <c r="AZ29" s="395"/>
      <c r="BA29" s="395"/>
      <c r="BB29" s="395"/>
      <c r="BC29" s="395"/>
      <c r="BD29" s="395"/>
      <c r="BE29" s="395"/>
      <c r="BF29" s="395"/>
      <c r="BG29" s="396"/>
      <c r="BH29" s="105"/>
    </row>
    <row r="30" spans="1:60" ht="37.5" customHeight="1">
      <c r="A30" s="14"/>
      <c r="B30" s="111">
        <f>IF(Roster!$J$5=0,"",Roster!$J$5)</f>
        <v>6</v>
      </c>
      <c r="C30" s="462"/>
      <c r="D30" s="459"/>
      <c r="E30" s="448"/>
      <c r="F30" s="448"/>
      <c r="G30" s="448"/>
      <c r="H30" s="448"/>
      <c r="I30" s="448"/>
      <c r="J30" s="448"/>
      <c r="K30" s="448"/>
      <c r="L30" s="448"/>
      <c r="M30" s="448"/>
      <c r="N30" s="449"/>
      <c r="O30" s="105"/>
      <c r="P30" s="14"/>
      <c r="Q30" s="111">
        <f>IF(Roster!$J$6=0,"",Roster!$J$6)</f>
        <v>8</v>
      </c>
      <c r="R30" s="462"/>
      <c r="S30" s="459"/>
      <c r="T30" s="448"/>
      <c r="U30" s="448"/>
      <c r="V30" s="448"/>
      <c r="W30" s="448"/>
      <c r="X30" s="448"/>
      <c r="Y30" s="448"/>
      <c r="Z30" s="448"/>
      <c r="AA30" s="448"/>
      <c r="AB30" s="448"/>
      <c r="AC30" s="449"/>
      <c r="AD30" s="105"/>
      <c r="AE30" s="14"/>
      <c r="AF30" s="111">
        <f>IF(Roster!$J$7=0,"",Roster!$J$7)</f>
        <v>8</v>
      </c>
      <c r="AG30" s="462"/>
      <c r="AH30" s="459"/>
      <c r="AI30" s="448"/>
      <c r="AJ30" s="448"/>
      <c r="AK30" s="448"/>
      <c r="AL30" s="448"/>
      <c r="AM30" s="448"/>
      <c r="AN30" s="448"/>
      <c r="AO30" s="448"/>
      <c r="AP30" s="448"/>
      <c r="AQ30" s="448"/>
      <c r="AR30" s="449"/>
      <c r="AS30" s="105"/>
      <c r="AT30" s="14"/>
      <c r="AU30" s="111">
        <f>IF(Roster!$J$8=0,"",Roster!$J$8)</f>
        <v>7</v>
      </c>
      <c r="AV30" s="462"/>
      <c r="AW30" s="459"/>
      <c r="AX30" s="448"/>
      <c r="AY30" s="448"/>
      <c r="AZ30" s="448"/>
      <c r="BA30" s="448"/>
      <c r="BB30" s="448"/>
      <c r="BC30" s="448"/>
      <c r="BD30" s="448"/>
      <c r="BE30" s="448"/>
      <c r="BF30" s="448"/>
      <c r="BG30" s="449"/>
      <c r="BH30" s="105"/>
    </row>
    <row r="31" spans="1:60" ht="11.25" customHeight="1">
      <c r="A31" s="14"/>
      <c r="B31" s="109" t="str">
        <f>IF(Roster!$K$1=0,"",Roster!$K$1)</f>
        <v>ST</v>
      </c>
      <c r="C31" s="403"/>
      <c r="D31" s="450"/>
      <c r="E31" s="357"/>
      <c r="F31" s="357"/>
      <c r="G31" s="357"/>
      <c r="H31" s="357"/>
      <c r="I31" s="357"/>
      <c r="J31" s="357"/>
      <c r="K31" s="357"/>
      <c r="L31" s="357"/>
      <c r="M31" s="357"/>
      <c r="N31" s="451"/>
      <c r="O31" s="105"/>
      <c r="P31" s="14"/>
      <c r="Q31" s="109" t="str">
        <f>IF(Roster!$K$1=0,"",Roster!$K$1)</f>
        <v>ST</v>
      </c>
      <c r="R31" s="403"/>
      <c r="S31" s="450"/>
      <c r="T31" s="357"/>
      <c r="U31" s="357"/>
      <c r="V31" s="357"/>
      <c r="W31" s="357"/>
      <c r="X31" s="357"/>
      <c r="Y31" s="357"/>
      <c r="Z31" s="357"/>
      <c r="AA31" s="357"/>
      <c r="AB31" s="357"/>
      <c r="AC31" s="451"/>
      <c r="AD31" s="105"/>
      <c r="AE31" s="14"/>
      <c r="AF31" s="109" t="str">
        <f>IF(Roster!$K$1=0,"",Roster!$K$1)</f>
        <v>ST</v>
      </c>
      <c r="AG31" s="403"/>
      <c r="AH31" s="450"/>
      <c r="AI31" s="357"/>
      <c r="AJ31" s="357"/>
      <c r="AK31" s="357"/>
      <c r="AL31" s="357"/>
      <c r="AM31" s="357"/>
      <c r="AN31" s="357"/>
      <c r="AO31" s="357"/>
      <c r="AP31" s="357"/>
      <c r="AQ31" s="357"/>
      <c r="AR31" s="451"/>
      <c r="AS31" s="105"/>
      <c r="AT31" s="14"/>
      <c r="AU31" s="109" t="str">
        <f>IF(Roster!$K$1=0,"",Roster!$K$1)</f>
        <v>ST</v>
      </c>
      <c r="AV31" s="403"/>
      <c r="AW31" s="450"/>
      <c r="AX31" s="357"/>
      <c r="AY31" s="357"/>
      <c r="AZ31" s="357"/>
      <c r="BA31" s="357"/>
      <c r="BB31" s="357"/>
      <c r="BC31" s="357"/>
      <c r="BD31" s="357"/>
      <c r="BE31" s="357"/>
      <c r="BF31" s="357"/>
      <c r="BG31" s="451"/>
      <c r="BH31" s="105"/>
    </row>
    <row r="32" spans="1:60" ht="37.5" customHeight="1">
      <c r="A32" s="14"/>
      <c r="B32" s="111">
        <f>IF(Roster!$K$5=0,"",Roster!$K$5)</f>
        <v>3</v>
      </c>
      <c r="C32" s="403"/>
      <c r="D32" s="450"/>
      <c r="E32" s="357"/>
      <c r="F32" s="357"/>
      <c r="G32" s="357"/>
      <c r="H32" s="357"/>
      <c r="I32" s="357"/>
      <c r="J32" s="357"/>
      <c r="K32" s="357"/>
      <c r="L32" s="357"/>
      <c r="M32" s="357"/>
      <c r="N32" s="451"/>
      <c r="O32" s="105"/>
      <c r="P32" s="14"/>
      <c r="Q32" s="111">
        <f>IF(Roster!$K$6=0,"",Roster!$K$6)</f>
        <v>3</v>
      </c>
      <c r="R32" s="403"/>
      <c r="S32" s="450"/>
      <c r="T32" s="357"/>
      <c r="U32" s="357"/>
      <c r="V32" s="357"/>
      <c r="W32" s="357"/>
      <c r="X32" s="357"/>
      <c r="Y32" s="357"/>
      <c r="Z32" s="357"/>
      <c r="AA32" s="357"/>
      <c r="AB32" s="357"/>
      <c r="AC32" s="451"/>
      <c r="AD32" s="105"/>
      <c r="AE32" s="14"/>
      <c r="AF32" s="111">
        <f>IF(Roster!$K$7=0,"",Roster!$K$7)</f>
        <v>3</v>
      </c>
      <c r="AG32" s="403"/>
      <c r="AH32" s="450"/>
      <c r="AI32" s="357"/>
      <c r="AJ32" s="357"/>
      <c r="AK32" s="357"/>
      <c r="AL32" s="357"/>
      <c r="AM32" s="357"/>
      <c r="AN32" s="357"/>
      <c r="AO32" s="357"/>
      <c r="AP32" s="357"/>
      <c r="AQ32" s="357"/>
      <c r="AR32" s="451"/>
      <c r="AS32" s="105"/>
      <c r="AT32" s="14"/>
      <c r="AU32" s="111">
        <f>IF(Roster!$K$8=0,"",Roster!$K$8)</f>
        <v>3</v>
      </c>
      <c r="AV32" s="403"/>
      <c r="AW32" s="450"/>
      <c r="AX32" s="357"/>
      <c r="AY32" s="357"/>
      <c r="AZ32" s="357"/>
      <c r="BA32" s="357"/>
      <c r="BB32" s="357"/>
      <c r="BC32" s="357"/>
      <c r="BD32" s="357"/>
      <c r="BE32" s="357"/>
      <c r="BF32" s="357"/>
      <c r="BG32" s="451"/>
      <c r="BH32" s="105"/>
    </row>
    <row r="33" spans="1:60" ht="11.25" customHeight="1">
      <c r="A33" s="14"/>
      <c r="B33" s="109" t="str">
        <f>IF(Roster!$L$1=0,"",Roster!$L$1)</f>
        <v>AG</v>
      </c>
      <c r="C33" s="403"/>
      <c r="D33" s="450"/>
      <c r="E33" s="357"/>
      <c r="F33" s="357"/>
      <c r="G33" s="357"/>
      <c r="H33" s="357"/>
      <c r="I33" s="357"/>
      <c r="J33" s="357"/>
      <c r="K33" s="357"/>
      <c r="L33" s="357"/>
      <c r="M33" s="357"/>
      <c r="N33" s="451"/>
      <c r="O33" s="105"/>
      <c r="P33" s="14"/>
      <c r="Q33" s="109" t="str">
        <f>IF(Roster!$L$1=0,"",Roster!$L$1)</f>
        <v>AG</v>
      </c>
      <c r="R33" s="403"/>
      <c r="S33" s="450"/>
      <c r="T33" s="357"/>
      <c r="U33" s="357"/>
      <c r="V33" s="357"/>
      <c r="W33" s="357"/>
      <c r="X33" s="357"/>
      <c r="Y33" s="357"/>
      <c r="Z33" s="357"/>
      <c r="AA33" s="357"/>
      <c r="AB33" s="357"/>
      <c r="AC33" s="451"/>
      <c r="AD33" s="105"/>
      <c r="AE33" s="14"/>
      <c r="AF33" s="109" t="str">
        <f>IF(Roster!$L$1=0,"",Roster!$L$1)</f>
        <v>AG</v>
      </c>
      <c r="AG33" s="403"/>
      <c r="AH33" s="450"/>
      <c r="AI33" s="357"/>
      <c r="AJ33" s="357"/>
      <c r="AK33" s="357"/>
      <c r="AL33" s="357"/>
      <c r="AM33" s="357"/>
      <c r="AN33" s="357"/>
      <c r="AO33" s="357"/>
      <c r="AP33" s="357"/>
      <c r="AQ33" s="357"/>
      <c r="AR33" s="451"/>
      <c r="AS33" s="105"/>
      <c r="AT33" s="14"/>
      <c r="AU33" s="109" t="str">
        <f>IF(Roster!$L$1=0,"",Roster!$L$1)</f>
        <v>AG</v>
      </c>
      <c r="AV33" s="403"/>
      <c r="AW33" s="450"/>
      <c r="AX33" s="357"/>
      <c r="AY33" s="357"/>
      <c r="AZ33" s="357"/>
      <c r="BA33" s="357"/>
      <c r="BB33" s="357"/>
      <c r="BC33" s="357"/>
      <c r="BD33" s="357"/>
      <c r="BE33" s="357"/>
      <c r="BF33" s="357"/>
      <c r="BG33" s="451"/>
      <c r="BH33" s="105"/>
    </row>
    <row r="34" spans="1:60" ht="37.5" customHeight="1">
      <c r="A34" s="14"/>
      <c r="B34" s="111" t="str">
        <f>IF(Roster!$L$5=0&amp;"+","",Roster!$L$5)</f>
        <v>3+</v>
      </c>
      <c r="C34" s="403"/>
      <c r="D34" s="450"/>
      <c r="E34" s="357"/>
      <c r="F34" s="357"/>
      <c r="G34" s="357"/>
      <c r="H34" s="357"/>
      <c r="I34" s="357"/>
      <c r="J34" s="357"/>
      <c r="K34" s="357"/>
      <c r="L34" s="357"/>
      <c r="M34" s="357"/>
      <c r="N34" s="451"/>
      <c r="O34" s="105"/>
      <c r="P34" s="14"/>
      <c r="Q34" s="111" t="str">
        <f>IF(Roster!$L$6=0&amp;"+","",Roster!$L$6)</f>
        <v>3+</v>
      </c>
      <c r="R34" s="403"/>
      <c r="S34" s="450"/>
      <c r="T34" s="357"/>
      <c r="U34" s="357"/>
      <c r="V34" s="357"/>
      <c r="W34" s="357"/>
      <c r="X34" s="357"/>
      <c r="Y34" s="357"/>
      <c r="Z34" s="357"/>
      <c r="AA34" s="357"/>
      <c r="AB34" s="357"/>
      <c r="AC34" s="451"/>
      <c r="AD34" s="105"/>
      <c r="AE34" s="14"/>
      <c r="AF34" s="111" t="str">
        <f>IF(Roster!$L$7=0&amp;"+","",Roster!$L$7)</f>
        <v>3+</v>
      </c>
      <c r="AG34" s="403"/>
      <c r="AH34" s="450"/>
      <c r="AI34" s="357"/>
      <c r="AJ34" s="357"/>
      <c r="AK34" s="357"/>
      <c r="AL34" s="357"/>
      <c r="AM34" s="357"/>
      <c r="AN34" s="357"/>
      <c r="AO34" s="357"/>
      <c r="AP34" s="357"/>
      <c r="AQ34" s="357"/>
      <c r="AR34" s="451"/>
      <c r="AS34" s="105"/>
      <c r="AT34" s="14"/>
      <c r="AU34" s="111" t="str">
        <f>IF(Roster!$L$8=0&amp;"+","",Roster!$L$8)</f>
        <v>3+</v>
      </c>
      <c r="AV34" s="403"/>
      <c r="AW34" s="450"/>
      <c r="AX34" s="357"/>
      <c r="AY34" s="357"/>
      <c r="AZ34" s="357"/>
      <c r="BA34" s="357"/>
      <c r="BB34" s="357"/>
      <c r="BC34" s="357"/>
      <c r="BD34" s="357"/>
      <c r="BE34" s="357"/>
      <c r="BF34" s="357"/>
      <c r="BG34" s="451"/>
      <c r="BH34" s="105"/>
    </row>
    <row r="35" spans="1:60" ht="11.25" customHeight="1">
      <c r="A35" s="14"/>
      <c r="B35" s="109" t="str">
        <f>IF(Roster!$M$1=0,"",Roster!$M$1)</f>
        <v>PA</v>
      </c>
      <c r="C35" s="403"/>
      <c r="D35" s="450"/>
      <c r="E35" s="357"/>
      <c r="F35" s="357"/>
      <c r="G35" s="357"/>
      <c r="H35" s="357"/>
      <c r="I35" s="357"/>
      <c r="J35" s="357"/>
      <c r="K35" s="357"/>
      <c r="L35" s="357"/>
      <c r="M35" s="357"/>
      <c r="N35" s="451"/>
      <c r="O35" s="114"/>
      <c r="P35" s="14"/>
      <c r="Q35" s="109" t="str">
        <f>IF(Roster!$M$1=0,"",Roster!$M$1)</f>
        <v>PA</v>
      </c>
      <c r="R35" s="403"/>
      <c r="S35" s="450"/>
      <c r="T35" s="357"/>
      <c r="U35" s="357"/>
      <c r="V35" s="357"/>
      <c r="W35" s="357"/>
      <c r="X35" s="357"/>
      <c r="Y35" s="357"/>
      <c r="Z35" s="357"/>
      <c r="AA35" s="357"/>
      <c r="AB35" s="357"/>
      <c r="AC35" s="451"/>
      <c r="AD35" s="114"/>
      <c r="AE35" s="14"/>
      <c r="AF35" s="109" t="str">
        <f>IF(Roster!$M$1=0,"",Roster!$M$1)</f>
        <v>PA</v>
      </c>
      <c r="AG35" s="403"/>
      <c r="AH35" s="450"/>
      <c r="AI35" s="357"/>
      <c r="AJ35" s="357"/>
      <c r="AK35" s="357"/>
      <c r="AL35" s="357"/>
      <c r="AM35" s="357"/>
      <c r="AN35" s="357"/>
      <c r="AO35" s="357"/>
      <c r="AP35" s="357"/>
      <c r="AQ35" s="357"/>
      <c r="AR35" s="451"/>
      <c r="AS35" s="114"/>
      <c r="AT35" s="14"/>
      <c r="AU35" s="109" t="str">
        <f>IF(Roster!$M$1=0,"",Roster!$M$1)</f>
        <v>PA</v>
      </c>
      <c r="AV35" s="403"/>
      <c r="AW35" s="450"/>
      <c r="AX35" s="357"/>
      <c r="AY35" s="357"/>
      <c r="AZ35" s="357"/>
      <c r="BA35" s="357"/>
      <c r="BB35" s="357"/>
      <c r="BC35" s="357"/>
      <c r="BD35" s="357"/>
      <c r="BE35" s="357"/>
      <c r="BF35" s="357"/>
      <c r="BG35" s="451"/>
      <c r="BH35" s="114"/>
    </row>
    <row r="36" spans="1:60" ht="6" customHeight="1">
      <c r="A36" s="14"/>
      <c r="B36" s="457" t="str">
        <f>IF(Roster!$M$5=0&amp;"+","",Roster!$M$5)</f>
        <v/>
      </c>
      <c r="C36" s="403"/>
      <c r="D36" s="452"/>
      <c r="E36" s="453"/>
      <c r="F36" s="453"/>
      <c r="G36" s="453"/>
      <c r="H36" s="453"/>
      <c r="I36" s="453"/>
      <c r="J36" s="453"/>
      <c r="K36" s="453"/>
      <c r="L36" s="453"/>
      <c r="M36" s="453"/>
      <c r="N36" s="454"/>
      <c r="O36" s="116"/>
      <c r="P36" s="14"/>
      <c r="Q36" s="457" t="str">
        <f>IF(Roster!$M$6=0&amp;"+","",Roster!$M$6)</f>
        <v>4+</v>
      </c>
      <c r="R36" s="403"/>
      <c r="S36" s="452"/>
      <c r="T36" s="453"/>
      <c r="U36" s="453"/>
      <c r="V36" s="453"/>
      <c r="W36" s="453"/>
      <c r="X36" s="453"/>
      <c r="Y36" s="453"/>
      <c r="Z36" s="453"/>
      <c r="AA36" s="453"/>
      <c r="AB36" s="453"/>
      <c r="AC36" s="454"/>
      <c r="AD36" s="116"/>
      <c r="AE36" s="14"/>
      <c r="AF36" s="457" t="str">
        <f>IF(Roster!$M$7=0&amp;"+","",Roster!$M$7)</f>
        <v>4+</v>
      </c>
      <c r="AG36" s="403"/>
      <c r="AH36" s="452"/>
      <c r="AI36" s="453"/>
      <c r="AJ36" s="453"/>
      <c r="AK36" s="453"/>
      <c r="AL36" s="453"/>
      <c r="AM36" s="453"/>
      <c r="AN36" s="453"/>
      <c r="AO36" s="453"/>
      <c r="AP36" s="453"/>
      <c r="AQ36" s="453"/>
      <c r="AR36" s="454"/>
      <c r="AS36" s="116"/>
      <c r="AT36" s="14"/>
      <c r="AU36" s="457" t="str">
        <f>IF(Roster!$M$8=0&amp;"+","",Roster!$M$8)</f>
        <v>4+</v>
      </c>
      <c r="AV36" s="403"/>
      <c r="AW36" s="452"/>
      <c r="AX36" s="453"/>
      <c r="AY36" s="453"/>
      <c r="AZ36" s="453"/>
      <c r="BA36" s="453"/>
      <c r="BB36" s="453"/>
      <c r="BC36" s="453"/>
      <c r="BD36" s="453"/>
      <c r="BE36" s="453"/>
      <c r="BF36" s="453"/>
      <c r="BG36" s="454"/>
      <c r="BH36" s="116"/>
    </row>
    <row r="37" spans="1:60" ht="4.5" customHeight="1">
      <c r="A37" s="14"/>
      <c r="B37" s="403"/>
      <c r="C37" s="403"/>
      <c r="D37" s="117"/>
      <c r="E37" s="118"/>
      <c r="F37" s="117"/>
      <c r="G37" s="118"/>
      <c r="H37" s="117"/>
      <c r="I37" s="118"/>
      <c r="J37" s="117"/>
      <c r="K37" s="118"/>
      <c r="L37" s="117"/>
      <c r="M37" s="118"/>
      <c r="N37" s="117"/>
      <c r="O37" s="116"/>
      <c r="P37" s="14"/>
      <c r="Q37" s="403"/>
      <c r="R37" s="403"/>
      <c r="S37" s="117"/>
      <c r="T37" s="118"/>
      <c r="U37" s="117"/>
      <c r="V37" s="118"/>
      <c r="W37" s="117"/>
      <c r="X37" s="118"/>
      <c r="Y37" s="117"/>
      <c r="Z37" s="118"/>
      <c r="AA37" s="117"/>
      <c r="AB37" s="118"/>
      <c r="AC37" s="117"/>
      <c r="AD37" s="116"/>
      <c r="AE37" s="14"/>
      <c r="AF37" s="403"/>
      <c r="AG37" s="403"/>
      <c r="AH37" s="117"/>
      <c r="AI37" s="118"/>
      <c r="AJ37" s="117"/>
      <c r="AK37" s="118"/>
      <c r="AL37" s="117"/>
      <c r="AM37" s="118"/>
      <c r="AN37" s="117"/>
      <c r="AO37" s="118"/>
      <c r="AP37" s="117"/>
      <c r="AQ37" s="118"/>
      <c r="AR37" s="117"/>
      <c r="AS37" s="116"/>
      <c r="AT37" s="14"/>
      <c r="AU37" s="403"/>
      <c r="AV37" s="403"/>
      <c r="AW37" s="117"/>
      <c r="AX37" s="118"/>
      <c r="AY37" s="117"/>
      <c r="AZ37" s="118"/>
      <c r="BA37" s="117"/>
      <c r="BB37" s="118"/>
      <c r="BC37" s="117"/>
      <c r="BD37" s="118"/>
      <c r="BE37" s="117"/>
      <c r="BF37" s="118"/>
      <c r="BG37" s="117"/>
      <c r="BH37" s="116"/>
    </row>
    <row r="38" spans="1:60" ht="11.25" customHeight="1">
      <c r="A38" s="14"/>
      <c r="B38" s="403"/>
      <c r="C38" s="403"/>
      <c r="D38" s="461" t="str">
        <f>IF(Roster!$J$24="Italiano","ABILITÀ &amp; TRATTI",(IF(Roster!$J$24="Español","HABILIDADES Y RASGOS","SKILLS &amp; TRAITS")))</f>
        <v>SKILLS &amp; TRAITS</v>
      </c>
      <c r="E38" s="395"/>
      <c r="F38" s="395"/>
      <c r="G38" s="395"/>
      <c r="H38" s="395"/>
      <c r="I38" s="395"/>
      <c r="J38" s="395"/>
      <c r="K38" s="395"/>
      <c r="L38" s="395"/>
      <c r="M38" s="395"/>
      <c r="N38" s="396"/>
      <c r="O38" s="116"/>
      <c r="P38" s="14"/>
      <c r="Q38" s="403"/>
      <c r="R38" s="403"/>
      <c r="S38" s="461" t="str">
        <f>IF(Roster!$J$24="Italiano","ABILITÀ &amp; TRATTI",(IF(Roster!$J$24="Español","HABILIDADES Y RASGOS","SKILLS &amp; TRAITS")))</f>
        <v>SKILLS &amp; TRAITS</v>
      </c>
      <c r="T38" s="395"/>
      <c r="U38" s="395"/>
      <c r="V38" s="395"/>
      <c r="W38" s="395"/>
      <c r="X38" s="395"/>
      <c r="Y38" s="395"/>
      <c r="Z38" s="395"/>
      <c r="AA38" s="395"/>
      <c r="AB38" s="395"/>
      <c r="AC38" s="396"/>
      <c r="AD38" s="116"/>
      <c r="AE38" s="14"/>
      <c r="AF38" s="403"/>
      <c r="AG38" s="403"/>
      <c r="AH38" s="461" t="str">
        <f>IF(Roster!$J$24="Italiano","ABILITÀ &amp; TRATTI",(IF(Roster!$J$24="Español","HABILIDADES Y RASGOS","SKILLS &amp; TRAITS")))</f>
        <v>SKILLS &amp; TRAITS</v>
      </c>
      <c r="AI38" s="395"/>
      <c r="AJ38" s="395"/>
      <c r="AK38" s="395"/>
      <c r="AL38" s="395"/>
      <c r="AM38" s="395"/>
      <c r="AN38" s="395"/>
      <c r="AO38" s="395"/>
      <c r="AP38" s="395"/>
      <c r="AQ38" s="395"/>
      <c r="AR38" s="396"/>
      <c r="AS38" s="116"/>
      <c r="AT38" s="14"/>
      <c r="AU38" s="403"/>
      <c r="AV38" s="403"/>
      <c r="AW38" s="461" t="str">
        <f>IF(Roster!$J$24="Italiano","ABILITÀ &amp; TRATTI",(IF(Roster!$J$24="Español","HABILIDADES Y RASGOS","SKILLS &amp; TRAITS")))</f>
        <v>SKILLS &amp; TRAITS</v>
      </c>
      <c r="AX38" s="395"/>
      <c r="AY38" s="395"/>
      <c r="AZ38" s="395"/>
      <c r="BA38" s="395"/>
      <c r="BB38" s="395"/>
      <c r="BC38" s="395"/>
      <c r="BD38" s="395"/>
      <c r="BE38" s="395"/>
      <c r="BF38" s="395"/>
      <c r="BG38" s="396"/>
      <c r="BH38" s="116"/>
    </row>
    <row r="39" spans="1:60" ht="15" customHeight="1">
      <c r="A39" s="14"/>
      <c r="B39" s="403"/>
      <c r="C39" s="403"/>
      <c r="D39" s="460" t="str">
        <f>IF(Roster!$O$5=0,"",Roster!$O$5&amp;Roster!BF5)</f>
        <v>Block, Foul Appearance, No Hands, Regeneration, Side Step</v>
      </c>
      <c r="E39" s="448"/>
      <c r="F39" s="448"/>
      <c r="G39" s="448"/>
      <c r="H39" s="448"/>
      <c r="I39" s="448"/>
      <c r="J39" s="448"/>
      <c r="K39" s="448"/>
      <c r="L39" s="448"/>
      <c r="M39" s="448"/>
      <c r="N39" s="449"/>
      <c r="O39" s="116"/>
      <c r="P39" s="14"/>
      <c r="Q39" s="403"/>
      <c r="R39" s="403"/>
      <c r="S39" s="460" t="str">
        <f>IF(Roster!$O$6=0,"",Roster!$O$6&amp;Roster!BF6)</f>
        <v>Claws, Frenzy, Regeneration, Block</v>
      </c>
      <c r="T39" s="448"/>
      <c r="U39" s="448"/>
      <c r="V39" s="448"/>
      <c r="W39" s="448"/>
      <c r="X39" s="448"/>
      <c r="Y39" s="448"/>
      <c r="Z39" s="448"/>
      <c r="AA39" s="448"/>
      <c r="AB39" s="448"/>
      <c r="AC39" s="449"/>
      <c r="AD39" s="116"/>
      <c r="AE39" s="14"/>
      <c r="AF39" s="403"/>
      <c r="AG39" s="403"/>
      <c r="AH39" s="460" t="str">
        <f>IF(Roster!$O$7=0,"",Roster!$O$7&amp;Roster!BF7)</f>
        <v>Claws, Frenzy, Regeneration, Block</v>
      </c>
      <c r="AI39" s="448"/>
      <c r="AJ39" s="448"/>
      <c r="AK39" s="448"/>
      <c r="AL39" s="448"/>
      <c r="AM39" s="448"/>
      <c r="AN39" s="448"/>
      <c r="AO39" s="448"/>
      <c r="AP39" s="448"/>
      <c r="AQ39" s="448"/>
      <c r="AR39" s="449"/>
      <c r="AS39" s="116"/>
      <c r="AT39" s="14"/>
      <c r="AU39" s="403"/>
      <c r="AV39" s="403"/>
      <c r="AW39" s="460" t="str">
        <f>IF(Roster!$O$8=0,"",Roster!$O$8&amp;Roster!BF8)</f>
        <v>Dodge, Block</v>
      </c>
      <c r="AX39" s="448"/>
      <c r="AY39" s="448"/>
      <c r="AZ39" s="448"/>
      <c r="BA39" s="448"/>
      <c r="BB39" s="448"/>
      <c r="BC39" s="448"/>
      <c r="BD39" s="448"/>
      <c r="BE39" s="448"/>
      <c r="BF39" s="448"/>
      <c r="BG39" s="449"/>
      <c r="BH39" s="116"/>
    </row>
    <row r="40" spans="1:60" ht="4.5" customHeight="1">
      <c r="A40" s="14"/>
      <c r="B40" s="404"/>
      <c r="C40" s="403"/>
      <c r="D40" s="450"/>
      <c r="E40" s="357"/>
      <c r="F40" s="357"/>
      <c r="G40" s="357"/>
      <c r="H40" s="357"/>
      <c r="I40" s="357"/>
      <c r="J40" s="357"/>
      <c r="K40" s="357"/>
      <c r="L40" s="357"/>
      <c r="M40" s="357"/>
      <c r="N40" s="451"/>
      <c r="O40" s="116"/>
      <c r="P40" s="14"/>
      <c r="Q40" s="404"/>
      <c r="R40" s="403"/>
      <c r="S40" s="450"/>
      <c r="T40" s="357"/>
      <c r="U40" s="357"/>
      <c r="V40" s="357"/>
      <c r="W40" s="357"/>
      <c r="X40" s="357"/>
      <c r="Y40" s="357"/>
      <c r="Z40" s="357"/>
      <c r="AA40" s="357"/>
      <c r="AB40" s="357"/>
      <c r="AC40" s="451"/>
      <c r="AD40" s="116"/>
      <c r="AE40" s="14"/>
      <c r="AF40" s="404"/>
      <c r="AG40" s="403"/>
      <c r="AH40" s="450"/>
      <c r="AI40" s="357"/>
      <c r="AJ40" s="357"/>
      <c r="AK40" s="357"/>
      <c r="AL40" s="357"/>
      <c r="AM40" s="357"/>
      <c r="AN40" s="357"/>
      <c r="AO40" s="357"/>
      <c r="AP40" s="357"/>
      <c r="AQ40" s="357"/>
      <c r="AR40" s="451"/>
      <c r="AS40" s="116"/>
      <c r="AT40" s="14"/>
      <c r="AU40" s="404"/>
      <c r="AV40" s="403"/>
      <c r="AW40" s="450"/>
      <c r="AX40" s="357"/>
      <c r="AY40" s="357"/>
      <c r="AZ40" s="357"/>
      <c r="BA40" s="357"/>
      <c r="BB40" s="357"/>
      <c r="BC40" s="357"/>
      <c r="BD40" s="357"/>
      <c r="BE40" s="357"/>
      <c r="BF40" s="357"/>
      <c r="BG40" s="451"/>
      <c r="BH40" s="116"/>
    </row>
    <row r="41" spans="1:60" ht="11.25" customHeight="1">
      <c r="A41" s="14"/>
      <c r="B41" s="109" t="str">
        <f>IF(Roster!$N$1=0,"",Roster!$N$1)</f>
        <v>AV</v>
      </c>
      <c r="C41" s="403"/>
      <c r="D41" s="450"/>
      <c r="E41" s="357"/>
      <c r="F41" s="357"/>
      <c r="G41" s="357"/>
      <c r="H41" s="357"/>
      <c r="I41" s="357"/>
      <c r="J41" s="357"/>
      <c r="K41" s="357"/>
      <c r="L41" s="357"/>
      <c r="M41" s="357"/>
      <c r="N41" s="451"/>
      <c r="O41" s="105"/>
      <c r="P41" s="14"/>
      <c r="Q41" s="109" t="str">
        <f>IF(Roster!$N$1=0,"",Roster!$N$1)</f>
        <v>AV</v>
      </c>
      <c r="R41" s="403"/>
      <c r="S41" s="450"/>
      <c r="T41" s="357"/>
      <c r="U41" s="357"/>
      <c r="V41" s="357"/>
      <c r="W41" s="357"/>
      <c r="X41" s="357"/>
      <c r="Y41" s="357"/>
      <c r="Z41" s="357"/>
      <c r="AA41" s="357"/>
      <c r="AB41" s="357"/>
      <c r="AC41" s="451"/>
      <c r="AD41" s="105"/>
      <c r="AE41" s="14"/>
      <c r="AF41" s="109" t="str">
        <f>IF(Roster!$N$1=0,"",Roster!$N$1)</f>
        <v>AV</v>
      </c>
      <c r="AG41" s="403"/>
      <c r="AH41" s="450"/>
      <c r="AI41" s="357"/>
      <c r="AJ41" s="357"/>
      <c r="AK41" s="357"/>
      <c r="AL41" s="357"/>
      <c r="AM41" s="357"/>
      <c r="AN41" s="357"/>
      <c r="AO41" s="357"/>
      <c r="AP41" s="357"/>
      <c r="AQ41" s="357"/>
      <c r="AR41" s="451"/>
      <c r="AS41" s="105"/>
      <c r="AT41" s="14"/>
      <c r="AU41" s="109" t="str">
        <f>IF(Roster!$N$1=0,"",Roster!$N$1)</f>
        <v>AV</v>
      </c>
      <c r="AV41" s="403"/>
      <c r="AW41" s="450"/>
      <c r="AX41" s="357"/>
      <c r="AY41" s="357"/>
      <c r="AZ41" s="357"/>
      <c r="BA41" s="357"/>
      <c r="BB41" s="357"/>
      <c r="BC41" s="357"/>
      <c r="BD41" s="357"/>
      <c r="BE41" s="357"/>
      <c r="BF41" s="357"/>
      <c r="BG41" s="451"/>
      <c r="BH41" s="105"/>
    </row>
    <row r="42" spans="1:60" ht="15" customHeight="1">
      <c r="A42" s="14"/>
      <c r="B42" s="457" t="str">
        <f>IF(Roster!$N$5=0&amp;"+","",Roster!$N$5)</f>
        <v>9+</v>
      </c>
      <c r="C42" s="403"/>
      <c r="D42" s="450"/>
      <c r="E42" s="357"/>
      <c r="F42" s="357"/>
      <c r="G42" s="357"/>
      <c r="H42" s="357"/>
      <c r="I42" s="357"/>
      <c r="J42" s="357"/>
      <c r="K42" s="357"/>
      <c r="L42" s="357"/>
      <c r="M42" s="357"/>
      <c r="N42" s="451"/>
      <c r="O42" s="119"/>
      <c r="P42" s="14"/>
      <c r="Q42" s="457" t="str">
        <f>IF(Roster!$N$6=0&amp;"+","",Roster!$N$6)</f>
        <v>9+</v>
      </c>
      <c r="R42" s="403"/>
      <c r="S42" s="450"/>
      <c r="T42" s="357"/>
      <c r="U42" s="357"/>
      <c r="V42" s="357"/>
      <c r="W42" s="357"/>
      <c r="X42" s="357"/>
      <c r="Y42" s="357"/>
      <c r="Z42" s="357"/>
      <c r="AA42" s="357"/>
      <c r="AB42" s="357"/>
      <c r="AC42" s="451"/>
      <c r="AD42" s="119"/>
      <c r="AE42" s="14"/>
      <c r="AF42" s="457" t="str">
        <f>IF(Roster!$N$7=0&amp;"+","",Roster!$N$7)</f>
        <v>9+</v>
      </c>
      <c r="AG42" s="403"/>
      <c r="AH42" s="450"/>
      <c r="AI42" s="357"/>
      <c r="AJ42" s="357"/>
      <c r="AK42" s="357"/>
      <c r="AL42" s="357"/>
      <c r="AM42" s="357"/>
      <c r="AN42" s="357"/>
      <c r="AO42" s="357"/>
      <c r="AP42" s="357"/>
      <c r="AQ42" s="357"/>
      <c r="AR42" s="451"/>
      <c r="AS42" s="119"/>
      <c r="AT42" s="14"/>
      <c r="AU42" s="457" t="str">
        <f>IF(Roster!$N$8=0&amp;"+","",Roster!$N$8)</f>
        <v>8+</v>
      </c>
      <c r="AV42" s="403"/>
      <c r="AW42" s="450"/>
      <c r="AX42" s="357"/>
      <c r="AY42" s="357"/>
      <c r="AZ42" s="357"/>
      <c r="BA42" s="357"/>
      <c r="BB42" s="357"/>
      <c r="BC42" s="357"/>
      <c r="BD42" s="357"/>
      <c r="BE42" s="357"/>
      <c r="BF42" s="357"/>
      <c r="BG42" s="451"/>
      <c r="BH42" s="119"/>
    </row>
    <row r="43" spans="1:60" ht="4.5" customHeight="1">
      <c r="A43" s="14"/>
      <c r="B43" s="403"/>
      <c r="C43" s="403"/>
      <c r="D43" s="450"/>
      <c r="E43" s="357"/>
      <c r="F43" s="357"/>
      <c r="G43" s="357"/>
      <c r="H43" s="357"/>
      <c r="I43" s="357"/>
      <c r="J43" s="357"/>
      <c r="K43" s="357"/>
      <c r="L43" s="357"/>
      <c r="M43" s="357"/>
      <c r="N43" s="451"/>
      <c r="O43" s="119"/>
      <c r="P43" s="14"/>
      <c r="Q43" s="403"/>
      <c r="R43" s="403"/>
      <c r="S43" s="450"/>
      <c r="T43" s="357"/>
      <c r="U43" s="357"/>
      <c r="V43" s="357"/>
      <c r="W43" s="357"/>
      <c r="X43" s="357"/>
      <c r="Y43" s="357"/>
      <c r="Z43" s="357"/>
      <c r="AA43" s="357"/>
      <c r="AB43" s="357"/>
      <c r="AC43" s="451"/>
      <c r="AD43" s="119"/>
      <c r="AE43" s="14"/>
      <c r="AF43" s="403"/>
      <c r="AG43" s="403"/>
      <c r="AH43" s="450"/>
      <c r="AI43" s="357"/>
      <c r="AJ43" s="357"/>
      <c r="AK43" s="357"/>
      <c r="AL43" s="357"/>
      <c r="AM43" s="357"/>
      <c r="AN43" s="357"/>
      <c r="AO43" s="357"/>
      <c r="AP43" s="357"/>
      <c r="AQ43" s="357"/>
      <c r="AR43" s="451"/>
      <c r="AS43" s="119"/>
      <c r="AT43" s="14"/>
      <c r="AU43" s="403"/>
      <c r="AV43" s="403"/>
      <c r="AW43" s="450"/>
      <c r="AX43" s="357"/>
      <c r="AY43" s="357"/>
      <c r="AZ43" s="357"/>
      <c r="BA43" s="357"/>
      <c r="BB43" s="357"/>
      <c r="BC43" s="357"/>
      <c r="BD43" s="357"/>
      <c r="BE43" s="357"/>
      <c r="BF43" s="357"/>
      <c r="BG43" s="451"/>
      <c r="BH43" s="119"/>
    </row>
    <row r="44" spans="1:60" ht="11.25" customHeight="1">
      <c r="A44" s="14"/>
      <c r="B44" s="403"/>
      <c r="C44" s="403"/>
      <c r="D44" s="450"/>
      <c r="E44" s="357"/>
      <c r="F44" s="357"/>
      <c r="G44" s="357"/>
      <c r="H44" s="357"/>
      <c r="I44" s="357"/>
      <c r="J44" s="357"/>
      <c r="K44" s="357"/>
      <c r="L44" s="357"/>
      <c r="M44" s="357"/>
      <c r="N44" s="451"/>
      <c r="O44" s="119"/>
      <c r="P44" s="14"/>
      <c r="Q44" s="403"/>
      <c r="R44" s="403"/>
      <c r="S44" s="450"/>
      <c r="T44" s="357"/>
      <c r="U44" s="357"/>
      <c r="V44" s="357"/>
      <c r="W44" s="357"/>
      <c r="X44" s="357"/>
      <c r="Y44" s="357"/>
      <c r="Z44" s="357"/>
      <c r="AA44" s="357"/>
      <c r="AB44" s="357"/>
      <c r="AC44" s="451"/>
      <c r="AD44" s="119"/>
      <c r="AE44" s="14"/>
      <c r="AF44" s="403"/>
      <c r="AG44" s="403"/>
      <c r="AH44" s="450"/>
      <c r="AI44" s="357"/>
      <c r="AJ44" s="357"/>
      <c r="AK44" s="357"/>
      <c r="AL44" s="357"/>
      <c r="AM44" s="357"/>
      <c r="AN44" s="357"/>
      <c r="AO44" s="357"/>
      <c r="AP44" s="357"/>
      <c r="AQ44" s="357"/>
      <c r="AR44" s="451"/>
      <c r="AS44" s="119"/>
      <c r="AT44" s="14"/>
      <c r="AU44" s="403"/>
      <c r="AV44" s="403"/>
      <c r="AW44" s="450"/>
      <c r="AX44" s="357"/>
      <c r="AY44" s="357"/>
      <c r="AZ44" s="357"/>
      <c r="BA44" s="357"/>
      <c r="BB44" s="357"/>
      <c r="BC44" s="357"/>
      <c r="BD44" s="357"/>
      <c r="BE44" s="357"/>
      <c r="BF44" s="357"/>
      <c r="BG44" s="451"/>
      <c r="BH44" s="119"/>
    </row>
    <row r="45" spans="1:60" ht="6.75" customHeight="1">
      <c r="A45" s="14"/>
      <c r="B45" s="404"/>
      <c r="C45" s="403"/>
      <c r="D45" s="450"/>
      <c r="E45" s="357"/>
      <c r="F45" s="357"/>
      <c r="G45" s="357"/>
      <c r="H45" s="357"/>
      <c r="I45" s="357"/>
      <c r="J45" s="357"/>
      <c r="K45" s="357"/>
      <c r="L45" s="357"/>
      <c r="M45" s="357"/>
      <c r="N45" s="451"/>
      <c r="O45" s="119"/>
      <c r="P45" s="14"/>
      <c r="Q45" s="404"/>
      <c r="R45" s="403"/>
      <c r="S45" s="450"/>
      <c r="T45" s="357"/>
      <c r="U45" s="357"/>
      <c r="V45" s="357"/>
      <c r="W45" s="357"/>
      <c r="X45" s="357"/>
      <c r="Y45" s="357"/>
      <c r="Z45" s="357"/>
      <c r="AA45" s="357"/>
      <c r="AB45" s="357"/>
      <c r="AC45" s="451"/>
      <c r="AD45" s="119"/>
      <c r="AE45" s="14"/>
      <c r="AF45" s="404"/>
      <c r="AG45" s="403"/>
      <c r="AH45" s="450"/>
      <c r="AI45" s="357"/>
      <c r="AJ45" s="357"/>
      <c r="AK45" s="357"/>
      <c r="AL45" s="357"/>
      <c r="AM45" s="357"/>
      <c r="AN45" s="357"/>
      <c r="AO45" s="357"/>
      <c r="AP45" s="357"/>
      <c r="AQ45" s="357"/>
      <c r="AR45" s="451"/>
      <c r="AS45" s="119"/>
      <c r="AT45" s="14"/>
      <c r="AU45" s="404"/>
      <c r="AV45" s="403"/>
      <c r="AW45" s="450"/>
      <c r="AX45" s="357"/>
      <c r="AY45" s="357"/>
      <c r="AZ45" s="357"/>
      <c r="BA45" s="357"/>
      <c r="BB45" s="357"/>
      <c r="BC45" s="357"/>
      <c r="BD45" s="357"/>
      <c r="BE45" s="357"/>
      <c r="BF45" s="357"/>
      <c r="BG45" s="451"/>
      <c r="BH45" s="119"/>
    </row>
    <row r="46" spans="1:60" ht="11.25" customHeight="1">
      <c r="A46" s="14"/>
      <c r="B46" s="109" t="str">
        <f>IF(Roster!$AN$1=0,"",Roster!$AN$1)</f>
        <v>COST</v>
      </c>
      <c r="C46" s="403"/>
      <c r="D46" s="450"/>
      <c r="E46" s="357"/>
      <c r="F46" s="357"/>
      <c r="G46" s="357"/>
      <c r="H46" s="357"/>
      <c r="I46" s="357"/>
      <c r="J46" s="357"/>
      <c r="K46" s="357"/>
      <c r="L46" s="357"/>
      <c r="M46" s="357"/>
      <c r="N46" s="451"/>
      <c r="O46" s="120"/>
      <c r="P46" s="14"/>
      <c r="Q46" s="109" t="str">
        <f>IF(Roster!$AN$1=0,"",Roster!$AN$1)</f>
        <v>COST</v>
      </c>
      <c r="R46" s="403"/>
      <c r="S46" s="450"/>
      <c r="T46" s="357"/>
      <c r="U46" s="357"/>
      <c r="V46" s="357"/>
      <c r="W46" s="357"/>
      <c r="X46" s="357"/>
      <c r="Y46" s="357"/>
      <c r="Z46" s="357"/>
      <c r="AA46" s="357"/>
      <c r="AB46" s="357"/>
      <c r="AC46" s="451"/>
      <c r="AD46" s="120"/>
      <c r="AE46" s="14"/>
      <c r="AF46" s="109" t="str">
        <f>IF(Roster!$AN$1=0,"",Roster!$AN$1)</f>
        <v>COST</v>
      </c>
      <c r="AG46" s="403"/>
      <c r="AH46" s="450"/>
      <c r="AI46" s="357"/>
      <c r="AJ46" s="357"/>
      <c r="AK46" s="357"/>
      <c r="AL46" s="357"/>
      <c r="AM46" s="357"/>
      <c r="AN46" s="357"/>
      <c r="AO46" s="357"/>
      <c r="AP46" s="357"/>
      <c r="AQ46" s="357"/>
      <c r="AR46" s="451"/>
      <c r="AS46" s="120"/>
      <c r="AT46" s="14"/>
      <c r="AU46" s="109" t="str">
        <f>IF(Roster!$AN$1=0,"",Roster!$AN$1)</f>
        <v>COST</v>
      </c>
      <c r="AV46" s="403"/>
      <c r="AW46" s="450"/>
      <c r="AX46" s="357"/>
      <c r="AY46" s="357"/>
      <c r="AZ46" s="357"/>
      <c r="BA46" s="357"/>
      <c r="BB46" s="357"/>
      <c r="BC46" s="357"/>
      <c r="BD46" s="357"/>
      <c r="BE46" s="357"/>
      <c r="BF46" s="357"/>
      <c r="BG46" s="451"/>
      <c r="BH46" s="120"/>
    </row>
    <row r="47" spans="1:60" ht="34.5" customHeight="1">
      <c r="A47" s="14"/>
      <c r="B47" s="122">
        <f>IF(Roster!$AN$5=0,"",Roster!$AN$5)</f>
        <v>95000</v>
      </c>
      <c r="C47" s="404"/>
      <c r="D47" s="452"/>
      <c r="E47" s="453"/>
      <c r="F47" s="453"/>
      <c r="G47" s="453"/>
      <c r="H47" s="453"/>
      <c r="I47" s="453"/>
      <c r="J47" s="453"/>
      <c r="K47" s="453"/>
      <c r="L47" s="453"/>
      <c r="M47" s="453"/>
      <c r="N47" s="454"/>
      <c r="O47" s="120"/>
      <c r="P47" s="14"/>
      <c r="Q47" s="122">
        <f>IF(Roster!$AN$6=0,"",Roster!$AN$6)</f>
        <v>125000</v>
      </c>
      <c r="R47" s="404"/>
      <c r="S47" s="452"/>
      <c r="T47" s="453"/>
      <c r="U47" s="453"/>
      <c r="V47" s="453"/>
      <c r="W47" s="453"/>
      <c r="X47" s="453"/>
      <c r="Y47" s="453"/>
      <c r="Z47" s="453"/>
      <c r="AA47" s="453"/>
      <c r="AB47" s="453"/>
      <c r="AC47" s="454"/>
      <c r="AD47" s="120"/>
      <c r="AE47" s="14"/>
      <c r="AF47" s="122">
        <f>IF(Roster!$AN$7=0,"",Roster!$AN$7)</f>
        <v>125000</v>
      </c>
      <c r="AG47" s="404"/>
      <c r="AH47" s="452"/>
      <c r="AI47" s="453"/>
      <c r="AJ47" s="453"/>
      <c r="AK47" s="453"/>
      <c r="AL47" s="453"/>
      <c r="AM47" s="453"/>
      <c r="AN47" s="453"/>
      <c r="AO47" s="453"/>
      <c r="AP47" s="453"/>
      <c r="AQ47" s="453"/>
      <c r="AR47" s="454"/>
      <c r="AS47" s="120"/>
      <c r="AT47" s="14"/>
      <c r="AU47" s="122">
        <f>IF(Roster!$AN$8=0,"",Roster!$AN$8)</f>
        <v>75000</v>
      </c>
      <c r="AV47" s="404"/>
      <c r="AW47" s="452"/>
      <c r="AX47" s="453"/>
      <c r="AY47" s="453"/>
      <c r="AZ47" s="453"/>
      <c r="BA47" s="453"/>
      <c r="BB47" s="453"/>
      <c r="BC47" s="453"/>
      <c r="BD47" s="453"/>
      <c r="BE47" s="453"/>
      <c r="BF47" s="453"/>
      <c r="BG47" s="454"/>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55" t="str">
        <f>IF(Roster!$A$9=0,"","#"&amp;Roster!$A$9)</f>
        <v>#8</v>
      </c>
      <c r="C50" s="105"/>
      <c r="D50" s="105"/>
      <c r="E50" s="105"/>
      <c r="F50" s="105"/>
      <c r="G50" s="105"/>
      <c r="H50" s="105"/>
      <c r="I50" s="105"/>
      <c r="J50" s="105"/>
      <c r="K50" s="105"/>
      <c r="L50" s="105"/>
      <c r="M50" s="105"/>
      <c r="N50" s="105"/>
      <c r="O50" s="105"/>
      <c r="P50" s="14"/>
      <c r="Q50" s="455" t="str">
        <f>IF(Roster!$A$10=0,"","#"&amp;Roster!$A$10)</f>
        <v>#9</v>
      </c>
      <c r="R50" s="105"/>
      <c r="S50" s="105"/>
      <c r="T50" s="105"/>
      <c r="U50" s="105"/>
      <c r="V50" s="105"/>
      <c r="W50" s="105"/>
      <c r="X50" s="105"/>
      <c r="Y50" s="105"/>
      <c r="Z50" s="105"/>
      <c r="AA50" s="105"/>
      <c r="AB50" s="105"/>
      <c r="AC50" s="105"/>
      <c r="AD50" s="105"/>
      <c r="AE50" s="14"/>
      <c r="AF50" s="455" t="str">
        <f>IF(Roster!$A$11=0,"","#"&amp;Roster!$A$11)</f>
        <v>#10</v>
      </c>
      <c r="AG50" s="105"/>
      <c r="AH50" s="105"/>
      <c r="AI50" s="105"/>
      <c r="AJ50" s="105"/>
      <c r="AK50" s="105"/>
      <c r="AL50" s="105"/>
      <c r="AM50" s="105"/>
      <c r="AN50" s="105"/>
      <c r="AO50" s="105"/>
      <c r="AP50" s="105"/>
      <c r="AQ50" s="105"/>
      <c r="AR50" s="105"/>
      <c r="AS50" s="105"/>
      <c r="AT50" s="14"/>
      <c r="AU50" s="455" t="str">
        <f>IF(Roster!$A$12=0,"","#"&amp;Roster!$A$12)</f>
        <v>#11</v>
      </c>
      <c r="AV50" s="105"/>
      <c r="AW50" s="105"/>
      <c r="AX50" s="105"/>
      <c r="AY50" s="105"/>
      <c r="AZ50" s="105"/>
      <c r="BA50" s="105"/>
      <c r="BB50" s="105"/>
      <c r="BC50" s="105"/>
      <c r="BD50" s="105"/>
      <c r="BE50" s="105"/>
      <c r="BF50" s="105"/>
      <c r="BG50" s="105"/>
      <c r="BH50" s="105"/>
    </row>
    <row r="51" spans="1:60" ht="15" customHeight="1">
      <c r="A51" s="14"/>
      <c r="B51" s="403"/>
      <c r="C51" s="445" t="str">
        <f>IF(Roster!$B$9=0,"",Roster!$B$9)</f>
        <v>Bangkok</v>
      </c>
      <c r="D51" s="395"/>
      <c r="E51" s="395"/>
      <c r="F51" s="395"/>
      <c r="G51" s="395"/>
      <c r="H51" s="395"/>
      <c r="I51" s="395"/>
      <c r="J51" s="395"/>
      <c r="K51" s="395"/>
      <c r="L51" s="395"/>
      <c r="M51" s="395"/>
      <c r="N51" s="396"/>
      <c r="O51" s="105"/>
      <c r="P51" s="14"/>
      <c r="Q51" s="403"/>
      <c r="R51" s="445" t="str">
        <f>IF(Roster!$B$10=0,"",Roster!$B$10)</f>
        <v>Ghidora Rubote</v>
      </c>
      <c r="S51" s="395"/>
      <c r="T51" s="395"/>
      <c r="U51" s="395"/>
      <c r="V51" s="395"/>
      <c r="W51" s="395"/>
      <c r="X51" s="395"/>
      <c r="Y51" s="395"/>
      <c r="Z51" s="395"/>
      <c r="AA51" s="395"/>
      <c r="AB51" s="395"/>
      <c r="AC51" s="396"/>
      <c r="AD51" s="105"/>
      <c r="AE51" s="14"/>
      <c r="AF51" s="403"/>
      <c r="AG51" s="445" t="e">
        <f>IF(Roster!#REF!=0,"",Roster!#REF!)</f>
        <v>#REF!</v>
      </c>
      <c r="AH51" s="395"/>
      <c r="AI51" s="395"/>
      <c r="AJ51" s="395"/>
      <c r="AK51" s="395"/>
      <c r="AL51" s="395"/>
      <c r="AM51" s="395"/>
      <c r="AN51" s="395"/>
      <c r="AO51" s="395"/>
      <c r="AP51" s="395"/>
      <c r="AQ51" s="395"/>
      <c r="AR51" s="396"/>
      <c r="AS51" s="105"/>
      <c r="AT51" s="14"/>
      <c r="AU51" s="403"/>
      <c r="AV51" s="445" t="str">
        <f>IF(Roster!$B$12=0,"",Roster!$B$12)</f>
        <v>Skara Bokyo</v>
      </c>
      <c r="AW51" s="395"/>
      <c r="AX51" s="395"/>
      <c r="AY51" s="395"/>
      <c r="AZ51" s="395"/>
      <c r="BA51" s="395"/>
      <c r="BB51" s="395"/>
      <c r="BC51" s="395"/>
      <c r="BD51" s="395"/>
      <c r="BE51" s="395"/>
      <c r="BF51" s="395"/>
      <c r="BG51" s="396"/>
      <c r="BH51" s="105"/>
    </row>
    <row r="52" spans="1:60" ht="11.25" customHeight="1">
      <c r="A52" s="14"/>
      <c r="B52" s="404"/>
      <c r="C52" s="443" t="str">
        <f>IF(Roster!$C$9=0,"",Roster!$C$9)</f>
        <v>Ghoul</v>
      </c>
      <c r="D52" s="395"/>
      <c r="E52" s="395"/>
      <c r="F52" s="395"/>
      <c r="G52" s="395"/>
      <c r="H52" s="395"/>
      <c r="I52" s="395"/>
      <c r="J52" s="395"/>
      <c r="K52" s="395"/>
      <c r="L52" s="395"/>
      <c r="M52" s="395"/>
      <c r="N52" s="396"/>
      <c r="O52" s="106"/>
      <c r="P52" s="14"/>
      <c r="Q52" s="404"/>
      <c r="R52" s="443" t="str">
        <f>IF(Roster!$C$10=0,"",Roster!$C$10)</f>
        <v>Zombie</v>
      </c>
      <c r="S52" s="395"/>
      <c r="T52" s="395"/>
      <c r="U52" s="395"/>
      <c r="V52" s="395"/>
      <c r="W52" s="395"/>
      <c r="X52" s="395"/>
      <c r="Y52" s="395"/>
      <c r="Z52" s="395"/>
      <c r="AA52" s="395"/>
      <c r="AB52" s="395"/>
      <c r="AC52" s="396"/>
      <c r="AD52" s="106"/>
      <c r="AE52" s="14"/>
      <c r="AF52" s="404"/>
      <c r="AG52" s="443" t="str">
        <f>IF(Roster!$C$11=0,"",Roster!$C$11)</f>
        <v>Zombie</v>
      </c>
      <c r="AH52" s="395"/>
      <c r="AI52" s="395"/>
      <c r="AJ52" s="395"/>
      <c r="AK52" s="395"/>
      <c r="AL52" s="395"/>
      <c r="AM52" s="395"/>
      <c r="AN52" s="395"/>
      <c r="AO52" s="395"/>
      <c r="AP52" s="395"/>
      <c r="AQ52" s="395"/>
      <c r="AR52" s="396"/>
      <c r="AS52" s="106"/>
      <c r="AT52" s="14"/>
      <c r="AU52" s="404"/>
      <c r="AV52" s="443" t="str">
        <f>IF(Roster!$C$12=0,"",Roster!$C$12)</f>
        <v>Zombie</v>
      </c>
      <c r="AW52" s="395"/>
      <c r="AX52" s="395"/>
      <c r="AY52" s="395"/>
      <c r="AZ52" s="395"/>
      <c r="BA52" s="395"/>
      <c r="BB52" s="395"/>
      <c r="BC52" s="395"/>
      <c r="BD52" s="395"/>
      <c r="BE52" s="395"/>
      <c r="BF52" s="395"/>
      <c r="BG52" s="396"/>
      <c r="BH52" s="106"/>
    </row>
    <row r="53" spans="1:60" ht="11.25" customHeight="1">
      <c r="A53" s="14"/>
      <c r="B53" s="109" t="str">
        <f>IF(Roster!$J$1=0,"",Roster!$J$1)</f>
        <v>MA</v>
      </c>
      <c r="C53" s="458"/>
      <c r="D53" s="395"/>
      <c r="E53" s="395"/>
      <c r="F53" s="395"/>
      <c r="G53" s="395"/>
      <c r="H53" s="395"/>
      <c r="I53" s="395"/>
      <c r="J53" s="395"/>
      <c r="K53" s="395"/>
      <c r="L53" s="395"/>
      <c r="M53" s="395"/>
      <c r="N53" s="396"/>
      <c r="O53" s="105"/>
      <c r="P53" s="14"/>
      <c r="Q53" s="109" t="str">
        <f>IF(Roster!$J$1=0,"",Roster!$J$1)</f>
        <v>MA</v>
      </c>
      <c r="R53" s="458"/>
      <c r="S53" s="395"/>
      <c r="T53" s="395"/>
      <c r="U53" s="395"/>
      <c r="V53" s="395"/>
      <c r="W53" s="395"/>
      <c r="X53" s="395"/>
      <c r="Y53" s="395"/>
      <c r="Z53" s="395"/>
      <c r="AA53" s="395"/>
      <c r="AB53" s="395"/>
      <c r="AC53" s="396"/>
      <c r="AD53" s="105"/>
      <c r="AE53" s="14"/>
      <c r="AF53" s="109" t="str">
        <f>IF(Roster!$J$1=0,"",Roster!$J$1)</f>
        <v>MA</v>
      </c>
      <c r="AG53" s="458"/>
      <c r="AH53" s="395"/>
      <c r="AI53" s="395"/>
      <c r="AJ53" s="395"/>
      <c r="AK53" s="395"/>
      <c r="AL53" s="395"/>
      <c r="AM53" s="395"/>
      <c r="AN53" s="395"/>
      <c r="AO53" s="395"/>
      <c r="AP53" s="395"/>
      <c r="AQ53" s="395"/>
      <c r="AR53" s="396"/>
      <c r="AS53" s="105"/>
      <c r="AT53" s="14"/>
      <c r="AU53" s="109" t="str">
        <f>IF(Roster!$J$1=0,"",Roster!$J$1)</f>
        <v>MA</v>
      </c>
      <c r="AV53" s="458"/>
      <c r="AW53" s="395"/>
      <c r="AX53" s="395"/>
      <c r="AY53" s="395"/>
      <c r="AZ53" s="395"/>
      <c r="BA53" s="395"/>
      <c r="BB53" s="395"/>
      <c r="BC53" s="395"/>
      <c r="BD53" s="395"/>
      <c r="BE53" s="395"/>
      <c r="BF53" s="395"/>
      <c r="BG53" s="396"/>
      <c r="BH53" s="105"/>
    </row>
    <row r="54" spans="1:60" ht="37.5" customHeight="1">
      <c r="A54" s="14"/>
      <c r="B54" s="111">
        <f>IF(Roster!$J$9=0,"",Roster!$J$9)</f>
        <v>7</v>
      </c>
      <c r="C54" s="462"/>
      <c r="D54" s="459"/>
      <c r="E54" s="448"/>
      <c r="F54" s="448"/>
      <c r="G54" s="448"/>
      <c r="H54" s="448"/>
      <c r="I54" s="448"/>
      <c r="J54" s="448"/>
      <c r="K54" s="448"/>
      <c r="L54" s="448"/>
      <c r="M54" s="448"/>
      <c r="N54" s="449"/>
      <c r="O54" s="105"/>
      <c r="P54" s="14"/>
      <c r="Q54" s="111">
        <f>IF(Roster!$J$10=0,"",Roster!$J$10)</f>
        <v>4</v>
      </c>
      <c r="R54" s="462"/>
      <c r="S54" s="459"/>
      <c r="T54" s="448"/>
      <c r="U54" s="448"/>
      <c r="V54" s="448"/>
      <c r="W54" s="448"/>
      <c r="X54" s="448"/>
      <c r="Y54" s="448"/>
      <c r="Z54" s="448"/>
      <c r="AA54" s="448"/>
      <c r="AB54" s="448"/>
      <c r="AC54" s="449"/>
      <c r="AD54" s="105"/>
      <c r="AE54" s="14"/>
      <c r="AF54" s="111">
        <f>IF(Roster!$J$11=0,"",Roster!$J$11)</f>
        <v>4</v>
      </c>
      <c r="AG54" s="462"/>
      <c r="AH54" s="459"/>
      <c r="AI54" s="448"/>
      <c r="AJ54" s="448"/>
      <c r="AK54" s="448"/>
      <c r="AL54" s="448"/>
      <c r="AM54" s="448"/>
      <c r="AN54" s="448"/>
      <c r="AO54" s="448"/>
      <c r="AP54" s="448"/>
      <c r="AQ54" s="448"/>
      <c r="AR54" s="449"/>
      <c r="AS54" s="105"/>
      <c r="AT54" s="14"/>
      <c r="AU54" s="111">
        <f>IF(Roster!$J$12=0,"",Roster!$J$12)</f>
        <v>4</v>
      </c>
      <c r="AV54" s="462"/>
      <c r="AW54" s="459"/>
      <c r="AX54" s="448"/>
      <c r="AY54" s="448"/>
      <c r="AZ54" s="448"/>
      <c r="BA54" s="448"/>
      <c r="BB54" s="448"/>
      <c r="BC54" s="448"/>
      <c r="BD54" s="448"/>
      <c r="BE54" s="448"/>
      <c r="BF54" s="448"/>
      <c r="BG54" s="449"/>
      <c r="BH54" s="105"/>
    </row>
    <row r="55" spans="1:60" ht="11.25" customHeight="1">
      <c r="A55" s="14"/>
      <c r="B55" s="109" t="str">
        <f>IF(Roster!$K$1=0,"",Roster!$K$1)</f>
        <v>ST</v>
      </c>
      <c r="C55" s="403"/>
      <c r="D55" s="450"/>
      <c r="E55" s="357"/>
      <c r="F55" s="357"/>
      <c r="G55" s="357"/>
      <c r="H55" s="357"/>
      <c r="I55" s="357"/>
      <c r="J55" s="357"/>
      <c r="K55" s="357"/>
      <c r="L55" s="357"/>
      <c r="M55" s="357"/>
      <c r="N55" s="451"/>
      <c r="O55" s="105"/>
      <c r="P55" s="14"/>
      <c r="Q55" s="109" t="str">
        <f>IF(Roster!$K$1=0,"",Roster!$K$1)</f>
        <v>ST</v>
      </c>
      <c r="R55" s="403"/>
      <c r="S55" s="450"/>
      <c r="T55" s="357"/>
      <c r="U55" s="357"/>
      <c r="V55" s="357"/>
      <c r="W55" s="357"/>
      <c r="X55" s="357"/>
      <c r="Y55" s="357"/>
      <c r="Z55" s="357"/>
      <c r="AA55" s="357"/>
      <c r="AB55" s="357"/>
      <c r="AC55" s="451"/>
      <c r="AD55" s="105"/>
      <c r="AE55" s="14"/>
      <c r="AF55" s="109" t="str">
        <f>IF(Roster!$K$1=0,"",Roster!$K$1)</f>
        <v>ST</v>
      </c>
      <c r="AG55" s="403"/>
      <c r="AH55" s="450"/>
      <c r="AI55" s="357"/>
      <c r="AJ55" s="357"/>
      <c r="AK55" s="357"/>
      <c r="AL55" s="357"/>
      <c r="AM55" s="357"/>
      <c r="AN55" s="357"/>
      <c r="AO55" s="357"/>
      <c r="AP55" s="357"/>
      <c r="AQ55" s="357"/>
      <c r="AR55" s="451"/>
      <c r="AS55" s="105"/>
      <c r="AT55" s="14"/>
      <c r="AU55" s="109" t="str">
        <f>IF(Roster!$K$1=0,"",Roster!$K$1)</f>
        <v>ST</v>
      </c>
      <c r="AV55" s="403"/>
      <c r="AW55" s="450"/>
      <c r="AX55" s="357"/>
      <c r="AY55" s="357"/>
      <c r="AZ55" s="357"/>
      <c r="BA55" s="357"/>
      <c r="BB55" s="357"/>
      <c r="BC55" s="357"/>
      <c r="BD55" s="357"/>
      <c r="BE55" s="357"/>
      <c r="BF55" s="357"/>
      <c r="BG55" s="451"/>
      <c r="BH55" s="105"/>
    </row>
    <row r="56" spans="1:60" ht="37.5" customHeight="1">
      <c r="A56" s="14"/>
      <c r="B56" s="111">
        <f>IF(Roster!$K$9=0,"",Roster!$K$9)</f>
        <v>3</v>
      </c>
      <c r="C56" s="403"/>
      <c r="D56" s="450"/>
      <c r="E56" s="357"/>
      <c r="F56" s="357"/>
      <c r="G56" s="357"/>
      <c r="H56" s="357"/>
      <c r="I56" s="357"/>
      <c r="J56" s="357"/>
      <c r="K56" s="357"/>
      <c r="L56" s="357"/>
      <c r="M56" s="357"/>
      <c r="N56" s="451"/>
      <c r="O56" s="105"/>
      <c r="P56" s="14"/>
      <c r="Q56" s="111">
        <f>IF(Roster!$K$10=0,"",Roster!$K$10)</f>
        <v>3</v>
      </c>
      <c r="R56" s="403"/>
      <c r="S56" s="450"/>
      <c r="T56" s="357"/>
      <c r="U56" s="357"/>
      <c r="V56" s="357"/>
      <c r="W56" s="357"/>
      <c r="X56" s="357"/>
      <c r="Y56" s="357"/>
      <c r="Z56" s="357"/>
      <c r="AA56" s="357"/>
      <c r="AB56" s="357"/>
      <c r="AC56" s="451"/>
      <c r="AD56" s="105"/>
      <c r="AE56" s="14"/>
      <c r="AF56" s="111">
        <f>IF(Roster!$K$11=0,"",Roster!$K$11)</f>
        <v>3</v>
      </c>
      <c r="AG56" s="403"/>
      <c r="AH56" s="450"/>
      <c r="AI56" s="357"/>
      <c r="AJ56" s="357"/>
      <c r="AK56" s="357"/>
      <c r="AL56" s="357"/>
      <c r="AM56" s="357"/>
      <c r="AN56" s="357"/>
      <c r="AO56" s="357"/>
      <c r="AP56" s="357"/>
      <c r="AQ56" s="357"/>
      <c r="AR56" s="451"/>
      <c r="AS56" s="105"/>
      <c r="AT56" s="14"/>
      <c r="AU56" s="111">
        <f>IF(Roster!$K$12=0,"",Roster!$K$12)</f>
        <v>3</v>
      </c>
      <c r="AV56" s="403"/>
      <c r="AW56" s="450"/>
      <c r="AX56" s="357"/>
      <c r="AY56" s="357"/>
      <c r="AZ56" s="357"/>
      <c r="BA56" s="357"/>
      <c r="BB56" s="357"/>
      <c r="BC56" s="357"/>
      <c r="BD56" s="357"/>
      <c r="BE56" s="357"/>
      <c r="BF56" s="357"/>
      <c r="BG56" s="451"/>
      <c r="BH56" s="105"/>
    </row>
    <row r="57" spans="1:60" ht="11.25" customHeight="1">
      <c r="A57" s="14"/>
      <c r="B57" s="109" t="str">
        <f>IF(Roster!$L$1=0,"",Roster!$L$1)</f>
        <v>AG</v>
      </c>
      <c r="C57" s="403"/>
      <c r="D57" s="450"/>
      <c r="E57" s="357"/>
      <c r="F57" s="357"/>
      <c r="G57" s="357"/>
      <c r="H57" s="357"/>
      <c r="I57" s="357"/>
      <c r="J57" s="357"/>
      <c r="K57" s="357"/>
      <c r="L57" s="357"/>
      <c r="M57" s="357"/>
      <c r="N57" s="451"/>
      <c r="O57" s="105"/>
      <c r="P57" s="14"/>
      <c r="Q57" s="109" t="str">
        <f>IF(Roster!$L$1=0,"",Roster!$L$1)</f>
        <v>AG</v>
      </c>
      <c r="R57" s="403"/>
      <c r="S57" s="450"/>
      <c r="T57" s="357"/>
      <c r="U57" s="357"/>
      <c r="V57" s="357"/>
      <c r="W57" s="357"/>
      <c r="X57" s="357"/>
      <c r="Y57" s="357"/>
      <c r="Z57" s="357"/>
      <c r="AA57" s="357"/>
      <c r="AB57" s="357"/>
      <c r="AC57" s="451"/>
      <c r="AD57" s="105"/>
      <c r="AE57" s="14"/>
      <c r="AF57" s="109" t="str">
        <f>IF(Roster!$L$1=0,"",Roster!$L$1)</f>
        <v>AG</v>
      </c>
      <c r="AG57" s="403"/>
      <c r="AH57" s="450"/>
      <c r="AI57" s="357"/>
      <c r="AJ57" s="357"/>
      <c r="AK57" s="357"/>
      <c r="AL57" s="357"/>
      <c r="AM57" s="357"/>
      <c r="AN57" s="357"/>
      <c r="AO57" s="357"/>
      <c r="AP57" s="357"/>
      <c r="AQ57" s="357"/>
      <c r="AR57" s="451"/>
      <c r="AS57" s="105"/>
      <c r="AT57" s="14"/>
      <c r="AU57" s="109" t="str">
        <f>IF(Roster!$L$1=0,"",Roster!$L$1)</f>
        <v>AG</v>
      </c>
      <c r="AV57" s="403"/>
      <c r="AW57" s="450"/>
      <c r="AX57" s="357"/>
      <c r="AY57" s="357"/>
      <c r="AZ57" s="357"/>
      <c r="BA57" s="357"/>
      <c r="BB57" s="357"/>
      <c r="BC57" s="357"/>
      <c r="BD57" s="357"/>
      <c r="BE57" s="357"/>
      <c r="BF57" s="357"/>
      <c r="BG57" s="451"/>
      <c r="BH57" s="105"/>
    </row>
    <row r="58" spans="1:60" ht="37.5" customHeight="1">
      <c r="A58" s="14"/>
      <c r="B58" s="111" t="str">
        <f>IF(Roster!$L$9=0&amp;"+","",Roster!$L$9)</f>
        <v>3+</v>
      </c>
      <c r="C58" s="403"/>
      <c r="D58" s="450"/>
      <c r="E58" s="357"/>
      <c r="F58" s="357"/>
      <c r="G58" s="357"/>
      <c r="H58" s="357"/>
      <c r="I58" s="357"/>
      <c r="J58" s="357"/>
      <c r="K58" s="357"/>
      <c r="L58" s="357"/>
      <c r="M58" s="357"/>
      <c r="N58" s="451"/>
      <c r="O58" s="105"/>
      <c r="P58" s="14"/>
      <c r="Q58" s="111" t="str">
        <f>IF(Roster!$L$10=0&amp;"+","",Roster!$L$10)</f>
        <v>4+</v>
      </c>
      <c r="R58" s="403"/>
      <c r="S58" s="450"/>
      <c r="T58" s="357"/>
      <c r="U58" s="357"/>
      <c r="V58" s="357"/>
      <c r="W58" s="357"/>
      <c r="X58" s="357"/>
      <c r="Y58" s="357"/>
      <c r="Z58" s="357"/>
      <c r="AA58" s="357"/>
      <c r="AB58" s="357"/>
      <c r="AC58" s="451"/>
      <c r="AD58" s="105"/>
      <c r="AE58" s="14"/>
      <c r="AF58" s="111" t="str">
        <f>IF(Roster!$L$11=0&amp;"+","",Roster!$L$11)</f>
        <v>4+</v>
      </c>
      <c r="AG58" s="403"/>
      <c r="AH58" s="450"/>
      <c r="AI58" s="357"/>
      <c r="AJ58" s="357"/>
      <c r="AK58" s="357"/>
      <c r="AL58" s="357"/>
      <c r="AM58" s="357"/>
      <c r="AN58" s="357"/>
      <c r="AO58" s="357"/>
      <c r="AP58" s="357"/>
      <c r="AQ58" s="357"/>
      <c r="AR58" s="451"/>
      <c r="AS58" s="105"/>
      <c r="AT58" s="14"/>
      <c r="AU58" s="111" t="str">
        <f>IF(Roster!$L$12=0&amp;"+","",Roster!$L$12)</f>
        <v>4+</v>
      </c>
      <c r="AV58" s="403"/>
      <c r="AW58" s="450"/>
      <c r="AX58" s="357"/>
      <c r="AY58" s="357"/>
      <c r="AZ58" s="357"/>
      <c r="BA58" s="357"/>
      <c r="BB58" s="357"/>
      <c r="BC58" s="357"/>
      <c r="BD58" s="357"/>
      <c r="BE58" s="357"/>
      <c r="BF58" s="357"/>
      <c r="BG58" s="451"/>
      <c r="BH58" s="105"/>
    </row>
    <row r="59" spans="1:60" ht="11.25" customHeight="1">
      <c r="A59" s="14"/>
      <c r="B59" s="109" t="str">
        <f>IF(Roster!$M$1=0,"",Roster!$M$1)</f>
        <v>PA</v>
      </c>
      <c r="C59" s="403"/>
      <c r="D59" s="450"/>
      <c r="E59" s="357"/>
      <c r="F59" s="357"/>
      <c r="G59" s="357"/>
      <c r="H59" s="357"/>
      <c r="I59" s="357"/>
      <c r="J59" s="357"/>
      <c r="K59" s="357"/>
      <c r="L59" s="357"/>
      <c r="M59" s="357"/>
      <c r="N59" s="451"/>
      <c r="O59" s="114"/>
      <c r="P59" s="14"/>
      <c r="Q59" s="109" t="str">
        <f>IF(Roster!$M$1=0,"",Roster!$M$1)</f>
        <v>PA</v>
      </c>
      <c r="R59" s="403"/>
      <c r="S59" s="450"/>
      <c r="T59" s="357"/>
      <c r="U59" s="357"/>
      <c r="V59" s="357"/>
      <c r="W59" s="357"/>
      <c r="X59" s="357"/>
      <c r="Y59" s="357"/>
      <c r="Z59" s="357"/>
      <c r="AA59" s="357"/>
      <c r="AB59" s="357"/>
      <c r="AC59" s="451"/>
      <c r="AD59" s="114"/>
      <c r="AE59" s="14"/>
      <c r="AF59" s="109" t="str">
        <f>IF(Roster!$M$1=0,"",Roster!$M$1)</f>
        <v>PA</v>
      </c>
      <c r="AG59" s="403"/>
      <c r="AH59" s="450"/>
      <c r="AI59" s="357"/>
      <c r="AJ59" s="357"/>
      <c r="AK59" s="357"/>
      <c r="AL59" s="357"/>
      <c r="AM59" s="357"/>
      <c r="AN59" s="357"/>
      <c r="AO59" s="357"/>
      <c r="AP59" s="357"/>
      <c r="AQ59" s="357"/>
      <c r="AR59" s="451"/>
      <c r="AS59" s="114"/>
      <c r="AT59" s="14"/>
      <c r="AU59" s="109" t="str">
        <f>IF(Roster!$M$1=0,"",Roster!$M$1)</f>
        <v>PA</v>
      </c>
      <c r="AV59" s="403"/>
      <c r="AW59" s="450"/>
      <c r="AX59" s="357"/>
      <c r="AY59" s="357"/>
      <c r="AZ59" s="357"/>
      <c r="BA59" s="357"/>
      <c r="BB59" s="357"/>
      <c r="BC59" s="357"/>
      <c r="BD59" s="357"/>
      <c r="BE59" s="357"/>
      <c r="BF59" s="357"/>
      <c r="BG59" s="451"/>
      <c r="BH59" s="114"/>
    </row>
    <row r="60" spans="1:60" ht="6" customHeight="1">
      <c r="A60" s="14"/>
      <c r="B60" s="457" t="str">
        <f>IF(Roster!$M$9=0&amp;"+","",Roster!$M$9)</f>
        <v>4+</v>
      </c>
      <c r="C60" s="403"/>
      <c r="D60" s="452"/>
      <c r="E60" s="453"/>
      <c r="F60" s="453"/>
      <c r="G60" s="453"/>
      <c r="H60" s="453"/>
      <c r="I60" s="453"/>
      <c r="J60" s="453"/>
      <c r="K60" s="453"/>
      <c r="L60" s="453"/>
      <c r="M60" s="453"/>
      <c r="N60" s="454"/>
      <c r="O60" s="116"/>
      <c r="P60" s="14"/>
      <c r="Q60" s="457" t="str">
        <f>IF(Roster!$M$10=0&amp;"+","",Roster!$M$10)</f>
        <v/>
      </c>
      <c r="R60" s="403"/>
      <c r="S60" s="452"/>
      <c r="T60" s="453"/>
      <c r="U60" s="453"/>
      <c r="V60" s="453"/>
      <c r="W60" s="453"/>
      <c r="X60" s="453"/>
      <c r="Y60" s="453"/>
      <c r="Z60" s="453"/>
      <c r="AA60" s="453"/>
      <c r="AB60" s="453"/>
      <c r="AC60" s="454"/>
      <c r="AD60" s="116"/>
      <c r="AE60" s="14"/>
      <c r="AF60" s="457" t="str">
        <f>IF(Roster!$M$11=0&amp;"+","",Roster!$M$11)</f>
        <v/>
      </c>
      <c r="AG60" s="403"/>
      <c r="AH60" s="452"/>
      <c r="AI60" s="453"/>
      <c r="AJ60" s="453"/>
      <c r="AK60" s="453"/>
      <c r="AL60" s="453"/>
      <c r="AM60" s="453"/>
      <c r="AN60" s="453"/>
      <c r="AO60" s="453"/>
      <c r="AP60" s="453"/>
      <c r="AQ60" s="453"/>
      <c r="AR60" s="454"/>
      <c r="AS60" s="116"/>
      <c r="AT60" s="14"/>
      <c r="AU60" s="457" t="str">
        <f>IF(Roster!$M$12=0&amp;"+","",Roster!$M$12)</f>
        <v/>
      </c>
      <c r="AV60" s="403"/>
      <c r="AW60" s="452"/>
      <c r="AX60" s="453"/>
      <c r="AY60" s="453"/>
      <c r="AZ60" s="453"/>
      <c r="BA60" s="453"/>
      <c r="BB60" s="453"/>
      <c r="BC60" s="453"/>
      <c r="BD60" s="453"/>
      <c r="BE60" s="453"/>
      <c r="BF60" s="453"/>
      <c r="BG60" s="454"/>
      <c r="BH60" s="116"/>
    </row>
    <row r="61" spans="1:60" ht="4.5" customHeight="1">
      <c r="A61" s="14"/>
      <c r="B61" s="403"/>
      <c r="C61" s="403"/>
      <c r="D61" s="117"/>
      <c r="E61" s="118"/>
      <c r="F61" s="117"/>
      <c r="G61" s="118"/>
      <c r="H61" s="117"/>
      <c r="I61" s="118"/>
      <c r="J61" s="117"/>
      <c r="K61" s="118"/>
      <c r="L61" s="117"/>
      <c r="M61" s="118"/>
      <c r="N61" s="117"/>
      <c r="O61" s="116"/>
      <c r="P61" s="14"/>
      <c r="Q61" s="403"/>
      <c r="R61" s="403"/>
      <c r="S61" s="117"/>
      <c r="T61" s="118"/>
      <c r="U61" s="117"/>
      <c r="V61" s="118"/>
      <c r="W61" s="117"/>
      <c r="X61" s="118"/>
      <c r="Y61" s="117"/>
      <c r="Z61" s="118"/>
      <c r="AA61" s="117"/>
      <c r="AB61" s="118"/>
      <c r="AC61" s="117"/>
      <c r="AD61" s="116"/>
      <c r="AE61" s="14"/>
      <c r="AF61" s="403"/>
      <c r="AG61" s="403"/>
      <c r="AH61" s="117"/>
      <c r="AI61" s="118"/>
      <c r="AJ61" s="117"/>
      <c r="AK61" s="118"/>
      <c r="AL61" s="117"/>
      <c r="AM61" s="118"/>
      <c r="AN61" s="117"/>
      <c r="AO61" s="118"/>
      <c r="AP61" s="117"/>
      <c r="AQ61" s="118"/>
      <c r="AR61" s="117"/>
      <c r="AS61" s="116"/>
      <c r="AT61" s="14"/>
      <c r="AU61" s="403"/>
      <c r="AV61" s="403"/>
      <c r="AW61" s="117"/>
      <c r="AX61" s="118"/>
      <c r="AY61" s="117"/>
      <c r="AZ61" s="118"/>
      <c r="BA61" s="117"/>
      <c r="BB61" s="118"/>
      <c r="BC61" s="117"/>
      <c r="BD61" s="118"/>
      <c r="BE61" s="117"/>
      <c r="BF61" s="118"/>
      <c r="BG61" s="117"/>
      <c r="BH61" s="116"/>
    </row>
    <row r="62" spans="1:60" ht="11.25" customHeight="1">
      <c r="A62" s="14"/>
      <c r="B62" s="403"/>
      <c r="C62" s="403"/>
      <c r="D62" s="461" t="str">
        <f>IF(Roster!$J$24="Italiano","ABILITÀ &amp; TRATTI",(IF(Roster!$J$24="Español","HABILIDADES Y RASGOS","SKILLS &amp; TRAITS")))</f>
        <v>SKILLS &amp; TRAITS</v>
      </c>
      <c r="E62" s="395"/>
      <c r="F62" s="395"/>
      <c r="G62" s="395"/>
      <c r="H62" s="395"/>
      <c r="I62" s="395"/>
      <c r="J62" s="395"/>
      <c r="K62" s="395"/>
      <c r="L62" s="395"/>
      <c r="M62" s="395"/>
      <c r="N62" s="396"/>
      <c r="O62" s="116"/>
      <c r="P62" s="14"/>
      <c r="Q62" s="403"/>
      <c r="R62" s="403"/>
      <c r="S62" s="461" t="str">
        <f>IF(Roster!$J$24="Italiano","ABILITÀ &amp; TRATTI",(IF(Roster!$J$24="Español","HABILIDADES Y RASGOS","SKILLS &amp; TRAITS")))</f>
        <v>SKILLS &amp; TRAITS</v>
      </c>
      <c r="T62" s="395"/>
      <c r="U62" s="395"/>
      <c r="V62" s="395"/>
      <c r="W62" s="395"/>
      <c r="X62" s="395"/>
      <c r="Y62" s="395"/>
      <c r="Z62" s="395"/>
      <c r="AA62" s="395"/>
      <c r="AB62" s="395"/>
      <c r="AC62" s="396"/>
      <c r="AD62" s="116"/>
      <c r="AE62" s="14"/>
      <c r="AF62" s="403"/>
      <c r="AG62" s="403"/>
      <c r="AH62" s="461" t="str">
        <f>IF(Roster!$J$24="Italiano","ABILITÀ &amp; TRATTI",(IF(Roster!$J$24="Español","HABILIDADES Y RASGOS","SKILLS &amp; TRAITS")))</f>
        <v>SKILLS &amp; TRAITS</v>
      </c>
      <c r="AI62" s="395"/>
      <c r="AJ62" s="395"/>
      <c r="AK62" s="395"/>
      <c r="AL62" s="395"/>
      <c r="AM62" s="395"/>
      <c r="AN62" s="395"/>
      <c r="AO62" s="395"/>
      <c r="AP62" s="395"/>
      <c r="AQ62" s="395"/>
      <c r="AR62" s="396"/>
      <c r="AS62" s="116"/>
      <c r="AT62" s="14"/>
      <c r="AU62" s="403"/>
      <c r="AV62" s="403"/>
      <c r="AW62" s="461" t="str">
        <f>IF(Roster!$J$24="Italiano","ABILITÀ &amp; TRATTI",(IF(Roster!$J$24="Español","HABILIDADES Y RASGOS","SKILLS &amp; TRAITS")))</f>
        <v>SKILLS &amp; TRAITS</v>
      </c>
      <c r="AX62" s="395"/>
      <c r="AY62" s="395"/>
      <c r="AZ62" s="395"/>
      <c r="BA62" s="395"/>
      <c r="BB62" s="395"/>
      <c r="BC62" s="395"/>
      <c r="BD62" s="395"/>
      <c r="BE62" s="395"/>
      <c r="BF62" s="395"/>
      <c r="BG62" s="396"/>
      <c r="BH62" s="116"/>
    </row>
    <row r="63" spans="1:60" ht="15" customHeight="1">
      <c r="A63" s="14"/>
      <c r="B63" s="403"/>
      <c r="C63" s="403"/>
      <c r="D63" s="460" t="str">
        <f>IF(Roster!$O$9=0,"",Roster!$O$9&amp;Roster!BF9)</f>
        <v>Dodge</v>
      </c>
      <c r="E63" s="448"/>
      <c r="F63" s="448"/>
      <c r="G63" s="448"/>
      <c r="H63" s="448"/>
      <c r="I63" s="448"/>
      <c r="J63" s="448"/>
      <c r="K63" s="448"/>
      <c r="L63" s="448"/>
      <c r="M63" s="448"/>
      <c r="N63" s="449"/>
      <c r="O63" s="116"/>
      <c r="P63" s="14"/>
      <c r="Q63" s="403"/>
      <c r="R63" s="403"/>
      <c r="S63" s="460" t="str">
        <f>IF(Roster!$O$10=0,"",Roster!$O$10&amp;Roster!BF10)</f>
        <v>Regeneration</v>
      </c>
      <c r="T63" s="448"/>
      <c r="U63" s="448"/>
      <c r="V63" s="448"/>
      <c r="W63" s="448"/>
      <c r="X63" s="448"/>
      <c r="Y63" s="448"/>
      <c r="Z63" s="448"/>
      <c r="AA63" s="448"/>
      <c r="AB63" s="448"/>
      <c r="AC63" s="449"/>
      <c r="AD63" s="116"/>
      <c r="AE63" s="14"/>
      <c r="AF63" s="403"/>
      <c r="AG63" s="403"/>
      <c r="AH63" s="460" t="str">
        <f>IF(Roster!$O$11=0,"",Roster!$O$11&amp;Roster!BF11)</f>
        <v>Regeneration</v>
      </c>
      <c r="AI63" s="448"/>
      <c r="AJ63" s="448"/>
      <c r="AK63" s="448"/>
      <c r="AL63" s="448"/>
      <c r="AM63" s="448"/>
      <c r="AN63" s="448"/>
      <c r="AO63" s="448"/>
      <c r="AP63" s="448"/>
      <c r="AQ63" s="448"/>
      <c r="AR63" s="449"/>
      <c r="AS63" s="116"/>
      <c r="AT63" s="14"/>
      <c r="AU63" s="403"/>
      <c r="AV63" s="403"/>
      <c r="AW63" s="460" t="str">
        <f>IF(Roster!$O$12=0,"",Roster!$O$12&amp;Roster!BF12)</f>
        <v>Regeneration</v>
      </c>
      <c r="AX63" s="448"/>
      <c r="AY63" s="448"/>
      <c r="AZ63" s="448"/>
      <c r="BA63" s="448"/>
      <c r="BB63" s="448"/>
      <c r="BC63" s="448"/>
      <c r="BD63" s="448"/>
      <c r="BE63" s="448"/>
      <c r="BF63" s="448"/>
      <c r="BG63" s="449"/>
      <c r="BH63" s="116"/>
    </row>
    <row r="64" spans="1:60" ht="4.5" customHeight="1">
      <c r="A64" s="14"/>
      <c r="B64" s="404"/>
      <c r="C64" s="403"/>
      <c r="D64" s="450"/>
      <c r="E64" s="357"/>
      <c r="F64" s="357"/>
      <c r="G64" s="357"/>
      <c r="H64" s="357"/>
      <c r="I64" s="357"/>
      <c r="J64" s="357"/>
      <c r="K64" s="357"/>
      <c r="L64" s="357"/>
      <c r="M64" s="357"/>
      <c r="N64" s="451"/>
      <c r="O64" s="116"/>
      <c r="P64" s="14"/>
      <c r="Q64" s="404"/>
      <c r="R64" s="403"/>
      <c r="S64" s="450"/>
      <c r="T64" s="357"/>
      <c r="U64" s="357"/>
      <c r="V64" s="357"/>
      <c r="W64" s="357"/>
      <c r="X64" s="357"/>
      <c r="Y64" s="357"/>
      <c r="Z64" s="357"/>
      <c r="AA64" s="357"/>
      <c r="AB64" s="357"/>
      <c r="AC64" s="451"/>
      <c r="AD64" s="116"/>
      <c r="AE64" s="14"/>
      <c r="AF64" s="404"/>
      <c r="AG64" s="403"/>
      <c r="AH64" s="450"/>
      <c r="AI64" s="357"/>
      <c r="AJ64" s="357"/>
      <c r="AK64" s="357"/>
      <c r="AL64" s="357"/>
      <c r="AM64" s="357"/>
      <c r="AN64" s="357"/>
      <c r="AO64" s="357"/>
      <c r="AP64" s="357"/>
      <c r="AQ64" s="357"/>
      <c r="AR64" s="451"/>
      <c r="AS64" s="116"/>
      <c r="AT64" s="14"/>
      <c r="AU64" s="404"/>
      <c r="AV64" s="403"/>
      <c r="AW64" s="450"/>
      <c r="AX64" s="357"/>
      <c r="AY64" s="357"/>
      <c r="AZ64" s="357"/>
      <c r="BA64" s="357"/>
      <c r="BB64" s="357"/>
      <c r="BC64" s="357"/>
      <c r="BD64" s="357"/>
      <c r="BE64" s="357"/>
      <c r="BF64" s="357"/>
      <c r="BG64" s="451"/>
      <c r="BH64" s="116"/>
    </row>
    <row r="65" spans="1:60" ht="11.25" customHeight="1">
      <c r="A65" s="14"/>
      <c r="B65" s="109" t="str">
        <f>IF(Roster!$N$1=0,"",Roster!$N$1)</f>
        <v>AV</v>
      </c>
      <c r="C65" s="403"/>
      <c r="D65" s="450"/>
      <c r="E65" s="357"/>
      <c r="F65" s="357"/>
      <c r="G65" s="357"/>
      <c r="H65" s="357"/>
      <c r="I65" s="357"/>
      <c r="J65" s="357"/>
      <c r="K65" s="357"/>
      <c r="L65" s="357"/>
      <c r="M65" s="357"/>
      <c r="N65" s="451"/>
      <c r="O65" s="105"/>
      <c r="P65" s="14"/>
      <c r="Q65" s="109" t="str">
        <f>IF(Roster!$N$1=0,"",Roster!$N$1)</f>
        <v>AV</v>
      </c>
      <c r="R65" s="403"/>
      <c r="S65" s="450"/>
      <c r="T65" s="357"/>
      <c r="U65" s="357"/>
      <c r="V65" s="357"/>
      <c r="W65" s="357"/>
      <c r="X65" s="357"/>
      <c r="Y65" s="357"/>
      <c r="Z65" s="357"/>
      <c r="AA65" s="357"/>
      <c r="AB65" s="357"/>
      <c r="AC65" s="451"/>
      <c r="AD65" s="105"/>
      <c r="AE65" s="14"/>
      <c r="AF65" s="109" t="str">
        <f>IF(Roster!$N$1=0,"",Roster!$N$1)</f>
        <v>AV</v>
      </c>
      <c r="AG65" s="403"/>
      <c r="AH65" s="450"/>
      <c r="AI65" s="357"/>
      <c r="AJ65" s="357"/>
      <c r="AK65" s="357"/>
      <c r="AL65" s="357"/>
      <c r="AM65" s="357"/>
      <c r="AN65" s="357"/>
      <c r="AO65" s="357"/>
      <c r="AP65" s="357"/>
      <c r="AQ65" s="357"/>
      <c r="AR65" s="451"/>
      <c r="AS65" s="105"/>
      <c r="AT65" s="14"/>
      <c r="AU65" s="109" t="str">
        <f>IF(Roster!$N$1=0,"",Roster!$N$1)</f>
        <v>AV</v>
      </c>
      <c r="AV65" s="403"/>
      <c r="AW65" s="450"/>
      <c r="AX65" s="357"/>
      <c r="AY65" s="357"/>
      <c r="AZ65" s="357"/>
      <c r="BA65" s="357"/>
      <c r="BB65" s="357"/>
      <c r="BC65" s="357"/>
      <c r="BD65" s="357"/>
      <c r="BE65" s="357"/>
      <c r="BF65" s="357"/>
      <c r="BG65" s="451"/>
      <c r="BH65" s="105"/>
    </row>
    <row r="66" spans="1:60" ht="15" customHeight="1">
      <c r="A66" s="14"/>
      <c r="B66" s="457" t="str">
        <f>IF(Roster!$N$9=0&amp;"+","",Roster!$N$9)</f>
        <v>8+</v>
      </c>
      <c r="C66" s="403"/>
      <c r="D66" s="450"/>
      <c r="E66" s="357"/>
      <c r="F66" s="357"/>
      <c r="G66" s="357"/>
      <c r="H66" s="357"/>
      <c r="I66" s="357"/>
      <c r="J66" s="357"/>
      <c r="K66" s="357"/>
      <c r="L66" s="357"/>
      <c r="M66" s="357"/>
      <c r="N66" s="451"/>
      <c r="O66" s="119"/>
      <c r="P66" s="14"/>
      <c r="Q66" s="457" t="str">
        <f>IF(Roster!$N$10=0&amp;"+","",Roster!$N$10)</f>
        <v>9+</v>
      </c>
      <c r="R66" s="403"/>
      <c r="S66" s="450"/>
      <c r="T66" s="357"/>
      <c r="U66" s="357"/>
      <c r="V66" s="357"/>
      <c r="W66" s="357"/>
      <c r="X66" s="357"/>
      <c r="Y66" s="357"/>
      <c r="Z66" s="357"/>
      <c r="AA66" s="357"/>
      <c r="AB66" s="357"/>
      <c r="AC66" s="451"/>
      <c r="AD66" s="119"/>
      <c r="AE66" s="14"/>
      <c r="AF66" s="457" t="str">
        <f>IF(Roster!$N$11=0&amp;"+","",Roster!$N$11)</f>
        <v>9+</v>
      </c>
      <c r="AG66" s="403"/>
      <c r="AH66" s="450"/>
      <c r="AI66" s="357"/>
      <c r="AJ66" s="357"/>
      <c r="AK66" s="357"/>
      <c r="AL66" s="357"/>
      <c r="AM66" s="357"/>
      <c r="AN66" s="357"/>
      <c r="AO66" s="357"/>
      <c r="AP66" s="357"/>
      <c r="AQ66" s="357"/>
      <c r="AR66" s="451"/>
      <c r="AS66" s="119"/>
      <c r="AT66" s="14"/>
      <c r="AU66" s="457" t="str">
        <f>IF(Roster!$N$12=0&amp;"+","",Roster!$N$12)</f>
        <v>9+</v>
      </c>
      <c r="AV66" s="403"/>
      <c r="AW66" s="450"/>
      <c r="AX66" s="357"/>
      <c r="AY66" s="357"/>
      <c r="AZ66" s="357"/>
      <c r="BA66" s="357"/>
      <c r="BB66" s="357"/>
      <c r="BC66" s="357"/>
      <c r="BD66" s="357"/>
      <c r="BE66" s="357"/>
      <c r="BF66" s="357"/>
      <c r="BG66" s="451"/>
      <c r="BH66" s="119"/>
    </row>
    <row r="67" spans="1:60" ht="4.5" customHeight="1">
      <c r="A67" s="14"/>
      <c r="B67" s="403"/>
      <c r="C67" s="403"/>
      <c r="D67" s="450"/>
      <c r="E67" s="357"/>
      <c r="F67" s="357"/>
      <c r="G67" s="357"/>
      <c r="H67" s="357"/>
      <c r="I67" s="357"/>
      <c r="J67" s="357"/>
      <c r="K67" s="357"/>
      <c r="L67" s="357"/>
      <c r="M67" s="357"/>
      <c r="N67" s="451"/>
      <c r="O67" s="119"/>
      <c r="P67" s="14"/>
      <c r="Q67" s="403"/>
      <c r="R67" s="403"/>
      <c r="S67" s="450"/>
      <c r="T67" s="357"/>
      <c r="U67" s="357"/>
      <c r="V67" s="357"/>
      <c r="W67" s="357"/>
      <c r="X67" s="357"/>
      <c r="Y67" s="357"/>
      <c r="Z67" s="357"/>
      <c r="AA67" s="357"/>
      <c r="AB67" s="357"/>
      <c r="AC67" s="451"/>
      <c r="AD67" s="119"/>
      <c r="AE67" s="14"/>
      <c r="AF67" s="403"/>
      <c r="AG67" s="403"/>
      <c r="AH67" s="450"/>
      <c r="AI67" s="357"/>
      <c r="AJ67" s="357"/>
      <c r="AK67" s="357"/>
      <c r="AL67" s="357"/>
      <c r="AM67" s="357"/>
      <c r="AN67" s="357"/>
      <c r="AO67" s="357"/>
      <c r="AP67" s="357"/>
      <c r="AQ67" s="357"/>
      <c r="AR67" s="451"/>
      <c r="AS67" s="119"/>
      <c r="AT67" s="14"/>
      <c r="AU67" s="403"/>
      <c r="AV67" s="403"/>
      <c r="AW67" s="450"/>
      <c r="AX67" s="357"/>
      <c r="AY67" s="357"/>
      <c r="AZ67" s="357"/>
      <c r="BA67" s="357"/>
      <c r="BB67" s="357"/>
      <c r="BC67" s="357"/>
      <c r="BD67" s="357"/>
      <c r="BE67" s="357"/>
      <c r="BF67" s="357"/>
      <c r="BG67" s="451"/>
      <c r="BH67" s="119"/>
    </row>
    <row r="68" spans="1:60" ht="11.25" customHeight="1">
      <c r="A68" s="14"/>
      <c r="B68" s="403"/>
      <c r="C68" s="403"/>
      <c r="D68" s="450"/>
      <c r="E68" s="357"/>
      <c r="F68" s="357"/>
      <c r="G68" s="357"/>
      <c r="H68" s="357"/>
      <c r="I68" s="357"/>
      <c r="J68" s="357"/>
      <c r="K68" s="357"/>
      <c r="L68" s="357"/>
      <c r="M68" s="357"/>
      <c r="N68" s="451"/>
      <c r="O68" s="119"/>
      <c r="P68" s="14"/>
      <c r="Q68" s="403"/>
      <c r="R68" s="403"/>
      <c r="S68" s="450"/>
      <c r="T68" s="357"/>
      <c r="U68" s="357"/>
      <c r="V68" s="357"/>
      <c r="W68" s="357"/>
      <c r="X68" s="357"/>
      <c r="Y68" s="357"/>
      <c r="Z68" s="357"/>
      <c r="AA68" s="357"/>
      <c r="AB68" s="357"/>
      <c r="AC68" s="451"/>
      <c r="AD68" s="119"/>
      <c r="AE68" s="14"/>
      <c r="AF68" s="403"/>
      <c r="AG68" s="403"/>
      <c r="AH68" s="450"/>
      <c r="AI68" s="357"/>
      <c r="AJ68" s="357"/>
      <c r="AK68" s="357"/>
      <c r="AL68" s="357"/>
      <c r="AM68" s="357"/>
      <c r="AN68" s="357"/>
      <c r="AO68" s="357"/>
      <c r="AP68" s="357"/>
      <c r="AQ68" s="357"/>
      <c r="AR68" s="451"/>
      <c r="AS68" s="119"/>
      <c r="AT68" s="14"/>
      <c r="AU68" s="403"/>
      <c r="AV68" s="403"/>
      <c r="AW68" s="450"/>
      <c r="AX68" s="357"/>
      <c r="AY68" s="357"/>
      <c r="AZ68" s="357"/>
      <c r="BA68" s="357"/>
      <c r="BB68" s="357"/>
      <c r="BC68" s="357"/>
      <c r="BD68" s="357"/>
      <c r="BE68" s="357"/>
      <c r="BF68" s="357"/>
      <c r="BG68" s="451"/>
      <c r="BH68" s="119"/>
    </row>
    <row r="69" spans="1:60" ht="6.75" customHeight="1">
      <c r="A69" s="14"/>
      <c r="B69" s="404"/>
      <c r="C69" s="403"/>
      <c r="D69" s="450"/>
      <c r="E69" s="357"/>
      <c r="F69" s="357"/>
      <c r="G69" s="357"/>
      <c r="H69" s="357"/>
      <c r="I69" s="357"/>
      <c r="J69" s="357"/>
      <c r="K69" s="357"/>
      <c r="L69" s="357"/>
      <c r="M69" s="357"/>
      <c r="N69" s="451"/>
      <c r="O69" s="119"/>
      <c r="P69" s="14"/>
      <c r="Q69" s="404"/>
      <c r="R69" s="403"/>
      <c r="S69" s="450"/>
      <c r="T69" s="357"/>
      <c r="U69" s="357"/>
      <c r="V69" s="357"/>
      <c r="W69" s="357"/>
      <c r="X69" s="357"/>
      <c r="Y69" s="357"/>
      <c r="Z69" s="357"/>
      <c r="AA69" s="357"/>
      <c r="AB69" s="357"/>
      <c r="AC69" s="451"/>
      <c r="AD69" s="119"/>
      <c r="AE69" s="14"/>
      <c r="AF69" s="404"/>
      <c r="AG69" s="403"/>
      <c r="AH69" s="450"/>
      <c r="AI69" s="357"/>
      <c r="AJ69" s="357"/>
      <c r="AK69" s="357"/>
      <c r="AL69" s="357"/>
      <c r="AM69" s="357"/>
      <c r="AN69" s="357"/>
      <c r="AO69" s="357"/>
      <c r="AP69" s="357"/>
      <c r="AQ69" s="357"/>
      <c r="AR69" s="451"/>
      <c r="AS69" s="119"/>
      <c r="AT69" s="14"/>
      <c r="AU69" s="404"/>
      <c r="AV69" s="403"/>
      <c r="AW69" s="450"/>
      <c r="AX69" s="357"/>
      <c r="AY69" s="357"/>
      <c r="AZ69" s="357"/>
      <c r="BA69" s="357"/>
      <c r="BB69" s="357"/>
      <c r="BC69" s="357"/>
      <c r="BD69" s="357"/>
      <c r="BE69" s="357"/>
      <c r="BF69" s="357"/>
      <c r="BG69" s="451"/>
      <c r="BH69" s="119"/>
    </row>
    <row r="70" spans="1:60" ht="11.25" customHeight="1">
      <c r="A70" s="14"/>
      <c r="B70" s="109" t="str">
        <f>IF(Roster!$AN$1=0,"",Roster!$AN$1)</f>
        <v>COST</v>
      </c>
      <c r="C70" s="403"/>
      <c r="D70" s="450"/>
      <c r="E70" s="357"/>
      <c r="F70" s="357"/>
      <c r="G70" s="357"/>
      <c r="H70" s="357"/>
      <c r="I70" s="357"/>
      <c r="J70" s="357"/>
      <c r="K70" s="357"/>
      <c r="L70" s="357"/>
      <c r="M70" s="357"/>
      <c r="N70" s="451"/>
      <c r="O70" s="120"/>
      <c r="P70" s="14"/>
      <c r="Q70" s="109" t="str">
        <f>IF(Roster!$AN$1=0,"",Roster!$AN$1)</f>
        <v>COST</v>
      </c>
      <c r="R70" s="403"/>
      <c r="S70" s="450"/>
      <c r="T70" s="357"/>
      <c r="U70" s="357"/>
      <c r="V70" s="357"/>
      <c r="W70" s="357"/>
      <c r="X70" s="357"/>
      <c r="Y70" s="357"/>
      <c r="Z70" s="357"/>
      <c r="AA70" s="357"/>
      <c r="AB70" s="357"/>
      <c r="AC70" s="451"/>
      <c r="AD70" s="120"/>
      <c r="AE70" s="14"/>
      <c r="AF70" s="109" t="str">
        <f>IF(Roster!$AN$1=0,"",Roster!$AN$1)</f>
        <v>COST</v>
      </c>
      <c r="AG70" s="403"/>
      <c r="AH70" s="450"/>
      <c r="AI70" s="357"/>
      <c r="AJ70" s="357"/>
      <c r="AK70" s="357"/>
      <c r="AL70" s="357"/>
      <c r="AM70" s="357"/>
      <c r="AN70" s="357"/>
      <c r="AO70" s="357"/>
      <c r="AP70" s="357"/>
      <c r="AQ70" s="357"/>
      <c r="AR70" s="451"/>
      <c r="AS70" s="120"/>
      <c r="AT70" s="14"/>
      <c r="AU70" s="109" t="str">
        <f>IF(Roster!$AN$1=0,"",Roster!$AN$1)</f>
        <v>COST</v>
      </c>
      <c r="AV70" s="403"/>
      <c r="AW70" s="450"/>
      <c r="AX70" s="357"/>
      <c r="AY70" s="357"/>
      <c r="AZ70" s="357"/>
      <c r="BA70" s="357"/>
      <c r="BB70" s="357"/>
      <c r="BC70" s="357"/>
      <c r="BD70" s="357"/>
      <c r="BE70" s="357"/>
      <c r="BF70" s="357"/>
      <c r="BG70" s="451"/>
      <c r="BH70" s="120"/>
    </row>
    <row r="71" spans="1:60" ht="34.5" customHeight="1">
      <c r="A71" s="14"/>
      <c r="B71" s="122">
        <f>IF(Roster!$AN$9=0,"",Roster!$AN$9)</f>
        <v>75000</v>
      </c>
      <c r="C71" s="404"/>
      <c r="D71" s="452"/>
      <c r="E71" s="453"/>
      <c r="F71" s="453"/>
      <c r="G71" s="453"/>
      <c r="H71" s="453"/>
      <c r="I71" s="453"/>
      <c r="J71" s="453"/>
      <c r="K71" s="453"/>
      <c r="L71" s="453"/>
      <c r="M71" s="453"/>
      <c r="N71" s="454"/>
      <c r="O71" s="120"/>
      <c r="P71" s="14"/>
      <c r="Q71" s="122">
        <f>IF(Roster!$AN$10=0,"",Roster!$AN$10)</f>
        <v>40000</v>
      </c>
      <c r="R71" s="404"/>
      <c r="S71" s="452"/>
      <c r="T71" s="453"/>
      <c r="U71" s="453"/>
      <c r="V71" s="453"/>
      <c r="W71" s="453"/>
      <c r="X71" s="453"/>
      <c r="Y71" s="453"/>
      <c r="Z71" s="453"/>
      <c r="AA71" s="453"/>
      <c r="AB71" s="453"/>
      <c r="AC71" s="454"/>
      <c r="AD71" s="120"/>
      <c r="AE71" s="14"/>
      <c r="AF71" s="122">
        <f>IF(Roster!$AN$11=0,"",Roster!$AN$11)</f>
        <v>40000</v>
      </c>
      <c r="AG71" s="404"/>
      <c r="AH71" s="452"/>
      <c r="AI71" s="453"/>
      <c r="AJ71" s="453"/>
      <c r="AK71" s="453"/>
      <c r="AL71" s="453"/>
      <c r="AM71" s="453"/>
      <c r="AN71" s="453"/>
      <c r="AO71" s="453"/>
      <c r="AP71" s="453"/>
      <c r="AQ71" s="453"/>
      <c r="AR71" s="454"/>
      <c r="AS71" s="120"/>
      <c r="AT71" s="14"/>
      <c r="AU71" s="122">
        <f>IF(Roster!$AN$12=0,"",Roster!$AN$12)</f>
        <v>40000</v>
      </c>
      <c r="AV71" s="404"/>
      <c r="AW71" s="452"/>
      <c r="AX71" s="453"/>
      <c r="AY71" s="453"/>
      <c r="AZ71" s="453"/>
      <c r="BA71" s="453"/>
      <c r="BB71" s="453"/>
      <c r="BC71" s="453"/>
      <c r="BD71" s="453"/>
      <c r="BE71" s="453"/>
      <c r="BF71" s="453"/>
      <c r="BG71" s="454"/>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55" t="str">
        <f>IF(Roster!$A$13=0,"","#"&amp;Roster!$A$13)</f>
        <v>#12</v>
      </c>
      <c r="C74" s="105"/>
      <c r="D74" s="105"/>
      <c r="E74" s="105"/>
      <c r="F74" s="105"/>
      <c r="G74" s="105"/>
      <c r="H74" s="105"/>
      <c r="I74" s="105"/>
      <c r="J74" s="105"/>
      <c r="K74" s="105"/>
      <c r="L74" s="105"/>
      <c r="M74" s="105"/>
      <c r="N74" s="105"/>
      <c r="O74" s="105"/>
      <c r="P74" s="14"/>
      <c r="Q74" s="455" t="str">
        <f>IF(Roster!$A$14=0,"","#"&amp;Roster!$A$14)</f>
        <v>#13</v>
      </c>
      <c r="R74" s="105"/>
      <c r="S74" s="105"/>
      <c r="T74" s="105"/>
      <c r="U74" s="105"/>
      <c r="V74" s="105"/>
      <c r="W74" s="105"/>
      <c r="X74" s="105"/>
      <c r="Y74" s="105"/>
      <c r="Z74" s="105"/>
      <c r="AA74" s="105"/>
      <c r="AB74" s="105"/>
      <c r="AC74" s="105"/>
      <c r="AD74" s="105"/>
      <c r="AE74" s="14"/>
      <c r="AF74" s="455" t="str">
        <f>IF(Roster!$A$15=0,"","#"&amp;Roster!$A$15)</f>
        <v>#14</v>
      </c>
      <c r="AG74" s="105"/>
      <c r="AH74" s="105"/>
      <c r="AI74" s="105"/>
      <c r="AJ74" s="105"/>
      <c r="AK74" s="105"/>
      <c r="AL74" s="105"/>
      <c r="AM74" s="105"/>
      <c r="AN74" s="105"/>
      <c r="AO74" s="105"/>
      <c r="AP74" s="105"/>
      <c r="AQ74" s="105"/>
      <c r="AR74" s="105"/>
      <c r="AS74" s="105"/>
      <c r="AT74" s="14"/>
      <c r="AU74" s="455" t="str">
        <f>IF(Roster!$A$16=0,"","#"&amp;Roster!$A$16)</f>
        <v>#15</v>
      </c>
      <c r="AV74" s="105"/>
      <c r="AW74" s="105"/>
      <c r="AX74" s="105"/>
      <c r="AY74" s="105"/>
      <c r="AZ74" s="105"/>
      <c r="BA74" s="105"/>
      <c r="BB74" s="105"/>
      <c r="BC74" s="105"/>
      <c r="BD74" s="105"/>
      <c r="BE74" s="105"/>
      <c r="BF74" s="105"/>
      <c r="BG74" s="105"/>
      <c r="BH74" s="105"/>
    </row>
    <row r="75" spans="1:60" ht="15" customHeight="1">
      <c r="A75" s="14"/>
      <c r="B75" s="403"/>
      <c r="C75" s="445" t="str">
        <f>IF(Roster!$B$11=0,"",Roster!$B$11)</f>
        <v>Shem "The Slam" Skreaker</v>
      </c>
      <c r="D75" s="395"/>
      <c r="E75" s="395"/>
      <c r="F75" s="395"/>
      <c r="G75" s="395"/>
      <c r="H75" s="395"/>
      <c r="I75" s="395"/>
      <c r="J75" s="395"/>
      <c r="K75" s="395"/>
      <c r="L75" s="395"/>
      <c r="M75" s="395"/>
      <c r="N75" s="396"/>
      <c r="O75" s="105"/>
      <c r="P75" s="14"/>
      <c r="Q75" s="403"/>
      <c r="R75" s="445" t="str">
        <f>IF(Roster!$B$13=0,"",Roster!$B$13)</f>
        <v>Gabriel Antigonus</v>
      </c>
      <c r="S75" s="395"/>
      <c r="T75" s="395"/>
      <c r="U75" s="395"/>
      <c r="V75" s="395"/>
      <c r="W75" s="395"/>
      <c r="X75" s="395"/>
      <c r="Y75" s="395"/>
      <c r="Z75" s="395"/>
      <c r="AA75" s="395"/>
      <c r="AB75" s="395"/>
      <c r="AC75" s="396"/>
      <c r="AD75" s="105"/>
      <c r="AE75" s="14"/>
      <c r="AF75" s="403"/>
      <c r="AG75" s="445" t="str">
        <f>IF(Roster!$B$15=0,"",Roster!$B$15)</f>
        <v/>
      </c>
      <c r="AH75" s="395"/>
      <c r="AI75" s="395"/>
      <c r="AJ75" s="395"/>
      <c r="AK75" s="395"/>
      <c r="AL75" s="395"/>
      <c r="AM75" s="395"/>
      <c r="AN75" s="395"/>
      <c r="AO75" s="395"/>
      <c r="AP75" s="395"/>
      <c r="AQ75" s="395"/>
      <c r="AR75" s="396"/>
      <c r="AS75" s="105"/>
      <c r="AT75" s="14"/>
      <c r="AU75" s="403"/>
      <c r="AV75" s="445" t="str">
        <f>IF(Roster!$B$16=0,"",Roster!$B$16)</f>
        <v/>
      </c>
      <c r="AW75" s="395"/>
      <c r="AX75" s="395"/>
      <c r="AY75" s="395"/>
      <c r="AZ75" s="395"/>
      <c r="BA75" s="395"/>
      <c r="BB75" s="395"/>
      <c r="BC75" s="395"/>
      <c r="BD75" s="395"/>
      <c r="BE75" s="395"/>
      <c r="BF75" s="395"/>
      <c r="BG75" s="396"/>
      <c r="BH75" s="105"/>
    </row>
    <row r="76" spans="1:60" ht="11.25" customHeight="1">
      <c r="A76" s="14"/>
      <c r="B76" s="404"/>
      <c r="C76" s="443" t="str">
        <f>IF(Roster!$C$13=0,"",Roster!$C$13)</f>
        <v>Zombie</v>
      </c>
      <c r="D76" s="395"/>
      <c r="E76" s="395"/>
      <c r="F76" s="395"/>
      <c r="G76" s="395"/>
      <c r="H76" s="395"/>
      <c r="I76" s="395"/>
      <c r="J76" s="395"/>
      <c r="K76" s="395"/>
      <c r="L76" s="395"/>
      <c r="M76" s="395"/>
      <c r="N76" s="396"/>
      <c r="O76" s="106"/>
      <c r="P76" s="14"/>
      <c r="Q76" s="404"/>
      <c r="R76" s="443" t="str">
        <f>IF(Roster!$C$14=0,"",Roster!$C$14)</f>
        <v/>
      </c>
      <c r="S76" s="395"/>
      <c r="T76" s="395"/>
      <c r="U76" s="395"/>
      <c r="V76" s="395"/>
      <c r="W76" s="395"/>
      <c r="X76" s="395"/>
      <c r="Y76" s="395"/>
      <c r="Z76" s="395"/>
      <c r="AA76" s="395"/>
      <c r="AB76" s="395"/>
      <c r="AC76" s="396"/>
      <c r="AD76" s="106"/>
      <c r="AE76" s="14"/>
      <c r="AF76" s="404"/>
      <c r="AG76" s="443" t="str">
        <f>IF(Roster!$C$15=0,"",Roster!$C$15)</f>
        <v/>
      </c>
      <c r="AH76" s="395"/>
      <c r="AI76" s="395"/>
      <c r="AJ76" s="395"/>
      <c r="AK76" s="395"/>
      <c r="AL76" s="395"/>
      <c r="AM76" s="395"/>
      <c r="AN76" s="395"/>
      <c r="AO76" s="395"/>
      <c r="AP76" s="395"/>
      <c r="AQ76" s="395"/>
      <c r="AR76" s="396"/>
      <c r="AS76" s="106"/>
      <c r="AT76" s="14"/>
      <c r="AU76" s="404"/>
      <c r="AV76" s="443" t="str">
        <f>IF(Roster!$C$16=0,"",Roster!$C$16)</f>
        <v/>
      </c>
      <c r="AW76" s="395"/>
      <c r="AX76" s="395"/>
      <c r="AY76" s="395"/>
      <c r="AZ76" s="395"/>
      <c r="BA76" s="395"/>
      <c r="BB76" s="395"/>
      <c r="BC76" s="395"/>
      <c r="BD76" s="395"/>
      <c r="BE76" s="395"/>
      <c r="BF76" s="395"/>
      <c r="BG76" s="396"/>
      <c r="BH76" s="106"/>
    </row>
    <row r="77" spans="1:60" ht="11.25" customHeight="1">
      <c r="A77" s="14"/>
      <c r="B77" s="109" t="str">
        <f>IF(Roster!$J$1=0,"",Roster!$J$1)</f>
        <v>MA</v>
      </c>
      <c r="C77" s="458"/>
      <c r="D77" s="395"/>
      <c r="E77" s="395"/>
      <c r="F77" s="395"/>
      <c r="G77" s="395"/>
      <c r="H77" s="395"/>
      <c r="I77" s="395"/>
      <c r="J77" s="395"/>
      <c r="K77" s="395"/>
      <c r="L77" s="395"/>
      <c r="M77" s="395"/>
      <c r="N77" s="396"/>
      <c r="O77" s="105"/>
      <c r="P77" s="14"/>
      <c r="Q77" s="109" t="str">
        <f>IF(Roster!$J$1=0,"",Roster!$J$1)</f>
        <v>MA</v>
      </c>
      <c r="R77" s="458"/>
      <c r="S77" s="395"/>
      <c r="T77" s="395"/>
      <c r="U77" s="395"/>
      <c r="V77" s="395"/>
      <c r="W77" s="395"/>
      <c r="X77" s="395"/>
      <c r="Y77" s="395"/>
      <c r="Z77" s="395"/>
      <c r="AA77" s="395"/>
      <c r="AB77" s="395"/>
      <c r="AC77" s="396"/>
      <c r="AD77" s="105"/>
      <c r="AE77" s="14"/>
      <c r="AF77" s="109" t="str">
        <f>IF(Roster!$J$1=0,"",Roster!$J$1)</f>
        <v>MA</v>
      </c>
      <c r="AG77" s="458"/>
      <c r="AH77" s="395"/>
      <c r="AI77" s="395"/>
      <c r="AJ77" s="395"/>
      <c r="AK77" s="395"/>
      <c r="AL77" s="395"/>
      <c r="AM77" s="395"/>
      <c r="AN77" s="395"/>
      <c r="AO77" s="395"/>
      <c r="AP77" s="395"/>
      <c r="AQ77" s="395"/>
      <c r="AR77" s="396"/>
      <c r="AS77" s="105"/>
      <c r="AT77" s="14"/>
      <c r="AU77" s="109" t="str">
        <f>IF(Roster!$J$1=0,"",Roster!$J$1)</f>
        <v>MA</v>
      </c>
      <c r="AV77" s="458"/>
      <c r="AW77" s="395"/>
      <c r="AX77" s="395"/>
      <c r="AY77" s="395"/>
      <c r="AZ77" s="395"/>
      <c r="BA77" s="395"/>
      <c r="BB77" s="395"/>
      <c r="BC77" s="395"/>
      <c r="BD77" s="395"/>
      <c r="BE77" s="395"/>
      <c r="BF77" s="395"/>
      <c r="BG77" s="396"/>
      <c r="BH77" s="105"/>
    </row>
    <row r="78" spans="1:60" ht="37.5" customHeight="1">
      <c r="A78" s="14"/>
      <c r="B78" s="111">
        <f>IF(Roster!$J$13=0,"",Roster!$J$13)</f>
        <v>4</v>
      </c>
      <c r="C78" s="462"/>
      <c r="D78" s="459"/>
      <c r="E78" s="448"/>
      <c r="F78" s="448"/>
      <c r="G78" s="448"/>
      <c r="H78" s="448"/>
      <c r="I78" s="448"/>
      <c r="J78" s="448"/>
      <c r="K78" s="448"/>
      <c r="L78" s="448"/>
      <c r="M78" s="448"/>
      <c r="N78" s="449"/>
      <c r="O78" s="105"/>
      <c r="P78" s="14"/>
      <c r="Q78" s="111" t="str">
        <f>IF(Roster!$J$14=0,"",Roster!$J$14)</f>
        <v/>
      </c>
      <c r="R78" s="462"/>
      <c r="S78" s="459"/>
      <c r="T78" s="448"/>
      <c r="U78" s="448"/>
      <c r="V78" s="448"/>
      <c r="W78" s="448"/>
      <c r="X78" s="448"/>
      <c r="Y78" s="448"/>
      <c r="Z78" s="448"/>
      <c r="AA78" s="448"/>
      <c r="AB78" s="448"/>
      <c r="AC78" s="449"/>
      <c r="AD78" s="105"/>
      <c r="AE78" s="14"/>
      <c r="AF78" s="111" t="str">
        <f>IF(Roster!$J$15=0,"",Roster!$J$15)</f>
        <v/>
      </c>
      <c r="AG78" s="462"/>
      <c r="AH78" s="459"/>
      <c r="AI78" s="448"/>
      <c r="AJ78" s="448"/>
      <c r="AK78" s="448"/>
      <c r="AL78" s="448"/>
      <c r="AM78" s="448"/>
      <c r="AN78" s="448"/>
      <c r="AO78" s="448"/>
      <c r="AP78" s="448"/>
      <c r="AQ78" s="448"/>
      <c r="AR78" s="449"/>
      <c r="AS78" s="105"/>
      <c r="AT78" s="14"/>
      <c r="AU78" s="111" t="str">
        <f>IF(Roster!$J$16=0,"",Roster!$J$16)</f>
        <v/>
      </c>
      <c r="AV78" s="462"/>
      <c r="AW78" s="459"/>
      <c r="AX78" s="448"/>
      <c r="AY78" s="448"/>
      <c r="AZ78" s="448"/>
      <c r="BA78" s="448"/>
      <c r="BB78" s="448"/>
      <c r="BC78" s="448"/>
      <c r="BD78" s="448"/>
      <c r="BE78" s="448"/>
      <c r="BF78" s="448"/>
      <c r="BG78" s="449"/>
      <c r="BH78" s="105"/>
    </row>
    <row r="79" spans="1:60" ht="11.25" customHeight="1">
      <c r="A79" s="14"/>
      <c r="B79" s="109" t="str">
        <f>IF(Roster!$K$1=0,"",Roster!$K$1)</f>
        <v>ST</v>
      </c>
      <c r="C79" s="403"/>
      <c r="D79" s="450"/>
      <c r="E79" s="357"/>
      <c r="F79" s="357"/>
      <c r="G79" s="357"/>
      <c r="H79" s="357"/>
      <c r="I79" s="357"/>
      <c r="J79" s="357"/>
      <c r="K79" s="357"/>
      <c r="L79" s="357"/>
      <c r="M79" s="357"/>
      <c r="N79" s="451"/>
      <c r="O79" s="105"/>
      <c r="P79" s="14"/>
      <c r="Q79" s="109" t="str">
        <f>IF(Roster!$K$1=0,"",Roster!$K$1)</f>
        <v>ST</v>
      </c>
      <c r="R79" s="403"/>
      <c r="S79" s="450"/>
      <c r="T79" s="357"/>
      <c r="U79" s="357"/>
      <c r="V79" s="357"/>
      <c r="W79" s="357"/>
      <c r="X79" s="357"/>
      <c r="Y79" s="357"/>
      <c r="Z79" s="357"/>
      <c r="AA79" s="357"/>
      <c r="AB79" s="357"/>
      <c r="AC79" s="451"/>
      <c r="AD79" s="105"/>
      <c r="AE79" s="14"/>
      <c r="AF79" s="109" t="str">
        <f>IF(Roster!$K$1=0,"",Roster!$K$1)</f>
        <v>ST</v>
      </c>
      <c r="AG79" s="403"/>
      <c r="AH79" s="450"/>
      <c r="AI79" s="357"/>
      <c r="AJ79" s="357"/>
      <c r="AK79" s="357"/>
      <c r="AL79" s="357"/>
      <c r="AM79" s="357"/>
      <c r="AN79" s="357"/>
      <c r="AO79" s="357"/>
      <c r="AP79" s="357"/>
      <c r="AQ79" s="357"/>
      <c r="AR79" s="451"/>
      <c r="AS79" s="105"/>
      <c r="AT79" s="14"/>
      <c r="AU79" s="109" t="str">
        <f>IF(Roster!$K$1=0,"",Roster!$K$1)</f>
        <v>ST</v>
      </c>
      <c r="AV79" s="403"/>
      <c r="AW79" s="450"/>
      <c r="AX79" s="357"/>
      <c r="AY79" s="357"/>
      <c r="AZ79" s="357"/>
      <c r="BA79" s="357"/>
      <c r="BB79" s="357"/>
      <c r="BC79" s="357"/>
      <c r="BD79" s="357"/>
      <c r="BE79" s="357"/>
      <c r="BF79" s="357"/>
      <c r="BG79" s="451"/>
      <c r="BH79" s="105"/>
    </row>
    <row r="80" spans="1:60" ht="37.5" customHeight="1">
      <c r="A80" s="14"/>
      <c r="B80" s="111">
        <f>IF(Roster!$K$13=0,"",Roster!$K$13)</f>
        <v>3</v>
      </c>
      <c r="C80" s="403"/>
      <c r="D80" s="450"/>
      <c r="E80" s="357"/>
      <c r="F80" s="357"/>
      <c r="G80" s="357"/>
      <c r="H80" s="357"/>
      <c r="I80" s="357"/>
      <c r="J80" s="357"/>
      <c r="K80" s="357"/>
      <c r="L80" s="357"/>
      <c r="M80" s="357"/>
      <c r="N80" s="451"/>
      <c r="O80" s="105"/>
      <c r="P80" s="14"/>
      <c r="Q80" s="111" t="str">
        <f>IF(Roster!$K$14=0,"",Roster!$K$14)</f>
        <v/>
      </c>
      <c r="R80" s="403"/>
      <c r="S80" s="450"/>
      <c r="T80" s="357"/>
      <c r="U80" s="357"/>
      <c r="V80" s="357"/>
      <c r="W80" s="357"/>
      <c r="X80" s="357"/>
      <c r="Y80" s="357"/>
      <c r="Z80" s="357"/>
      <c r="AA80" s="357"/>
      <c r="AB80" s="357"/>
      <c r="AC80" s="451"/>
      <c r="AD80" s="105"/>
      <c r="AE80" s="14"/>
      <c r="AF80" s="111" t="str">
        <f>IF(Roster!$K$15=0,"",Roster!$K$15)</f>
        <v/>
      </c>
      <c r="AG80" s="403"/>
      <c r="AH80" s="450"/>
      <c r="AI80" s="357"/>
      <c r="AJ80" s="357"/>
      <c r="AK80" s="357"/>
      <c r="AL80" s="357"/>
      <c r="AM80" s="357"/>
      <c r="AN80" s="357"/>
      <c r="AO80" s="357"/>
      <c r="AP80" s="357"/>
      <c r="AQ80" s="357"/>
      <c r="AR80" s="451"/>
      <c r="AS80" s="105"/>
      <c r="AT80" s="14"/>
      <c r="AU80" s="111" t="str">
        <f>IF(Roster!$K$16=0,"",Roster!$K$16)</f>
        <v/>
      </c>
      <c r="AV80" s="403"/>
      <c r="AW80" s="450"/>
      <c r="AX80" s="357"/>
      <c r="AY80" s="357"/>
      <c r="AZ80" s="357"/>
      <c r="BA80" s="357"/>
      <c r="BB80" s="357"/>
      <c r="BC80" s="357"/>
      <c r="BD80" s="357"/>
      <c r="BE80" s="357"/>
      <c r="BF80" s="357"/>
      <c r="BG80" s="451"/>
      <c r="BH80" s="105"/>
    </row>
    <row r="81" spans="1:60" ht="11.25" customHeight="1">
      <c r="A81" s="14"/>
      <c r="B81" s="109" t="str">
        <f>IF(Roster!$L$1=0,"",Roster!$L$1)</f>
        <v>AG</v>
      </c>
      <c r="C81" s="403"/>
      <c r="D81" s="450"/>
      <c r="E81" s="357"/>
      <c r="F81" s="357"/>
      <c r="G81" s="357"/>
      <c r="H81" s="357"/>
      <c r="I81" s="357"/>
      <c r="J81" s="357"/>
      <c r="K81" s="357"/>
      <c r="L81" s="357"/>
      <c r="M81" s="357"/>
      <c r="N81" s="451"/>
      <c r="O81" s="105"/>
      <c r="P81" s="14"/>
      <c r="Q81" s="109" t="str">
        <f>IF(Roster!$L$1=0,"",Roster!$L$1)</f>
        <v>AG</v>
      </c>
      <c r="R81" s="403"/>
      <c r="S81" s="450"/>
      <c r="T81" s="357"/>
      <c r="U81" s="357"/>
      <c r="V81" s="357"/>
      <c r="W81" s="357"/>
      <c r="X81" s="357"/>
      <c r="Y81" s="357"/>
      <c r="Z81" s="357"/>
      <c r="AA81" s="357"/>
      <c r="AB81" s="357"/>
      <c r="AC81" s="451"/>
      <c r="AD81" s="105"/>
      <c r="AE81" s="14"/>
      <c r="AF81" s="109" t="str">
        <f>IF(Roster!$L$1=0,"",Roster!$L$1)</f>
        <v>AG</v>
      </c>
      <c r="AG81" s="403"/>
      <c r="AH81" s="450"/>
      <c r="AI81" s="357"/>
      <c r="AJ81" s="357"/>
      <c r="AK81" s="357"/>
      <c r="AL81" s="357"/>
      <c r="AM81" s="357"/>
      <c r="AN81" s="357"/>
      <c r="AO81" s="357"/>
      <c r="AP81" s="357"/>
      <c r="AQ81" s="357"/>
      <c r="AR81" s="451"/>
      <c r="AS81" s="105"/>
      <c r="AT81" s="14"/>
      <c r="AU81" s="109" t="str">
        <f>IF(Roster!$L$1=0,"",Roster!$L$1)</f>
        <v>AG</v>
      </c>
      <c r="AV81" s="403"/>
      <c r="AW81" s="450"/>
      <c r="AX81" s="357"/>
      <c r="AY81" s="357"/>
      <c r="AZ81" s="357"/>
      <c r="BA81" s="357"/>
      <c r="BB81" s="357"/>
      <c r="BC81" s="357"/>
      <c r="BD81" s="357"/>
      <c r="BE81" s="357"/>
      <c r="BF81" s="357"/>
      <c r="BG81" s="451"/>
      <c r="BH81" s="105"/>
    </row>
    <row r="82" spans="1:60" ht="37.5" customHeight="1">
      <c r="A82" s="14"/>
      <c r="B82" s="111" t="str">
        <f>IF(Roster!$L$13=0&amp;"+","",Roster!$L$13)</f>
        <v>4+</v>
      </c>
      <c r="C82" s="403"/>
      <c r="D82" s="450"/>
      <c r="E82" s="357"/>
      <c r="F82" s="357"/>
      <c r="G82" s="357"/>
      <c r="H82" s="357"/>
      <c r="I82" s="357"/>
      <c r="J82" s="357"/>
      <c r="K82" s="357"/>
      <c r="L82" s="357"/>
      <c r="M82" s="357"/>
      <c r="N82" s="451"/>
      <c r="O82" s="105"/>
      <c r="P82" s="14"/>
      <c r="Q82" s="111" t="str">
        <f>IF(Roster!$L$14=0&amp;"+","",Roster!$L$14)</f>
        <v/>
      </c>
      <c r="R82" s="403"/>
      <c r="S82" s="450"/>
      <c r="T82" s="357"/>
      <c r="U82" s="357"/>
      <c r="V82" s="357"/>
      <c r="W82" s="357"/>
      <c r="X82" s="357"/>
      <c r="Y82" s="357"/>
      <c r="Z82" s="357"/>
      <c r="AA82" s="357"/>
      <c r="AB82" s="357"/>
      <c r="AC82" s="451"/>
      <c r="AD82" s="105"/>
      <c r="AE82" s="14"/>
      <c r="AF82" s="111" t="str">
        <f>IF(Roster!$L$15=0&amp;"+","",Roster!$L$15)</f>
        <v/>
      </c>
      <c r="AG82" s="403"/>
      <c r="AH82" s="450"/>
      <c r="AI82" s="357"/>
      <c r="AJ82" s="357"/>
      <c r="AK82" s="357"/>
      <c r="AL82" s="357"/>
      <c r="AM82" s="357"/>
      <c r="AN82" s="357"/>
      <c r="AO82" s="357"/>
      <c r="AP82" s="357"/>
      <c r="AQ82" s="357"/>
      <c r="AR82" s="451"/>
      <c r="AS82" s="105"/>
      <c r="AT82" s="14"/>
      <c r="AU82" s="111" t="str">
        <f>IF(Roster!$L$16=0&amp;"+","",Roster!$L$16)</f>
        <v/>
      </c>
      <c r="AV82" s="403"/>
      <c r="AW82" s="450"/>
      <c r="AX82" s="357"/>
      <c r="AY82" s="357"/>
      <c r="AZ82" s="357"/>
      <c r="BA82" s="357"/>
      <c r="BB82" s="357"/>
      <c r="BC82" s="357"/>
      <c r="BD82" s="357"/>
      <c r="BE82" s="357"/>
      <c r="BF82" s="357"/>
      <c r="BG82" s="451"/>
      <c r="BH82" s="105"/>
    </row>
    <row r="83" spans="1:60" ht="11.25" customHeight="1">
      <c r="A83" s="14"/>
      <c r="B83" s="109" t="str">
        <f>IF(Roster!$M$1=0,"",Roster!$M$1)</f>
        <v>PA</v>
      </c>
      <c r="C83" s="403"/>
      <c r="D83" s="450"/>
      <c r="E83" s="357"/>
      <c r="F83" s="357"/>
      <c r="G83" s="357"/>
      <c r="H83" s="357"/>
      <c r="I83" s="357"/>
      <c r="J83" s="357"/>
      <c r="K83" s="357"/>
      <c r="L83" s="357"/>
      <c r="M83" s="357"/>
      <c r="N83" s="451"/>
      <c r="O83" s="114"/>
      <c r="P83" s="14"/>
      <c r="Q83" s="109" t="str">
        <f>IF(Roster!$M$1=0,"",Roster!$M$1)</f>
        <v>PA</v>
      </c>
      <c r="R83" s="403"/>
      <c r="S83" s="450"/>
      <c r="T83" s="357"/>
      <c r="U83" s="357"/>
      <c r="V83" s="357"/>
      <c r="W83" s="357"/>
      <c r="X83" s="357"/>
      <c r="Y83" s="357"/>
      <c r="Z83" s="357"/>
      <c r="AA83" s="357"/>
      <c r="AB83" s="357"/>
      <c r="AC83" s="451"/>
      <c r="AD83" s="114"/>
      <c r="AE83" s="14"/>
      <c r="AF83" s="109" t="str">
        <f>IF(Roster!$M$1=0,"",Roster!$M$1)</f>
        <v>PA</v>
      </c>
      <c r="AG83" s="403"/>
      <c r="AH83" s="450"/>
      <c r="AI83" s="357"/>
      <c r="AJ83" s="357"/>
      <c r="AK83" s="357"/>
      <c r="AL83" s="357"/>
      <c r="AM83" s="357"/>
      <c r="AN83" s="357"/>
      <c r="AO83" s="357"/>
      <c r="AP83" s="357"/>
      <c r="AQ83" s="357"/>
      <c r="AR83" s="451"/>
      <c r="AS83" s="114"/>
      <c r="AT83" s="14"/>
      <c r="AU83" s="109" t="str">
        <f>IF(Roster!$M$1=0,"",Roster!$M$1)</f>
        <v>PA</v>
      </c>
      <c r="AV83" s="403"/>
      <c r="AW83" s="450"/>
      <c r="AX83" s="357"/>
      <c r="AY83" s="357"/>
      <c r="AZ83" s="357"/>
      <c r="BA83" s="357"/>
      <c r="BB83" s="357"/>
      <c r="BC83" s="357"/>
      <c r="BD83" s="357"/>
      <c r="BE83" s="357"/>
      <c r="BF83" s="357"/>
      <c r="BG83" s="451"/>
      <c r="BH83" s="114"/>
    </row>
    <row r="84" spans="1:60" ht="6" customHeight="1">
      <c r="A84" s="14"/>
      <c r="B84" s="457" t="str">
        <f>IF(Roster!$M$13=0&amp;"+","",Roster!$M$13)</f>
        <v/>
      </c>
      <c r="C84" s="403"/>
      <c r="D84" s="452"/>
      <c r="E84" s="453"/>
      <c r="F84" s="453"/>
      <c r="G84" s="453"/>
      <c r="H84" s="453"/>
      <c r="I84" s="453"/>
      <c r="J84" s="453"/>
      <c r="K84" s="453"/>
      <c r="L84" s="453"/>
      <c r="M84" s="453"/>
      <c r="N84" s="454"/>
      <c r="O84" s="116"/>
      <c r="P84" s="14"/>
      <c r="Q84" s="457" t="str">
        <f>IF(Roster!$M$14=0&amp;"+","",Roster!$M$14)</f>
        <v/>
      </c>
      <c r="R84" s="403"/>
      <c r="S84" s="452"/>
      <c r="T84" s="453"/>
      <c r="U84" s="453"/>
      <c r="V84" s="453"/>
      <c r="W84" s="453"/>
      <c r="X84" s="453"/>
      <c r="Y84" s="453"/>
      <c r="Z84" s="453"/>
      <c r="AA84" s="453"/>
      <c r="AB84" s="453"/>
      <c r="AC84" s="454"/>
      <c r="AD84" s="116"/>
      <c r="AE84" s="14"/>
      <c r="AF84" s="457" t="str">
        <f>IF(Roster!$M$15=0&amp;"+","",Roster!$M$15)</f>
        <v/>
      </c>
      <c r="AG84" s="403"/>
      <c r="AH84" s="452"/>
      <c r="AI84" s="453"/>
      <c r="AJ84" s="453"/>
      <c r="AK84" s="453"/>
      <c r="AL84" s="453"/>
      <c r="AM84" s="453"/>
      <c r="AN84" s="453"/>
      <c r="AO84" s="453"/>
      <c r="AP84" s="453"/>
      <c r="AQ84" s="453"/>
      <c r="AR84" s="454"/>
      <c r="AS84" s="116"/>
      <c r="AT84" s="14"/>
      <c r="AU84" s="457" t="str">
        <f>IF(Roster!$M$16=0&amp;"+","",Roster!$M$16)</f>
        <v/>
      </c>
      <c r="AV84" s="403"/>
      <c r="AW84" s="452"/>
      <c r="AX84" s="453"/>
      <c r="AY84" s="453"/>
      <c r="AZ84" s="453"/>
      <c r="BA84" s="453"/>
      <c r="BB84" s="453"/>
      <c r="BC84" s="453"/>
      <c r="BD84" s="453"/>
      <c r="BE84" s="453"/>
      <c r="BF84" s="453"/>
      <c r="BG84" s="454"/>
      <c r="BH84" s="116"/>
    </row>
    <row r="85" spans="1:60" ht="4.5" customHeight="1">
      <c r="A85" s="14"/>
      <c r="B85" s="403"/>
      <c r="C85" s="403"/>
      <c r="D85" s="117"/>
      <c r="E85" s="118"/>
      <c r="F85" s="117"/>
      <c r="G85" s="118"/>
      <c r="H85" s="117"/>
      <c r="I85" s="118"/>
      <c r="J85" s="117"/>
      <c r="K85" s="118"/>
      <c r="L85" s="117"/>
      <c r="M85" s="118"/>
      <c r="N85" s="117"/>
      <c r="O85" s="116"/>
      <c r="P85" s="14"/>
      <c r="Q85" s="403"/>
      <c r="R85" s="403"/>
      <c r="S85" s="117"/>
      <c r="T85" s="118"/>
      <c r="U85" s="117"/>
      <c r="V85" s="118"/>
      <c r="W85" s="117"/>
      <c r="X85" s="118"/>
      <c r="Y85" s="117"/>
      <c r="Z85" s="118"/>
      <c r="AA85" s="117"/>
      <c r="AB85" s="118"/>
      <c r="AC85" s="117"/>
      <c r="AD85" s="116"/>
      <c r="AE85" s="14"/>
      <c r="AF85" s="403"/>
      <c r="AG85" s="403"/>
      <c r="AH85" s="117"/>
      <c r="AI85" s="118"/>
      <c r="AJ85" s="117"/>
      <c r="AK85" s="118"/>
      <c r="AL85" s="117"/>
      <c r="AM85" s="118"/>
      <c r="AN85" s="117"/>
      <c r="AO85" s="118"/>
      <c r="AP85" s="117"/>
      <c r="AQ85" s="118"/>
      <c r="AR85" s="117"/>
      <c r="AS85" s="116"/>
      <c r="AT85" s="14"/>
      <c r="AU85" s="403"/>
      <c r="AV85" s="403"/>
      <c r="AW85" s="117"/>
      <c r="AX85" s="118"/>
      <c r="AY85" s="117"/>
      <c r="AZ85" s="118"/>
      <c r="BA85" s="117"/>
      <c r="BB85" s="118"/>
      <c r="BC85" s="117"/>
      <c r="BD85" s="118"/>
      <c r="BE85" s="117"/>
      <c r="BF85" s="118"/>
      <c r="BG85" s="117"/>
      <c r="BH85" s="116"/>
    </row>
    <row r="86" spans="1:60" ht="11.25" customHeight="1">
      <c r="A86" s="14"/>
      <c r="B86" s="403"/>
      <c r="C86" s="403"/>
      <c r="D86" s="461" t="str">
        <f>IF(Roster!$J$24="Italiano","ABILITÀ &amp; TRATTI",(IF(Roster!$J$24="Español","HABILIDADES Y RASGOS","SKILLS &amp; TRAITS")))</f>
        <v>SKILLS &amp; TRAITS</v>
      </c>
      <c r="E86" s="395"/>
      <c r="F86" s="395"/>
      <c r="G86" s="395"/>
      <c r="H86" s="395"/>
      <c r="I86" s="395"/>
      <c r="J86" s="395"/>
      <c r="K86" s="395"/>
      <c r="L86" s="395"/>
      <c r="M86" s="395"/>
      <c r="N86" s="396"/>
      <c r="O86" s="116"/>
      <c r="P86" s="14"/>
      <c r="Q86" s="403"/>
      <c r="R86" s="403"/>
      <c r="S86" s="461" t="str">
        <f>IF(Roster!$J$24="Italiano","ABILITÀ &amp; TRATTI",(IF(Roster!$J$24="Español","HABILIDADES Y RASGOS","SKILLS &amp; TRAITS")))</f>
        <v>SKILLS &amp; TRAITS</v>
      </c>
      <c r="T86" s="395"/>
      <c r="U86" s="395"/>
      <c r="V86" s="395"/>
      <c r="W86" s="395"/>
      <c r="X86" s="395"/>
      <c r="Y86" s="395"/>
      <c r="Z86" s="395"/>
      <c r="AA86" s="395"/>
      <c r="AB86" s="395"/>
      <c r="AC86" s="396"/>
      <c r="AD86" s="116"/>
      <c r="AE86" s="14"/>
      <c r="AF86" s="403"/>
      <c r="AG86" s="403"/>
      <c r="AH86" s="461" t="str">
        <f>IF(Roster!$J$24="Italiano","ABILITÀ &amp; TRATTI",(IF(Roster!$J$24="Español","HABILIDADES Y RASGOS","SKILLS &amp; TRAITS")))</f>
        <v>SKILLS &amp; TRAITS</v>
      </c>
      <c r="AI86" s="395"/>
      <c r="AJ86" s="395"/>
      <c r="AK86" s="395"/>
      <c r="AL86" s="395"/>
      <c r="AM86" s="395"/>
      <c r="AN86" s="395"/>
      <c r="AO86" s="395"/>
      <c r="AP86" s="395"/>
      <c r="AQ86" s="395"/>
      <c r="AR86" s="396"/>
      <c r="AS86" s="116"/>
      <c r="AT86" s="14"/>
      <c r="AU86" s="403"/>
      <c r="AV86" s="403"/>
      <c r="AW86" s="461" t="str">
        <f>IF(Roster!$J$24="Italiano","ABILITÀ &amp; TRATTI",(IF(Roster!$J$24="Español","HABILIDADES Y RASGOS","SKILLS &amp; TRAITS")))</f>
        <v>SKILLS &amp; TRAITS</v>
      </c>
      <c r="AX86" s="395"/>
      <c r="AY86" s="395"/>
      <c r="AZ86" s="395"/>
      <c r="BA86" s="395"/>
      <c r="BB86" s="395"/>
      <c r="BC86" s="395"/>
      <c r="BD86" s="395"/>
      <c r="BE86" s="395"/>
      <c r="BF86" s="395"/>
      <c r="BG86" s="396"/>
      <c r="BH86" s="116"/>
    </row>
    <row r="87" spans="1:60" ht="15" customHeight="1">
      <c r="A87" s="14"/>
      <c r="B87" s="403"/>
      <c r="C87" s="403"/>
      <c r="D87" s="460" t="str">
        <f>IF(Roster!$O$13=0,"",Roster!$O$13&amp;Roster!BF13)</f>
        <v>Regeneration</v>
      </c>
      <c r="E87" s="448"/>
      <c r="F87" s="448"/>
      <c r="G87" s="448"/>
      <c r="H87" s="448"/>
      <c r="I87" s="448"/>
      <c r="J87" s="448"/>
      <c r="K87" s="448"/>
      <c r="L87" s="448"/>
      <c r="M87" s="448"/>
      <c r="N87" s="449"/>
      <c r="O87" s="116"/>
      <c r="P87" s="14"/>
      <c r="Q87" s="403"/>
      <c r="R87" s="403"/>
      <c r="S87" s="460" t="str">
        <f>IF(Roster!$O$14=0,"",Roster!$O$14&amp;Roster!BF14)</f>
        <v/>
      </c>
      <c r="T87" s="448"/>
      <c r="U87" s="448"/>
      <c r="V87" s="448"/>
      <c r="W87" s="448"/>
      <c r="X87" s="448"/>
      <c r="Y87" s="448"/>
      <c r="Z87" s="448"/>
      <c r="AA87" s="448"/>
      <c r="AB87" s="448"/>
      <c r="AC87" s="449"/>
      <c r="AD87" s="116"/>
      <c r="AE87" s="14"/>
      <c r="AF87" s="403"/>
      <c r="AG87" s="403"/>
      <c r="AH87" s="460" t="str">
        <f>IF(Roster!$O$15=0,"",Roster!$O$15&amp;Roster!BF15)</f>
        <v/>
      </c>
      <c r="AI87" s="448"/>
      <c r="AJ87" s="448"/>
      <c r="AK87" s="448"/>
      <c r="AL87" s="448"/>
      <c r="AM87" s="448"/>
      <c r="AN87" s="448"/>
      <c r="AO87" s="448"/>
      <c r="AP87" s="448"/>
      <c r="AQ87" s="448"/>
      <c r="AR87" s="449"/>
      <c r="AS87" s="116"/>
      <c r="AT87" s="14"/>
      <c r="AU87" s="403"/>
      <c r="AV87" s="403"/>
      <c r="AW87" s="460" t="str">
        <f>IF(Roster!$O$16=0,"",Roster!$O$16&amp;Roster!BF16)</f>
        <v/>
      </c>
      <c r="AX87" s="448"/>
      <c r="AY87" s="448"/>
      <c r="AZ87" s="448"/>
      <c r="BA87" s="448"/>
      <c r="BB87" s="448"/>
      <c r="BC87" s="448"/>
      <c r="BD87" s="448"/>
      <c r="BE87" s="448"/>
      <c r="BF87" s="448"/>
      <c r="BG87" s="449"/>
      <c r="BH87" s="116"/>
    </row>
    <row r="88" spans="1:60" ht="4.5" customHeight="1">
      <c r="A88" s="14"/>
      <c r="B88" s="404"/>
      <c r="C88" s="403"/>
      <c r="D88" s="450"/>
      <c r="E88" s="357"/>
      <c r="F88" s="357"/>
      <c r="G88" s="357"/>
      <c r="H88" s="357"/>
      <c r="I88" s="357"/>
      <c r="J88" s="357"/>
      <c r="K88" s="357"/>
      <c r="L88" s="357"/>
      <c r="M88" s="357"/>
      <c r="N88" s="451"/>
      <c r="O88" s="116"/>
      <c r="P88" s="14"/>
      <c r="Q88" s="404"/>
      <c r="R88" s="403"/>
      <c r="S88" s="450"/>
      <c r="T88" s="357"/>
      <c r="U88" s="357"/>
      <c r="V88" s="357"/>
      <c r="W88" s="357"/>
      <c r="X88" s="357"/>
      <c r="Y88" s="357"/>
      <c r="Z88" s="357"/>
      <c r="AA88" s="357"/>
      <c r="AB88" s="357"/>
      <c r="AC88" s="451"/>
      <c r="AD88" s="116"/>
      <c r="AE88" s="14"/>
      <c r="AF88" s="404"/>
      <c r="AG88" s="403"/>
      <c r="AH88" s="450"/>
      <c r="AI88" s="357"/>
      <c r="AJ88" s="357"/>
      <c r="AK88" s="357"/>
      <c r="AL88" s="357"/>
      <c r="AM88" s="357"/>
      <c r="AN88" s="357"/>
      <c r="AO88" s="357"/>
      <c r="AP88" s="357"/>
      <c r="AQ88" s="357"/>
      <c r="AR88" s="451"/>
      <c r="AS88" s="116"/>
      <c r="AT88" s="14"/>
      <c r="AU88" s="404"/>
      <c r="AV88" s="403"/>
      <c r="AW88" s="450"/>
      <c r="AX88" s="357"/>
      <c r="AY88" s="357"/>
      <c r="AZ88" s="357"/>
      <c r="BA88" s="357"/>
      <c r="BB88" s="357"/>
      <c r="BC88" s="357"/>
      <c r="BD88" s="357"/>
      <c r="BE88" s="357"/>
      <c r="BF88" s="357"/>
      <c r="BG88" s="451"/>
      <c r="BH88" s="116"/>
    </row>
    <row r="89" spans="1:60" ht="11.25" customHeight="1">
      <c r="A89" s="14"/>
      <c r="B89" s="109" t="str">
        <f>IF(Roster!$N$1=0,"",Roster!$N$1)</f>
        <v>AV</v>
      </c>
      <c r="C89" s="403"/>
      <c r="D89" s="450"/>
      <c r="E89" s="357"/>
      <c r="F89" s="357"/>
      <c r="G89" s="357"/>
      <c r="H89" s="357"/>
      <c r="I89" s="357"/>
      <c r="J89" s="357"/>
      <c r="K89" s="357"/>
      <c r="L89" s="357"/>
      <c r="M89" s="357"/>
      <c r="N89" s="451"/>
      <c r="O89" s="105"/>
      <c r="P89" s="14"/>
      <c r="Q89" s="109" t="str">
        <f>IF(Roster!$N$1=0,"",Roster!$N$1)</f>
        <v>AV</v>
      </c>
      <c r="R89" s="403"/>
      <c r="S89" s="450"/>
      <c r="T89" s="357"/>
      <c r="U89" s="357"/>
      <c r="V89" s="357"/>
      <c r="W89" s="357"/>
      <c r="X89" s="357"/>
      <c r="Y89" s="357"/>
      <c r="Z89" s="357"/>
      <c r="AA89" s="357"/>
      <c r="AB89" s="357"/>
      <c r="AC89" s="451"/>
      <c r="AD89" s="105"/>
      <c r="AE89" s="14"/>
      <c r="AF89" s="109" t="str">
        <f>IF(Roster!$N$1=0,"",Roster!$N$1)</f>
        <v>AV</v>
      </c>
      <c r="AG89" s="403"/>
      <c r="AH89" s="450"/>
      <c r="AI89" s="357"/>
      <c r="AJ89" s="357"/>
      <c r="AK89" s="357"/>
      <c r="AL89" s="357"/>
      <c r="AM89" s="357"/>
      <c r="AN89" s="357"/>
      <c r="AO89" s="357"/>
      <c r="AP89" s="357"/>
      <c r="AQ89" s="357"/>
      <c r="AR89" s="451"/>
      <c r="AS89" s="105"/>
      <c r="AT89" s="14"/>
      <c r="AU89" s="109" t="str">
        <f>IF(Roster!$N$1=0,"",Roster!$N$1)</f>
        <v>AV</v>
      </c>
      <c r="AV89" s="403"/>
      <c r="AW89" s="450"/>
      <c r="AX89" s="357"/>
      <c r="AY89" s="357"/>
      <c r="AZ89" s="357"/>
      <c r="BA89" s="357"/>
      <c r="BB89" s="357"/>
      <c r="BC89" s="357"/>
      <c r="BD89" s="357"/>
      <c r="BE89" s="357"/>
      <c r="BF89" s="357"/>
      <c r="BG89" s="451"/>
      <c r="BH89" s="105"/>
    </row>
    <row r="90" spans="1:60" ht="15" customHeight="1">
      <c r="A90" s="14"/>
      <c r="B90" s="457" t="str">
        <f>IF(Roster!$N$13=0&amp;"+","",Roster!$N$13)</f>
        <v>9+</v>
      </c>
      <c r="C90" s="403"/>
      <c r="D90" s="450"/>
      <c r="E90" s="357"/>
      <c r="F90" s="357"/>
      <c r="G90" s="357"/>
      <c r="H90" s="357"/>
      <c r="I90" s="357"/>
      <c r="J90" s="357"/>
      <c r="K90" s="357"/>
      <c r="L90" s="357"/>
      <c r="M90" s="357"/>
      <c r="N90" s="451"/>
      <c r="O90" s="119"/>
      <c r="P90" s="14"/>
      <c r="Q90" s="457" t="str">
        <f>IF(Roster!$N$14=0&amp;"+","",Roster!$N$14)</f>
        <v/>
      </c>
      <c r="R90" s="403"/>
      <c r="S90" s="450"/>
      <c r="T90" s="357"/>
      <c r="U90" s="357"/>
      <c r="V90" s="357"/>
      <c r="W90" s="357"/>
      <c r="X90" s="357"/>
      <c r="Y90" s="357"/>
      <c r="Z90" s="357"/>
      <c r="AA90" s="357"/>
      <c r="AB90" s="357"/>
      <c r="AC90" s="451"/>
      <c r="AD90" s="119"/>
      <c r="AE90" s="14"/>
      <c r="AF90" s="457" t="str">
        <f>IF(Roster!$N$15=0&amp;"+","",Roster!$N$15)</f>
        <v/>
      </c>
      <c r="AG90" s="403"/>
      <c r="AH90" s="450"/>
      <c r="AI90" s="357"/>
      <c r="AJ90" s="357"/>
      <c r="AK90" s="357"/>
      <c r="AL90" s="357"/>
      <c r="AM90" s="357"/>
      <c r="AN90" s="357"/>
      <c r="AO90" s="357"/>
      <c r="AP90" s="357"/>
      <c r="AQ90" s="357"/>
      <c r="AR90" s="451"/>
      <c r="AS90" s="119"/>
      <c r="AT90" s="14"/>
      <c r="AU90" s="457" t="str">
        <f>IF(Roster!$N$16=0&amp;"+","",Roster!$N$16)</f>
        <v/>
      </c>
      <c r="AV90" s="403"/>
      <c r="AW90" s="450"/>
      <c r="AX90" s="357"/>
      <c r="AY90" s="357"/>
      <c r="AZ90" s="357"/>
      <c r="BA90" s="357"/>
      <c r="BB90" s="357"/>
      <c r="BC90" s="357"/>
      <c r="BD90" s="357"/>
      <c r="BE90" s="357"/>
      <c r="BF90" s="357"/>
      <c r="BG90" s="451"/>
      <c r="BH90" s="119"/>
    </row>
    <row r="91" spans="1:60" ht="4.5" customHeight="1">
      <c r="A91" s="14"/>
      <c r="B91" s="403"/>
      <c r="C91" s="403"/>
      <c r="D91" s="450"/>
      <c r="E91" s="357"/>
      <c r="F91" s="357"/>
      <c r="G91" s="357"/>
      <c r="H91" s="357"/>
      <c r="I91" s="357"/>
      <c r="J91" s="357"/>
      <c r="K91" s="357"/>
      <c r="L91" s="357"/>
      <c r="M91" s="357"/>
      <c r="N91" s="451"/>
      <c r="O91" s="119"/>
      <c r="P91" s="14"/>
      <c r="Q91" s="403"/>
      <c r="R91" s="403"/>
      <c r="S91" s="450"/>
      <c r="T91" s="357"/>
      <c r="U91" s="357"/>
      <c r="V91" s="357"/>
      <c r="W91" s="357"/>
      <c r="X91" s="357"/>
      <c r="Y91" s="357"/>
      <c r="Z91" s="357"/>
      <c r="AA91" s="357"/>
      <c r="AB91" s="357"/>
      <c r="AC91" s="451"/>
      <c r="AD91" s="119"/>
      <c r="AE91" s="14"/>
      <c r="AF91" s="403"/>
      <c r="AG91" s="403"/>
      <c r="AH91" s="450"/>
      <c r="AI91" s="357"/>
      <c r="AJ91" s="357"/>
      <c r="AK91" s="357"/>
      <c r="AL91" s="357"/>
      <c r="AM91" s="357"/>
      <c r="AN91" s="357"/>
      <c r="AO91" s="357"/>
      <c r="AP91" s="357"/>
      <c r="AQ91" s="357"/>
      <c r="AR91" s="451"/>
      <c r="AS91" s="119"/>
      <c r="AT91" s="14"/>
      <c r="AU91" s="403"/>
      <c r="AV91" s="403"/>
      <c r="AW91" s="450"/>
      <c r="AX91" s="357"/>
      <c r="AY91" s="357"/>
      <c r="AZ91" s="357"/>
      <c r="BA91" s="357"/>
      <c r="BB91" s="357"/>
      <c r="BC91" s="357"/>
      <c r="BD91" s="357"/>
      <c r="BE91" s="357"/>
      <c r="BF91" s="357"/>
      <c r="BG91" s="451"/>
      <c r="BH91" s="119"/>
    </row>
    <row r="92" spans="1:60" ht="11.25" customHeight="1">
      <c r="A92" s="14"/>
      <c r="B92" s="403"/>
      <c r="C92" s="403"/>
      <c r="D92" s="450"/>
      <c r="E92" s="357"/>
      <c r="F92" s="357"/>
      <c r="G92" s="357"/>
      <c r="H92" s="357"/>
      <c r="I92" s="357"/>
      <c r="J92" s="357"/>
      <c r="K92" s="357"/>
      <c r="L92" s="357"/>
      <c r="M92" s="357"/>
      <c r="N92" s="451"/>
      <c r="O92" s="119"/>
      <c r="P92" s="14"/>
      <c r="Q92" s="403"/>
      <c r="R92" s="403"/>
      <c r="S92" s="450"/>
      <c r="T92" s="357"/>
      <c r="U92" s="357"/>
      <c r="V92" s="357"/>
      <c r="W92" s="357"/>
      <c r="X92" s="357"/>
      <c r="Y92" s="357"/>
      <c r="Z92" s="357"/>
      <c r="AA92" s="357"/>
      <c r="AB92" s="357"/>
      <c r="AC92" s="451"/>
      <c r="AD92" s="119"/>
      <c r="AE92" s="14"/>
      <c r="AF92" s="403"/>
      <c r="AG92" s="403"/>
      <c r="AH92" s="450"/>
      <c r="AI92" s="357"/>
      <c r="AJ92" s="357"/>
      <c r="AK92" s="357"/>
      <c r="AL92" s="357"/>
      <c r="AM92" s="357"/>
      <c r="AN92" s="357"/>
      <c r="AO92" s="357"/>
      <c r="AP92" s="357"/>
      <c r="AQ92" s="357"/>
      <c r="AR92" s="451"/>
      <c r="AS92" s="119"/>
      <c r="AT92" s="14"/>
      <c r="AU92" s="403"/>
      <c r="AV92" s="403"/>
      <c r="AW92" s="450"/>
      <c r="AX92" s="357"/>
      <c r="AY92" s="357"/>
      <c r="AZ92" s="357"/>
      <c r="BA92" s="357"/>
      <c r="BB92" s="357"/>
      <c r="BC92" s="357"/>
      <c r="BD92" s="357"/>
      <c r="BE92" s="357"/>
      <c r="BF92" s="357"/>
      <c r="BG92" s="451"/>
      <c r="BH92" s="119"/>
    </row>
    <row r="93" spans="1:60" ht="6.75" customHeight="1">
      <c r="A93" s="14"/>
      <c r="B93" s="404"/>
      <c r="C93" s="403"/>
      <c r="D93" s="450"/>
      <c r="E93" s="357"/>
      <c r="F93" s="357"/>
      <c r="G93" s="357"/>
      <c r="H93" s="357"/>
      <c r="I93" s="357"/>
      <c r="J93" s="357"/>
      <c r="K93" s="357"/>
      <c r="L93" s="357"/>
      <c r="M93" s="357"/>
      <c r="N93" s="451"/>
      <c r="O93" s="119"/>
      <c r="P93" s="14"/>
      <c r="Q93" s="404"/>
      <c r="R93" s="403"/>
      <c r="S93" s="450"/>
      <c r="T93" s="357"/>
      <c r="U93" s="357"/>
      <c r="V93" s="357"/>
      <c r="W93" s="357"/>
      <c r="X93" s="357"/>
      <c r="Y93" s="357"/>
      <c r="Z93" s="357"/>
      <c r="AA93" s="357"/>
      <c r="AB93" s="357"/>
      <c r="AC93" s="451"/>
      <c r="AD93" s="119"/>
      <c r="AE93" s="14"/>
      <c r="AF93" s="404"/>
      <c r="AG93" s="403"/>
      <c r="AH93" s="450"/>
      <c r="AI93" s="357"/>
      <c r="AJ93" s="357"/>
      <c r="AK93" s="357"/>
      <c r="AL93" s="357"/>
      <c r="AM93" s="357"/>
      <c r="AN93" s="357"/>
      <c r="AO93" s="357"/>
      <c r="AP93" s="357"/>
      <c r="AQ93" s="357"/>
      <c r="AR93" s="451"/>
      <c r="AS93" s="119"/>
      <c r="AT93" s="14"/>
      <c r="AU93" s="404"/>
      <c r="AV93" s="403"/>
      <c r="AW93" s="450"/>
      <c r="AX93" s="357"/>
      <c r="AY93" s="357"/>
      <c r="AZ93" s="357"/>
      <c r="BA93" s="357"/>
      <c r="BB93" s="357"/>
      <c r="BC93" s="357"/>
      <c r="BD93" s="357"/>
      <c r="BE93" s="357"/>
      <c r="BF93" s="357"/>
      <c r="BG93" s="451"/>
      <c r="BH93" s="119"/>
    </row>
    <row r="94" spans="1:60" ht="11.25" customHeight="1">
      <c r="A94" s="14"/>
      <c r="B94" s="109" t="str">
        <f>IF(Roster!$AN$1=0,"",Roster!$AN$1)</f>
        <v>COST</v>
      </c>
      <c r="C94" s="403"/>
      <c r="D94" s="450"/>
      <c r="E94" s="357"/>
      <c r="F94" s="357"/>
      <c r="G94" s="357"/>
      <c r="H94" s="357"/>
      <c r="I94" s="357"/>
      <c r="J94" s="357"/>
      <c r="K94" s="357"/>
      <c r="L94" s="357"/>
      <c r="M94" s="357"/>
      <c r="N94" s="451"/>
      <c r="O94" s="120"/>
      <c r="P94" s="14"/>
      <c r="Q94" s="109" t="str">
        <f>IF(Roster!$AN$1=0,"",Roster!$AN$1)</f>
        <v>COST</v>
      </c>
      <c r="R94" s="403"/>
      <c r="S94" s="450"/>
      <c r="T94" s="357"/>
      <c r="U94" s="357"/>
      <c r="V94" s="357"/>
      <c r="W94" s="357"/>
      <c r="X94" s="357"/>
      <c r="Y94" s="357"/>
      <c r="Z94" s="357"/>
      <c r="AA94" s="357"/>
      <c r="AB94" s="357"/>
      <c r="AC94" s="451"/>
      <c r="AD94" s="120"/>
      <c r="AE94" s="14"/>
      <c r="AF94" s="109" t="str">
        <f>IF(Roster!$AN$1=0,"",Roster!$AN$1)</f>
        <v>COST</v>
      </c>
      <c r="AG94" s="403"/>
      <c r="AH94" s="450"/>
      <c r="AI94" s="357"/>
      <c r="AJ94" s="357"/>
      <c r="AK94" s="357"/>
      <c r="AL94" s="357"/>
      <c r="AM94" s="357"/>
      <c r="AN94" s="357"/>
      <c r="AO94" s="357"/>
      <c r="AP94" s="357"/>
      <c r="AQ94" s="357"/>
      <c r="AR94" s="451"/>
      <c r="AS94" s="120"/>
      <c r="AT94" s="14"/>
      <c r="AU94" s="109" t="str">
        <f>IF(Roster!$AN$1=0,"",Roster!$AN$1)</f>
        <v>COST</v>
      </c>
      <c r="AV94" s="403"/>
      <c r="AW94" s="450"/>
      <c r="AX94" s="357"/>
      <c r="AY94" s="357"/>
      <c r="AZ94" s="357"/>
      <c r="BA94" s="357"/>
      <c r="BB94" s="357"/>
      <c r="BC94" s="357"/>
      <c r="BD94" s="357"/>
      <c r="BE94" s="357"/>
      <c r="BF94" s="357"/>
      <c r="BG94" s="451"/>
      <c r="BH94" s="120"/>
    </row>
    <row r="95" spans="1:60" ht="34.5" customHeight="1">
      <c r="A95" s="14"/>
      <c r="B95" s="122">
        <f>IF(Roster!$AN$13=0,"",Roster!$AN$13)</f>
        <v>40000</v>
      </c>
      <c r="C95" s="404"/>
      <c r="D95" s="452"/>
      <c r="E95" s="453"/>
      <c r="F95" s="453"/>
      <c r="G95" s="453"/>
      <c r="H95" s="453"/>
      <c r="I95" s="453"/>
      <c r="J95" s="453"/>
      <c r="K95" s="453"/>
      <c r="L95" s="453"/>
      <c r="M95" s="453"/>
      <c r="N95" s="454"/>
      <c r="O95" s="120"/>
      <c r="P95" s="14"/>
      <c r="Q95" s="122" t="str">
        <f>IF(Roster!$AN$14=0,"",Roster!$AN$14)</f>
        <v/>
      </c>
      <c r="R95" s="404"/>
      <c r="S95" s="452"/>
      <c r="T95" s="453"/>
      <c r="U95" s="453"/>
      <c r="V95" s="453"/>
      <c r="W95" s="453"/>
      <c r="X95" s="453"/>
      <c r="Y95" s="453"/>
      <c r="Z95" s="453"/>
      <c r="AA95" s="453"/>
      <c r="AB95" s="453"/>
      <c r="AC95" s="454"/>
      <c r="AD95" s="120"/>
      <c r="AE95" s="14"/>
      <c r="AF95" s="122" t="str">
        <f>IF(Roster!$AN$15=0,"",Roster!$AN$15)</f>
        <v/>
      </c>
      <c r="AG95" s="404"/>
      <c r="AH95" s="452"/>
      <c r="AI95" s="453"/>
      <c r="AJ95" s="453"/>
      <c r="AK95" s="453"/>
      <c r="AL95" s="453"/>
      <c r="AM95" s="453"/>
      <c r="AN95" s="453"/>
      <c r="AO95" s="453"/>
      <c r="AP95" s="453"/>
      <c r="AQ95" s="453"/>
      <c r="AR95" s="454"/>
      <c r="AS95" s="120"/>
      <c r="AT95" s="14"/>
      <c r="AU95" s="122" t="str">
        <f>IF(Roster!$AN$16=0,"",Roster!$AN$16)</f>
        <v/>
      </c>
      <c r="AV95" s="404"/>
      <c r="AW95" s="452"/>
      <c r="AX95" s="453"/>
      <c r="AY95" s="453"/>
      <c r="AZ95" s="453"/>
      <c r="BA95" s="453"/>
      <c r="BB95" s="453"/>
      <c r="BC95" s="453"/>
      <c r="BD95" s="453"/>
      <c r="BE95" s="453"/>
      <c r="BF95" s="453"/>
      <c r="BG95" s="454"/>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55" t="str">
        <f>IF(Roster!$A$17=0,"","#"&amp;Roster!$A$17)</f>
        <v>#16</v>
      </c>
      <c r="C98" s="105"/>
      <c r="D98" s="105"/>
      <c r="E98" s="105"/>
      <c r="F98" s="105"/>
      <c r="G98" s="105"/>
      <c r="H98" s="105"/>
      <c r="I98" s="105"/>
      <c r="J98" s="105"/>
      <c r="K98" s="105"/>
      <c r="L98" s="105"/>
      <c r="M98" s="105"/>
      <c r="N98" s="105"/>
      <c r="O98" s="105"/>
      <c r="P98" s="14"/>
      <c r="Q98" s="469"/>
      <c r="R98" s="214"/>
      <c r="S98" s="214"/>
      <c r="T98" s="214"/>
      <c r="U98" s="214"/>
      <c r="V98" s="214"/>
      <c r="W98" s="214"/>
      <c r="X98" s="214"/>
      <c r="Y98" s="214"/>
      <c r="Z98" s="214"/>
      <c r="AA98" s="214"/>
      <c r="AB98" s="214"/>
      <c r="AC98" s="214"/>
      <c r="AD98" s="105"/>
      <c r="AE98" s="14"/>
      <c r="AF98" s="469"/>
      <c r="AG98" s="214"/>
      <c r="AH98" s="214"/>
      <c r="AI98" s="214"/>
      <c r="AJ98" s="214"/>
      <c r="AK98" s="214"/>
      <c r="AL98" s="214"/>
      <c r="AM98" s="214"/>
      <c r="AN98" s="214"/>
      <c r="AO98" s="214"/>
      <c r="AP98" s="214"/>
      <c r="AQ98" s="214"/>
      <c r="AR98" s="214"/>
      <c r="AS98" s="105"/>
      <c r="AT98" s="14"/>
      <c r="AU98" s="469"/>
      <c r="AV98" s="214"/>
      <c r="AW98" s="214"/>
      <c r="AX98" s="214"/>
      <c r="AY98" s="214"/>
      <c r="AZ98" s="214"/>
      <c r="BA98" s="214"/>
      <c r="BB98" s="214"/>
      <c r="BC98" s="214"/>
      <c r="BD98" s="214"/>
      <c r="BE98" s="214"/>
      <c r="BF98" s="214"/>
      <c r="BG98" s="214"/>
      <c r="BH98" s="105"/>
    </row>
    <row r="99" spans="1:60" ht="15" customHeight="1">
      <c r="A99" s="14"/>
      <c r="B99" s="403"/>
      <c r="C99" s="445" t="str">
        <f>IF(Roster!$B$17=0,"",Roster!$B$17)</f>
        <v/>
      </c>
      <c r="D99" s="395"/>
      <c r="E99" s="395"/>
      <c r="F99" s="395"/>
      <c r="G99" s="395"/>
      <c r="H99" s="395"/>
      <c r="I99" s="395"/>
      <c r="J99" s="395"/>
      <c r="K99" s="395"/>
      <c r="L99" s="395"/>
      <c r="M99" s="395"/>
      <c r="N99" s="396"/>
      <c r="O99" s="105"/>
      <c r="P99" s="14"/>
      <c r="Q99" s="403"/>
      <c r="R99" s="466" t="str">
        <f>IF(Roster!$B$18=0,"","("&amp;Roster!$B$18&amp;")")</f>
        <v>(Star Player &amp; Mercenary)</v>
      </c>
      <c r="S99" s="467"/>
      <c r="T99" s="467"/>
      <c r="U99" s="467"/>
      <c r="V99" s="467"/>
      <c r="W99" s="467"/>
      <c r="X99" s="467"/>
      <c r="Y99" s="467"/>
      <c r="Z99" s="467"/>
      <c r="AA99" s="467"/>
      <c r="AB99" s="467"/>
      <c r="AC99" s="467"/>
      <c r="AD99" s="105"/>
      <c r="AE99" s="14"/>
      <c r="AF99" s="403"/>
      <c r="AG99" s="466" t="str">
        <f>IF(Roster!$B$19=0,"","("&amp;Roster!$B$19&amp;")")</f>
        <v>(Star Player &amp; Mercenary)</v>
      </c>
      <c r="AH99" s="467"/>
      <c r="AI99" s="467"/>
      <c r="AJ99" s="467"/>
      <c r="AK99" s="467"/>
      <c r="AL99" s="467"/>
      <c r="AM99" s="467"/>
      <c r="AN99" s="467"/>
      <c r="AO99" s="467"/>
      <c r="AP99" s="467"/>
      <c r="AQ99" s="467"/>
      <c r="AR99" s="467"/>
      <c r="AS99" s="105"/>
      <c r="AT99" s="14"/>
      <c r="AU99" s="403"/>
      <c r="AV99" s="466" t="str">
        <f>IF(Roster!$B$20=0,"","("&amp;Roster!$B$20&amp;")")</f>
        <v>(Mercenary)</v>
      </c>
      <c r="AW99" s="467"/>
      <c r="AX99" s="467"/>
      <c r="AY99" s="467"/>
      <c r="AZ99" s="467"/>
      <c r="BA99" s="467"/>
      <c r="BB99" s="467"/>
      <c r="BC99" s="467"/>
      <c r="BD99" s="467"/>
      <c r="BE99" s="467"/>
      <c r="BF99" s="467"/>
      <c r="BG99" s="467"/>
      <c r="BH99" s="105"/>
    </row>
    <row r="100" spans="1:60" ht="11.25" customHeight="1">
      <c r="A100" s="14"/>
      <c r="B100" s="404"/>
      <c r="C100" s="443" t="str">
        <f>IF(Roster!$C$17=0,"",Roster!$C$17)</f>
        <v/>
      </c>
      <c r="D100" s="395"/>
      <c r="E100" s="395"/>
      <c r="F100" s="395"/>
      <c r="G100" s="395"/>
      <c r="H100" s="395"/>
      <c r="I100" s="395"/>
      <c r="J100" s="395"/>
      <c r="K100" s="395"/>
      <c r="L100" s="395"/>
      <c r="M100" s="395"/>
      <c r="N100" s="396"/>
      <c r="O100" s="106"/>
      <c r="P100" s="14"/>
      <c r="Q100" s="404"/>
      <c r="R100" s="468" t="str">
        <f>IF(Roster!$C$18=0,"",Roster!$C$18)</f>
        <v/>
      </c>
      <c r="S100" s="468"/>
      <c r="T100" s="468"/>
      <c r="U100" s="468"/>
      <c r="V100" s="468"/>
      <c r="W100" s="468"/>
      <c r="X100" s="468"/>
      <c r="Y100" s="468"/>
      <c r="Z100" s="468"/>
      <c r="AA100" s="468"/>
      <c r="AB100" s="468"/>
      <c r="AC100" s="468"/>
      <c r="AD100" s="106"/>
      <c r="AE100" s="14"/>
      <c r="AF100" s="404"/>
      <c r="AG100" s="468" t="str">
        <f>IF(Roster!$C$19=0,"",Roster!$C$19)</f>
        <v/>
      </c>
      <c r="AH100" s="468"/>
      <c r="AI100" s="468"/>
      <c r="AJ100" s="468"/>
      <c r="AK100" s="468"/>
      <c r="AL100" s="468"/>
      <c r="AM100" s="468"/>
      <c r="AN100" s="468"/>
      <c r="AO100" s="468"/>
      <c r="AP100" s="468"/>
      <c r="AQ100" s="468"/>
      <c r="AR100" s="468"/>
      <c r="AS100" s="106"/>
      <c r="AT100" s="14"/>
      <c r="AU100" s="404"/>
      <c r="AV100" s="468" t="str">
        <f>IF(Roster!$C$20=0,"",Roster!$C$20)</f>
        <v/>
      </c>
      <c r="AW100" s="468"/>
      <c r="AX100" s="468"/>
      <c r="AY100" s="468"/>
      <c r="AZ100" s="468"/>
      <c r="BA100" s="468"/>
      <c r="BB100" s="468"/>
      <c r="BC100" s="468"/>
      <c r="BD100" s="468"/>
      <c r="BE100" s="468"/>
      <c r="BF100" s="468"/>
      <c r="BG100" s="468"/>
      <c r="BH100" s="106"/>
    </row>
    <row r="101" spans="1:60" ht="11.25" customHeight="1">
      <c r="A101" s="14"/>
      <c r="B101" s="109" t="str">
        <f>IF(Roster!$J$1=0,"",Roster!$J$1)</f>
        <v>MA</v>
      </c>
      <c r="C101" s="458"/>
      <c r="D101" s="395"/>
      <c r="E101" s="395"/>
      <c r="F101" s="395"/>
      <c r="G101" s="395"/>
      <c r="H101" s="395"/>
      <c r="I101" s="395"/>
      <c r="J101" s="395"/>
      <c r="K101" s="395"/>
      <c r="L101" s="395"/>
      <c r="M101" s="395"/>
      <c r="N101" s="396"/>
      <c r="O101" s="105"/>
      <c r="P101" s="14"/>
      <c r="Q101" s="109" t="str">
        <f>IF(Roster!$J$1=0,"",Roster!$J$1)</f>
        <v>MA</v>
      </c>
      <c r="R101" s="468"/>
      <c r="S101" s="468"/>
      <c r="T101" s="468"/>
      <c r="U101" s="468"/>
      <c r="V101" s="468"/>
      <c r="W101" s="468"/>
      <c r="X101" s="468"/>
      <c r="Y101" s="468"/>
      <c r="Z101" s="468"/>
      <c r="AA101" s="468"/>
      <c r="AB101" s="468"/>
      <c r="AC101" s="468"/>
      <c r="AD101" s="105"/>
      <c r="AE101" s="14"/>
      <c r="AF101" s="109" t="str">
        <f>IF(Roster!$J$1=0,"",Roster!$J$1)</f>
        <v>MA</v>
      </c>
      <c r="AG101" s="468"/>
      <c r="AH101" s="468"/>
      <c r="AI101" s="468"/>
      <c r="AJ101" s="468"/>
      <c r="AK101" s="468"/>
      <c r="AL101" s="468"/>
      <c r="AM101" s="468"/>
      <c r="AN101" s="468"/>
      <c r="AO101" s="468"/>
      <c r="AP101" s="468"/>
      <c r="AQ101" s="468"/>
      <c r="AR101" s="468"/>
      <c r="AS101" s="105"/>
      <c r="AT101" s="14"/>
      <c r="AU101" s="109" t="str">
        <f>IF(Roster!$J$1=0,"",Roster!$J$1)</f>
        <v>MA</v>
      </c>
      <c r="AV101" s="468"/>
      <c r="AW101" s="468"/>
      <c r="AX101" s="468"/>
      <c r="AY101" s="468"/>
      <c r="AZ101" s="468"/>
      <c r="BA101" s="468"/>
      <c r="BB101" s="468"/>
      <c r="BC101" s="468"/>
      <c r="BD101" s="468"/>
      <c r="BE101" s="468"/>
      <c r="BF101" s="468"/>
      <c r="BG101" s="468"/>
      <c r="BH101" s="105"/>
    </row>
    <row r="102" spans="1:60" ht="37.5" customHeight="1">
      <c r="A102" s="14"/>
      <c r="B102" s="111" t="str">
        <f>IF(Roster!$J$17=0,"",Roster!$J$17)</f>
        <v/>
      </c>
      <c r="C102" s="462"/>
      <c r="D102" s="459"/>
      <c r="E102" s="448"/>
      <c r="F102" s="448"/>
      <c r="G102" s="448"/>
      <c r="H102" s="448"/>
      <c r="I102" s="448"/>
      <c r="J102" s="448"/>
      <c r="K102" s="448"/>
      <c r="L102" s="448"/>
      <c r="M102" s="448"/>
      <c r="N102" s="449"/>
      <c r="O102" s="105"/>
      <c r="P102" s="14"/>
      <c r="Q102" s="111" t="str">
        <f>IF(Roster!$J$18=0,"",Roster!$J$18)</f>
        <v/>
      </c>
      <c r="R102" s="468"/>
      <c r="S102" s="468"/>
      <c r="T102" s="468"/>
      <c r="U102" s="468"/>
      <c r="V102" s="468"/>
      <c r="W102" s="468"/>
      <c r="X102" s="468"/>
      <c r="Y102" s="468"/>
      <c r="Z102" s="468"/>
      <c r="AA102" s="468"/>
      <c r="AB102" s="468"/>
      <c r="AC102" s="468"/>
      <c r="AD102" s="105"/>
      <c r="AE102" s="14"/>
      <c r="AF102" s="111" t="str">
        <f>IF(Roster!$J$19=0,"",Roster!$J$19)</f>
        <v/>
      </c>
      <c r="AG102" s="468"/>
      <c r="AH102" s="468"/>
      <c r="AI102" s="468"/>
      <c r="AJ102" s="468"/>
      <c r="AK102" s="468"/>
      <c r="AL102" s="468"/>
      <c r="AM102" s="468"/>
      <c r="AN102" s="468"/>
      <c r="AO102" s="468"/>
      <c r="AP102" s="468"/>
      <c r="AQ102" s="468"/>
      <c r="AR102" s="468"/>
      <c r="AS102" s="105"/>
      <c r="AT102" s="14"/>
      <c r="AU102" s="111" t="str">
        <f>IF(Roster!$J$20=0,"",Roster!$J$20)</f>
        <v/>
      </c>
      <c r="AV102" s="468"/>
      <c r="AW102" s="468"/>
      <c r="AX102" s="468"/>
      <c r="AY102" s="468"/>
      <c r="AZ102" s="468"/>
      <c r="BA102" s="468"/>
      <c r="BB102" s="468"/>
      <c r="BC102" s="468"/>
      <c r="BD102" s="468"/>
      <c r="BE102" s="468"/>
      <c r="BF102" s="468"/>
      <c r="BG102" s="468"/>
      <c r="BH102" s="105"/>
    </row>
    <row r="103" spans="1:60" ht="11.25" customHeight="1">
      <c r="A103" s="14"/>
      <c r="B103" s="109" t="str">
        <f>IF(Roster!$K$1=0,"",Roster!$K$1)</f>
        <v>ST</v>
      </c>
      <c r="C103" s="403"/>
      <c r="D103" s="450"/>
      <c r="E103" s="357"/>
      <c r="F103" s="357"/>
      <c r="G103" s="357"/>
      <c r="H103" s="357"/>
      <c r="I103" s="357"/>
      <c r="J103" s="357"/>
      <c r="K103" s="357"/>
      <c r="L103" s="357"/>
      <c r="M103" s="357"/>
      <c r="N103" s="451"/>
      <c r="O103" s="105"/>
      <c r="P103" s="14"/>
      <c r="Q103" s="109" t="str">
        <f>IF(Roster!$K$1=0,"",Roster!$K$1)</f>
        <v>ST</v>
      </c>
      <c r="R103" s="215"/>
      <c r="S103" s="463" t="str">
        <f>IF(Roster!$J$25="Italiano","REGOLE SPECIALI",(IF(Roster!$J$25="Español","REGLA ESPECIAL","SPECIAL RULE")))</f>
        <v>SPECIAL RULE</v>
      </c>
      <c r="T103" s="450"/>
      <c r="U103" s="450"/>
      <c r="V103" s="450"/>
      <c r="W103" s="450"/>
      <c r="X103" s="450"/>
      <c r="Y103" s="450"/>
      <c r="Z103" s="450"/>
      <c r="AA103" s="450"/>
      <c r="AB103" s="450"/>
      <c r="AC103" s="450"/>
      <c r="AD103" s="105"/>
      <c r="AE103" s="14"/>
      <c r="AF103" s="109" t="str">
        <f>IF(Roster!$K$1=0,"",Roster!$K$1)</f>
        <v>ST</v>
      </c>
      <c r="AG103" s="215"/>
      <c r="AH103" s="463" t="str">
        <f>IF(Roster!$J$25="Italiano","REGOLE SPECIALI",(IF(Roster!$J$25="Español","REGLA ESPECIAL","SPECIAL RULE")))</f>
        <v>SPECIAL RULE</v>
      </c>
      <c r="AI103" s="450"/>
      <c r="AJ103" s="450"/>
      <c r="AK103" s="450"/>
      <c r="AL103" s="450"/>
      <c r="AM103" s="450"/>
      <c r="AN103" s="450"/>
      <c r="AO103" s="450"/>
      <c r="AP103" s="450"/>
      <c r="AQ103" s="450"/>
      <c r="AR103" s="450"/>
      <c r="AS103" s="105"/>
      <c r="AT103" s="14"/>
      <c r="AU103" s="109" t="str">
        <f>IF(Roster!$K$1=0,"",Roster!$K$1)</f>
        <v>ST</v>
      </c>
      <c r="AV103" s="215"/>
      <c r="AW103" s="463" t="str">
        <f>IF(Roster!$J$25="Italiano","REGOLE SPECIALI",(IF(Roster!$J$25="Español","REGLA ESPECIAL","SPECIAL RULE")))</f>
        <v>SPECIAL RULE</v>
      </c>
      <c r="AX103" s="450"/>
      <c r="AY103" s="450"/>
      <c r="AZ103" s="450"/>
      <c r="BA103" s="450"/>
      <c r="BB103" s="450"/>
      <c r="BC103" s="450"/>
      <c r="BD103" s="450"/>
      <c r="BE103" s="450"/>
      <c r="BF103" s="450"/>
      <c r="BG103" s="450"/>
      <c r="BH103" s="105"/>
    </row>
    <row r="104" spans="1:60" ht="37.5" customHeight="1">
      <c r="A104" s="14"/>
      <c r="B104" s="111" t="str">
        <f>IF(Roster!$K$17=0,"",Roster!$K$17)</f>
        <v/>
      </c>
      <c r="C104" s="403"/>
      <c r="D104" s="450"/>
      <c r="E104" s="357"/>
      <c r="F104" s="357"/>
      <c r="G104" s="357"/>
      <c r="H104" s="357"/>
      <c r="I104" s="357"/>
      <c r="J104" s="357"/>
      <c r="K104" s="357"/>
      <c r="L104" s="357"/>
      <c r="M104" s="357"/>
      <c r="N104" s="451"/>
      <c r="O104" s="105"/>
      <c r="P104" s="14"/>
      <c r="Q104" s="111" t="str">
        <f>IF(Roster!$K$18=0,"",Roster!$K$18)</f>
        <v/>
      </c>
      <c r="R104" s="215"/>
      <c r="S104" s="464" t="str">
        <f>IF(Roster!$AA$18=0,"",Roster!$AA$18)</f>
        <v/>
      </c>
      <c r="T104" s="464"/>
      <c r="U104" s="464"/>
      <c r="V104" s="464"/>
      <c r="W104" s="464"/>
      <c r="X104" s="464"/>
      <c r="Y104" s="464"/>
      <c r="Z104" s="464"/>
      <c r="AA104" s="464"/>
      <c r="AB104" s="464"/>
      <c r="AC104" s="464"/>
      <c r="AD104" s="105"/>
      <c r="AE104" s="14"/>
      <c r="AF104" s="111" t="str">
        <f>IF(Roster!$K$19=0,"",Roster!$K$19)</f>
        <v/>
      </c>
      <c r="AG104" s="215"/>
      <c r="AH104" s="464" t="str">
        <f>IF(Roster!$AA$19=0,"",Roster!$AA$19)</f>
        <v/>
      </c>
      <c r="AI104" s="464"/>
      <c r="AJ104" s="464"/>
      <c r="AK104" s="464"/>
      <c r="AL104" s="464"/>
      <c r="AM104" s="464"/>
      <c r="AN104" s="464"/>
      <c r="AO104" s="464"/>
      <c r="AP104" s="464"/>
      <c r="AQ104" s="464"/>
      <c r="AR104" s="464"/>
      <c r="AS104" s="105"/>
      <c r="AT104" s="14"/>
      <c r="AU104" s="111" t="str">
        <f>IF(Roster!$K$20=0,"",Roster!$K$20)</f>
        <v/>
      </c>
      <c r="AV104" s="215"/>
      <c r="AW104" s="464" t="str">
        <f>IF(Roster!$AA$20=0,"",Roster!$AA$20)</f>
        <v/>
      </c>
      <c r="AX104" s="464"/>
      <c r="AY104" s="464"/>
      <c r="AZ104" s="464"/>
      <c r="BA104" s="464"/>
      <c r="BB104" s="464"/>
      <c r="BC104" s="464"/>
      <c r="BD104" s="464"/>
      <c r="BE104" s="464"/>
      <c r="BF104" s="464"/>
      <c r="BG104" s="464"/>
      <c r="BH104" s="105"/>
    </row>
    <row r="105" spans="1:60" ht="11.25" customHeight="1">
      <c r="A105" s="14"/>
      <c r="B105" s="109" t="str">
        <f>IF(Roster!$L$1=0,"",Roster!$L$1)</f>
        <v>AG</v>
      </c>
      <c r="C105" s="403"/>
      <c r="D105" s="450"/>
      <c r="E105" s="357"/>
      <c r="F105" s="357"/>
      <c r="G105" s="357"/>
      <c r="H105" s="357"/>
      <c r="I105" s="357"/>
      <c r="J105" s="357"/>
      <c r="K105" s="357"/>
      <c r="L105" s="357"/>
      <c r="M105" s="357"/>
      <c r="N105" s="451"/>
      <c r="O105" s="105"/>
      <c r="P105" s="14"/>
      <c r="Q105" s="109" t="str">
        <f>IF(Roster!$L$1=0,"",Roster!$L$1)</f>
        <v>AG</v>
      </c>
      <c r="R105" s="215"/>
      <c r="S105" s="464"/>
      <c r="T105" s="464"/>
      <c r="U105" s="464"/>
      <c r="V105" s="464"/>
      <c r="W105" s="464"/>
      <c r="X105" s="464"/>
      <c r="Y105" s="464"/>
      <c r="Z105" s="464"/>
      <c r="AA105" s="464"/>
      <c r="AB105" s="464"/>
      <c r="AC105" s="464"/>
      <c r="AD105" s="105"/>
      <c r="AE105" s="14"/>
      <c r="AF105" s="109" t="str">
        <f>IF(Roster!$L$1=0,"",Roster!$L$1)</f>
        <v>AG</v>
      </c>
      <c r="AG105" s="215"/>
      <c r="AH105" s="464"/>
      <c r="AI105" s="464"/>
      <c r="AJ105" s="464"/>
      <c r="AK105" s="464"/>
      <c r="AL105" s="464"/>
      <c r="AM105" s="464"/>
      <c r="AN105" s="464"/>
      <c r="AO105" s="464"/>
      <c r="AP105" s="464"/>
      <c r="AQ105" s="464"/>
      <c r="AR105" s="464"/>
      <c r="AS105" s="105"/>
      <c r="AT105" s="14"/>
      <c r="AU105" s="109" t="str">
        <f>IF(Roster!$L$1=0,"",Roster!$L$1)</f>
        <v>AG</v>
      </c>
      <c r="AV105" s="215"/>
      <c r="AW105" s="464"/>
      <c r="AX105" s="464"/>
      <c r="AY105" s="464"/>
      <c r="AZ105" s="464"/>
      <c r="BA105" s="464"/>
      <c r="BB105" s="464"/>
      <c r="BC105" s="464"/>
      <c r="BD105" s="464"/>
      <c r="BE105" s="464"/>
      <c r="BF105" s="464"/>
      <c r="BG105" s="464"/>
      <c r="BH105" s="105"/>
    </row>
    <row r="106" spans="1:60" ht="37.5" customHeight="1">
      <c r="A106" s="14"/>
      <c r="B106" s="111" t="str">
        <f>IF(Roster!$L$17=0&amp;"+","",Roster!$L$17)</f>
        <v/>
      </c>
      <c r="C106" s="403"/>
      <c r="D106" s="450"/>
      <c r="E106" s="357"/>
      <c r="F106" s="357"/>
      <c r="G106" s="357"/>
      <c r="H106" s="357"/>
      <c r="I106" s="357"/>
      <c r="J106" s="357"/>
      <c r="K106" s="357"/>
      <c r="L106" s="357"/>
      <c r="M106" s="357"/>
      <c r="N106" s="451"/>
      <c r="O106" s="105"/>
      <c r="P106" s="14"/>
      <c r="Q106" s="111" t="str">
        <f>IF(Roster!$L$18=0,"",Roster!$L$18)</f>
        <v/>
      </c>
      <c r="R106" s="215"/>
      <c r="S106" s="464"/>
      <c r="T106" s="464"/>
      <c r="U106" s="464"/>
      <c r="V106" s="464"/>
      <c r="W106" s="464"/>
      <c r="X106" s="464"/>
      <c r="Y106" s="464"/>
      <c r="Z106" s="464"/>
      <c r="AA106" s="464"/>
      <c r="AB106" s="464"/>
      <c r="AC106" s="464"/>
      <c r="AD106" s="105"/>
      <c r="AE106" s="14"/>
      <c r="AF106" s="111" t="str">
        <f>IF(Roster!$L$19=0,"",Roster!$L$19)</f>
        <v/>
      </c>
      <c r="AG106" s="215"/>
      <c r="AH106" s="464"/>
      <c r="AI106" s="464"/>
      <c r="AJ106" s="464"/>
      <c r="AK106" s="464"/>
      <c r="AL106" s="464"/>
      <c r="AM106" s="464"/>
      <c r="AN106" s="464"/>
      <c r="AO106" s="464"/>
      <c r="AP106" s="464"/>
      <c r="AQ106" s="464"/>
      <c r="AR106" s="464"/>
      <c r="AS106" s="105"/>
      <c r="AT106" s="14"/>
      <c r="AU106" s="111" t="str">
        <f>IF(Roster!$L$20=0,"",Roster!$L$20)</f>
        <v/>
      </c>
      <c r="AV106" s="215"/>
      <c r="AW106" s="464"/>
      <c r="AX106" s="464"/>
      <c r="AY106" s="464"/>
      <c r="AZ106" s="464"/>
      <c r="BA106" s="464"/>
      <c r="BB106" s="464"/>
      <c r="BC106" s="464"/>
      <c r="BD106" s="464"/>
      <c r="BE106" s="464"/>
      <c r="BF106" s="464"/>
      <c r="BG106" s="464"/>
      <c r="BH106" s="105"/>
    </row>
    <row r="107" spans="1:60" ht="11.25" customHeight="1">
      <c r="A107" s="14"/>
      <c r="B107" s="109" t="str">
        <f>IF(Roster!$M$1=0,"",Roster!$M$1)</f>
        <v>PA</v>
      </c>
      <c r="C107" s="403"/>
      <c r="D107" s="450"/>
      <c r="E107" s="357"/>
      <c r="F107" s="357"/>
      <c r="G107" s="357"/>
      <c r="H107" s="357"/>
      <c r="I107" s="357"/>
      <c r="J107" s="357"/>
      <c r="K107" s="357"/>
      <c r="L107" s="357"/>
      <c r="M107" s="357"/>
      <c r="N107" s="451"/>
      <c r="O107" s="114"/>
      <c r="P107" s="14"/>
      <c r="Q107" s="109" t="str">
        <f>IF(Roster!$M$1=0,"",Roster!$M$1)</f>
        <v>PA</v>
      </c>
      <c r="R107" s="215"/>
      <c r="S107" s="464"/>
      <c r="T107" s="464"/>
      <c r="U107" s="464"/>
      <c r="V107" s="464"/>
      <c r="W107" s="464"/>
      <c r="X107" s="464"/>
      <c r="Y107" s="464"/>
      <c r="Z107" s="464"/>
      <c r="AA107" s="464"/>
      <c r="AB107" s="464"/>
      <c r="AC107" s="464"/>
      <c r="AD107" s="114"/>
      <c r="AE107" s="14"/>
      <c r="AF107" s="109" t="str">
        <f>IF(Roster!$M$1=0,"",Roster!$M$1)</f>
        <v>PA</v>
      </c>
      <c r="AG107" s="215"/>
      <c r="AH107" s="464"/>
      <c r="AI107" s="464"/>
      <c r="AJ107" s="464"/>
      <c r="AK107" s="464"/>
      <c r="AL107" s="464"/>
      <c r="AM107" s="464"/>
      <c r="AN107" s="464"/>
      <c r="AO107" s="464"/>
      <c r="AP107" s="464"/>
      <c r="AQ107" s="464"/>
      <c r="AR107" s="464"/>
      <c r="AS107" s="114"/>
      <c r="AT107" s="14"/>
      <c r="AU107" s="109" t="str">
        <f>IF(Roster!$M$1=0,"",Roster!$M$1)</f>
        <v>PA</v>
      </c>
      <c r="AV107" s="215"/>
      <c r="AW107" s="464"/>
      <c r="AX107" s="464"/>
      <c r="AY107" s="464"/>
      <c r="AZ107" s="464"/>
      <c r="BA107" s="464"/>
      <c r="BB107" s="464"/>
      <c r="BC107" s="464"/>
      <c r="BD107" s="464"/>
      <c r="BE107" s="464"/>
      <c r="BF107" s="464"/>
      <c r="BG107" s="464"/>
      <c r="BH107" s="114"/>
    </row>
    <row r="108" spans="1:60" ht="6" customHeight="1">
      <c r="A108" s="14"/>
      <c r="B108" s="457" t="str">
        <f>IF(Roster!$M$17=0&amp;"+","",Roster!$M$17)</f>
        <v/>
      </c>
      <c r="C108" s="403"/>
      <c r="D108" s="452"/>
      <c r="E108" s="453"/>
      <c r="F108" s="453"/>
      <c r="G108" s="453"/>
      <c r="H108" s="453"/>
      <c r="I108" s="453"/>
      <c r="J108" s="453"/>
      <c r="K108" s="453"/>
      <c r="L108" s="453"/>
      <c r="M108" s="453"/>
      <c r="N108" s="454"/>
      <c r="O108" s="116"/>
      <c r="P108" s="14"/>
      <c r="Q108" s="457" t="str">
        <f>IF(Roster!$M$18=0,"",Roster!$M$18)</f>
        <v/>
      </c>
      <c r="R108" s="215"/>
      <c r="S108" s="464"/>
      <c r="T108" s="464"/>
      <c r="U108" s="464"/>
      <c r="V108" s="464"/>
      <c r="W108" s="464"/>
      <c r="X108" s="464"/>
      <c r="Y108" s="464"/>
      <c r="Z108" s="464"/>
      <c r="AA108" s="464"/>
      <c r="AB108" s="464"/>
      <c r="AC108" s="464"/>
      <c r="AD108" s="116"/>
      <c r="AE108" s="14"/>
      <c r="AF108" s="457" t="str">
        <f>IF(Roster!$M$19=0,"",Roster!$M$19)</f>
        <v/>
      </c>
      <c r="AG108" s="215"/>
      <c r="AH108" s="464"/>
      <c r="AI108" s="464"/>
      <c r="AJ108" s="464"/>
      <c r="AK108" s="464"/>
      <c r="AL108" s="464"/>
      <c r="AM108" s="464"/>
      <c r="AN108" s="464"/>
      <c r="AO108" s="464"/>
      <c r="AP108" s="464"/>
      <c r="AQ108" s="464"/>
      <c r="AR108" s="464"/>
      <c r="AS108" s="116"/>
      <c r="AT108" s="14"/>
      <c r="AU108" s="457" t="str">
        <f>IF(Roster!$M$20=0,"",Roster!$M$20)</f>
        <v/>
      </c>
      <c r="AV108" s="215"/>
      <c r="AW108" s="464"/>
      <c r="AX108" s="464"/>
      <c r="AY108" s="464"/>
      <c r="AZ108" s="464"/>
      <c r="BA108" s="464"/>
      <c r="BB108" s="464"/>
      <c r="BC108" s="464"/>
      <c r="BD108" s="464"/>
      <c r="BE108" s="464"/>
      <c r="BF108" s="464"/>
      <c r="BG108" s="464"/>
      <c r="BH108" s="116"/>
    </row>
    <row r="109" spans="1:60" ht="4.5" customHeight="1">
      <c r="A109" s="14"/>
      <c r="B109" s="403"/>
      <c r="C109" s="403"/>
      <c r="D109" s="117"/>
      <c r="E109" s="118"/>
      <c r="F109" s="117"/>
      <c r="G109" s="118"/>
      <c r="H109" s="117"/>
      <c r="I109" s="118"/>
      <c r="J109" s="117"/>
      <c r="K109" s="118"/>
      <c r="L109" s="117"/>
      <c r="M109" s="118"/>
      <c r="N109" s="117"/>
      <c r="O109" s="116"/>
      <c r="P109" s="14"/>
      <c r="Q109" s="403"/>
      <c r="R109" s="215"/>
      <c r="S109" s="464"/>
      <c r="T109" s="464"/>
      <c r="U109" s="464"/>
      <c r="V109" s="464"/>
      <c r="W109" s="464"/>
      <c r="X109" s="464"/>
      <c r="Y109" s="464"/>
      <c r="Z109" s="464"/>
      <c r="AA109" s="464"/>
      <c r="AB109" s="464"/>
      <c r="AC109" s="464"/>
      <c r="AD109" s="116"/>
      <c r="AE109" s="14"/>
      <c r="AF109" s="403"/>
      <c r="AG109" s="215"/>
      <c r="AH109" s="464"/>
      <c r="AI109" s="464"/>
      <c r="AJ109" s="464"/>
      <c r="AK109" s="464"/>
      <c r="AL109" s="464"/>
      <c r="AM109" s="464"/>
      <c r="AN109" s="464"/>
      <c r="AO109" s="464"/>
      <c r="AP109" s="464"/>
      <c r="AQ109" s="464"/>
      <c r="AR109" s="464"/>
      <c r="AS109" s="116"/>
      <c r="AT109" s="14"/>
      <c r="AU109" s="403"/>
      <c r="AV109" s="215"/>
      <c r="AW109" s="464"/>
      <c r="AX109" s="464"/>
      <c r="AY109" s="464"/>
      <c r="AZ109" s="464"/>
      <c r="BA109" s="464"/>
      <c r="BB109" s="464"/>
      <c r="BC109" s="464"/>
      <c r="BD109" s="464"/>
      <c r="BE109" s="464"/>
      <c r="BF109" s="464"/>
      <c r="BG109" s="464"/>
      <c r="BH109" s="116"/>
    </row>
    <row r="110" spans="1:60" ht="11.25" customHeight="1">
      <c r="A110" s="14"/>
      <c r="B110" s="403"/>
      <c r="C110" s="403"/>
      <c r="D110" s="461" t="str">
        <f>IF(Roster!$J$24="Italiano","ABILITÀ &amp; TRATTI",(IF(Roster!$J$24="Español","HABILIDADES Y RASGOS","SKILLS &amp; TRAITS")))</f>
        <v>SKILLS &amp; TRAITS</v>
      </c>
      <c r="E110" s="395"/>
      <c r="F110" s="395"/>
      <c r="G110" s="395"/>
      <c r="H110" s="395"/>
      <c r="I110" s="395"/>
      <c r="J110" s="395"/>
      <c r="K110" s="395"/>
      <c r="L110" s="395"/>
      <c r="M110" s="395"/>
      <c r="N110" s="396"/>
      <c r="O110" s="116"/>
      <c r="P110" s="14"/>
      <c r="Q110" s="403"/>
      <c r="R110" s="215"/>
      <c r="S110" s="464"/>
      <c r="T110" s="464"/>
      <c r="U110" s="464"/>
      <c r="V110" s="464"/>
      <c r="W110" s="464"/>
      <c r="X110" s="464"/>
      <c r="Y110" s="464"/>
      <c r="Z110" s="464"/>
      <c r="AA110" s="464"/>
      <c r="AB110" s="464"/>
      <c r="AC110" s="464"/>
      <c r="AD110" s="116"/>
      <c r="AE110" s="14"/>
      <c r="AF110" s="403"/>
      <c r="AG110" s="215"/>
      <c r="AH110" s="464"/>
      <c r="AI110" s="464"/>
      <c r="AJ110" s="464"/>
      <c r="AK110" s="464"/>
      <c r="AL110" s="464"/>
      <c r="AM110" s="464"/>
      <c r="AN110" s="464"/>
      <c r="AO110" s="464"/>
      <c r="AP110" s="464"/>
      <c r="AQ110" s="464"/>
      <c r="AR110" s="464"/>
      <c r="AS110" s="116"/>
      <c r="AT110" s="14"/>
      <c r="AU110" s="403"/>
      <c r="AV110" s="215"/>
      <c r="AW110" s="464"/>
      <c r="AX110" s="464"/>
      <c r="AY110" s="464"/>
      <c r="AZ110" s="464"/>
      <c r="BA110" s="464"/>
      <c r="BB110" s="464"/>
      <c r="BC110" s="464"/>
      <c r="BD110" s="464"/>
      <c r="BE110" s="464"/>
      <c r="BF110" s="464"/>
      <c r="BG110" s="464"/>
      <c r="BH110" s="116"/>
    </row>
    <row r="111" spans="1:60" ht="15" customHeight="1">
      <c r="A111" s="14"/>
      <c r="B111" s="403"/>
      <c r="C111" s="403"/>
      <c r="D111" s="460" t="str">
        <f>IF(Roster!$O$17=0,"",Roster!$O$17&amp;Roster!BF17)</f>
        <v/>
      </c>
      <c r="E111" s="448"/>
      <c r="F111" s="448"/>
      <c r="G111" s="448"/>
      <c r="H111" s="448"/>
      <c r="I111" s="448"/>
      <c r="J111" s="448"/>
      <c r="K111" s="448"/>
      <c r="L111" s="448"/>
      <c r="M111" s="448"/>
      <c r="N111" s="449"/>
      <c r="O111" s="116"/>
      <c r="P111" s="14"/>
      <c r="Q111" s="403"/>
      <c r="R111" s="215"/>
      <c r="S111" s="464"/>
      <c r="T111" s="464"/>
      <c r="U111" s="464"/>
      <c r="V111" s="464"/>
      <c r="W111" s="464"/>
      <c r="X111" s="464"/>
      <c r="Y111" s="464"/>
      <c r="Z111" s="464"/>
      <c r="AA111" s="464"/>
      <c r="AB111" s="464"/>
      <c r="AC111" s="464"/>
      <c r="AD111" s="116"/>
      <c r="AE111" s="14"/>
      <c r="AF111" s="403"/>
      <c r="AG111" s="215"/>
      <c r="AH111" s="464"/>
      <c r="AI111" s="464"/>
      <c r="AJ111" s="464"/>
      <c r="AK111" s="464"/>
      <c r="AL111" s="464"/>
      <c r="AM111" s="464"/>
      <c r="AN111" s="464"/>
      <c r="AO111" s="464"/>
      <c r="AP111" s="464"/>
      <c r="AQ111" s="464"/>
      <c r="AR111" s="464"/>
      <c r="AS111" s="116"/>
      <c r="AT111" s="14"/>
      <c r="AU111" s="403"/>
      <c r="AV111" s="215"/>
      <c r="AW111" s="464"/>
      <c r="AX111" s="464"/>
      <c r="AY111" s="464"/>
      <c r="AZ111" s="464"/>
      <c r="BA111" s="464"/>
      <c r="BB111" s="464"/>
      <c r="BC111" s="464"/>
      <c r="BD111" s="464"/>
      <c r="BE111" s="464"/>
      <c r="BF111" s="464"/>
      <c r="BG111" s="464"/>
      <c r="BH111" s="116"/>
    </row>
    <row r="112" spans="1:60" ht="4.5" customHeight="1">
      <c r="A112" s="14"/>
      <c r="B112" s="404"/>
      <c r="C112" s="403"/>
      <c r="D112" s="450"/>
      <c r="E112" s="357"/>
      <c r="F112" s="357"/>
      <c r="G112" s="357"/>
      <c r="H112" s="357"/>
      <c r="I112" s="357"/>
      <c r="J112" s="357"/>
      <c r="K112" s="357"/>
      <c r="L112" s="357"/>
      <c r="M112" s="357"/>
      <c r="N112" s="451"/>
      <c r="O112" s="116"/>
      <c r="P112" s="14"/>
      <c r="Q112" s="404"/>
      <c r="R112" s="110"/>
      <c r="S112" s="123"/>
      <c r="T112" s="123"/>
      <c r="U112" s="123"/>
      <c r="V112" s="123"/>
      <c r="W112" s="123"/>
      <c r="X112" s="123"/>
      <c r="Y112" s="123"/>
      <c r="Z112" s="123"/>
      <c r="AA112" s="123"/>
      <c r="AB112" s="123"/>
      <c r="AC112" s="105"/>
      <c r="AD112" s="116"/>
      <c r="AE112" s="14"/>
      <c r="AF112" s="404"/>
      <c r="AG112" s="110"/>
      <c r="AH112" s="123"/>
      <c r="AI112" s="123"/>
      <c r="AJ112" s="123"/>
      <c r="AK112" s="123"/>
      <c r="AL112" s="123"/>
      <c r="AM112" s="123"/>
      <c r="AN112" s="123"/>
      <c r="AO112" s="123"/>
      <c r="AP112" s="123"/>
      <c r="AQ112" s="123"/>
      <c r="AR112" s="105"/>
      <c r="AS112" s="116"/>
      <c r="AT112" s="14"/>
      <c r="AU112" s="404"/>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403"/>
      <c r="D113" s="450"/>
      <c r="E113" s="357"/>
      <c r="F113" s="357"/>
      <c r="G113" s="357"/>
      <c r="H113" s="357"/>
      <c r="I113" s="357"/>
      <c r="J113" s="357"/>
      <c r="K113" s="357"/>
      <c r="L113" s="357"/>
      <c r="M113" s="357"/>
      <c r="N113" s="451"/>
      <c r="O113" s="105"/>
      <c r="P113" s="14"/>
      <c r="Q113" s="109" t="str">
        <f>IF(Roster!$N$1=0,"",Roster!$N$1)</f>
        <v>AV</v>
      </c>
      <c r="R113" s="110"/>
      <c r="S113" s="461" t="str">
        <f>IF(Roster!$J$24="Italiano","ABILITÀ &amp; TRATTI",(IF(Roster!$J$24="Español","HABILIDADES Y RASGOS","SKILLS &amp; TRAITS")))</f>
        <v>SKILLS &amp; TRAITS</v>
      </c>
      <c r="T113" s="395"/>
      <c r="U113" s="395"/>
      <c r="V113" s="395"/>
      <c r="W113" s="395"/>
      <c r="X113" s="395"/>
      <c r="Y113" s="395"/>
      <c r="Z113" s="395"/>
      <c r="AA113" s="395"/>
      <c r="AB113" s="395"/>
      <c r="AC113" s="396"/>
      <c r="AD113" s="105"/>
      <c r="AE113" s="14"/>
      <c r="AF113" s="109" t="str">
        <f>IF(Roster!$N$1=0,"",Roster!$N$1)</f>
        <v>AV</v>
      </c>
      <c r="AG113" s="110"/>
      <c r="AH113" s="461" t="str">
        <f>IF(Roster!$J$24="Italiano","ABILITÀ &amp; TRATTI",(IF(Roster!$J$24="Español","HABILIDADES Y RASGOS","SKILLS &amp; TRAITS")))</f>
        <v>SKILLS &amp; TRAITS</v>
      </c>
      <c r="AI113" s="395"/>
      <c r="AJ113" s="395"/>
      <c r="AK113" s="395"/>
      <c r="AL113" s="395"/>
      <c r="AM113" s="395"/>
      <c r="AN113" s="395"/>
      <c r="AO113" s="395"/>
      <c r="AP113" s="395"/>
      <c r="AQ113" s="395"/>
      <c r="AR113" s="396"/>
      <c r="AS113" s="105"/>
      <c r="AT113" s="14"/>
      <c r="AU113" s="109" t="str">
        <f>IF(Roster!$N$1=0,"",Roster!$N$1)</f>
        <v>AV</v>
      </c>
      <c r="AV113" s="110"/>
      <c r="AW113" s="461" t="str">
        <f>IF(Roster!$J$24="Italiano","ABILITÀ &amp; TRATTI",(IF(Roster!$J$24="Español","HABILIDADES Y RASGOS","SKILLS &amp; TRAITS")))</f>
        <v>SKILLS &amp; TRAITS</v>
      </c>
      <c r="AX113" s="395"/>
      <c r="AY113" s="395"/>
      <c r="AZ113" s="395"/>
      <c r="BA113" s="395"/>
      <c r="BB113" s="395"/>
      <c r="BC113" s="395"/>
      <c r="BD113" s="395"/>
      <c r="BE113" s="395"/>
      <c r="BF113" s="395"/>
      <c r="BG113" s="396"/>
      <c r="BH113" s="105"/>
    </row>
    <row r="114" spans="1:60" ht="15" customHeight="1">
      <c r="A114" s="14"/>
      <c r="B114" s="457" t="str">
        <f>IF(Roster!$N$17=0&amp;"+","",Roster!$N$17)</f>
        <v/>
      </c>
      <c r="C114" s="403"/>
      <c r="D114" s="450"/>
      <c r="E114" s="357"/>
      <c r="F114" s="357"/>
      <c r="G114" s="357"/>
      <c r="H114" s="357"/>
      <c r="I114" s="357"/>
      <c r="J114" s="357"/>
      <c r="K114" s="357"/>
      <c r="L114" s="357"/>
      <c r="M114" s="357"/>
      <c r="N114" s="451"/>
      <c r="O114" s="119"/>
      <c r="P114" s="14"/>
      <c r="Q114" s="457" t="str">
        <f>IF(Roster!$N$18=0,"",Roster!$N$18)</f>
        <v/>
      </c>
      <c r="R114" s="109"/>
      <c r="S114" s="465" t="str">
        <f>IF(Roster!$O$18=0,"",Roster!$O$18)</f>
        <v/>
      </c>
      <c r="T114" s="465"/>
      <c r="U114" s="465"/>
      <c r="V114" s="465"/>
      <c r="W114" s="465"/>
      <c r="X114" s="465"/>
      <c r="Y114" s="465"/>
      <c r="Z114" s="465"/>
      <c r="AA114" s="465"/>
      <c r="AB114" s="465"/>
      <c r="AC114" s="465"/>
      <c r="AD114" s="119"/>
      <c r="AE114" s="14"/>
      <c r="AF114" s="457" t="str">
        <f>IF(Roster!$N$19=0,"",Roster!$N$19)</f>
        <v/>
      </c>
      <c r="AG114" s="109"/>
      <c r="AH114" s="465" t="str">
        <f>IF(Roster!$O$19=0,"",Roster!$O$19)</f>
        <v/>
      </c>
      <c r="AI114" s="465"/>
      <c r="AJ114" s="465"/>
      <c r="AK114" s="465"/>
      <c r="AL114" s="465"/>
      <c r="AM114" s="465"/>
      <c r="AN114" s="465"/>
      <c r="AO114" s="465"/>
      <c r="AP114" s="465"/>
      <c r="AQ114" s="465"/>
      <c r="AR114" s="465"/>
      <c r="AS114" s="119"/>
      <c r="AT114" s="14"/>
      <c r="AU114" s="457" t="str">
        <f>IF(Roster!$N$20=0,"",Roster!$N$20)</f>
        <v/>
      </c>
      <c r="AV114" s="109"/>
      <c r="AW114" s="465" t="str">
        <f>IF(Roster!$O$20=0,"",Roster!$O$20)</f>
        <v/>
      </c>
      <c r="AX114" s="465"/>
      <c r="AY114" s="465"/>
      <c r="AZ114" s="465"/>
      <c r="BA114" s="465"/>
      <c r="BB114" s="465"/>
      <c r="BC114" s="465"/>
      <c r="BD114" s="465"/>
      <c r="BE114" s="465"/>
      <c r="BF114" s="465"/>
      <c r="BG114" s="465"/>
      <c r="BH114" s="119"/>
    </row>
    <row r="115" spans="1:60" ht="4.5" customHeight="1">
      <c r="A115" s="14"/>
      <c r="B115" s="403"/>
      <c r="C115" s="403"/>
      <c r="D115" s="450"/>
      <c r="E115" s="357"/>
      <c r="F115" s="357"/>
      <c r="G115" s="357"/>
      <c r="H115" s="357"/>
      <c r="I115" s="357"/>
      <c r="J115" s="357"/>
      <c r="K115" s="357"/>
      <c r="L115" s="357"/>
      <c r="M115" s="357"/>
      <c r="N115" s="451"/>
      <c r="O115" s="119"/>
      <c r="P115" s="14"/>
      <c r="Q115" s="403"/>
      <c r="R115" s="123"/>
      <c r="S115" s="465"/>
      <c r="T115" s="465"/>
      <c r="U115" s="465"/>
      <c r="V115" s="465"/>
      <c r="W115" s="465"/>
      <c r="X115" s="465"/>
      <c r="Y115" s="465"/>
      <c r="Z115" s="465"/>
      <c r="AA115" s="465"/>
      <c r="AB115" s="465"/>
      <c r="AC115" s="465"/>
      <c r="AD115" s="119"/>
      <c r="AE115" s="14"/>
      <c r="AF115" s="403"/>
      <c r="AG115" s="123"/>
      <c r="AH115" s="465"/>
      <c r="AI115" s="465"/>
      <c r="AJ115" s="465"/>
      <c r="AK115" s="465"/>
      <c r="AL115" s="465"/>
      <c r="AM115" s="465"/>
      <c r="AN115" s="465"/>
      <c r="AO115" s="465"/>
      <c r="AP115" s="465"/>
      <c r="AQ115" s="465"/>
      <c r="AR115" s="465"/>
      <c r="AS115" s="119"/>
      <c r="AT115" s="14"/>
      <c r="AU115" s="403"/>
      <c r="AV115" s="123"/>
      <c r="AW115" s="465"/>
      <c r="AX115" s="465"/>
      <c r="AY115" s="465"/>
      <c r="AZ115" s="465"/>
      <c r="BA115" s="465"/>
      <c r="BB115" s="465"/>
      <c r="BC115" s="465"/>
      <c r="BD115" s="465"/>
      <c r="BE115" s="465"/>
      <c r="BF115" s="465"/>
      <c r="BG115" s="465"/>
      <c r="BH115" s="119"/>
    </row>
    <row r="116" spans="1:60" ht="11.25" customHeight="1">
      <c r="A116" s="14"/>
      <c r="B116" s="403"/>
      <c r="C116" s="403"/>
      <c r="D116" s="450"/>
      <c r="E116" s="357"/>
      <c r="F116" s="357"/>
      <c r="G116" s="357"/>
      <c r="H116" s="357"/>
      <c r="I116" s="357"/>
      <c r="J116" s="357"/>
      <c r="K116" s="357"/>
      <c r="L116" s="357"/>
      <c r="M116" s="357"/>
      <c r="N116" s="451"/>
      <c r="O116" s="119"/>
      <c r="P116" s="14"/>
      <c r="Q116" s="403"/>
      <c r="R116" s="105"/>
      <c r="S116" s="465"/>
      <c r="T116" s="465"/>
      <c r="U116" s="465"/>
      <c r="V116" s="465"/>
      <c r="W116" s="465"/>
      <c r="X116" s="465"/>
      <c r="Y116" s="465"/>
      <c r="Z116" s="465"/>
      <c r="AA116" s="465"/>
      <c r="AB116" s="465"/>
      <c r="AC116" s="465"/>
      <c r="AD116" s="119"/>
      <c r="AE116" s="14"/>
      <c r="AF116" s="403"/>
      <c r="AG116" s="105"/>
      <c r="AH116" s="465"/>
      <c r="AI116" s="465"/>
      <c r="AJ116" s="465"/>
      <c r="AK116" s="465"/>
      <c r="AL116" s="465"/>
      <c r="AM116" s="465"/>
      <c r="AN116" s="465"/>
      <c r="AO116" s="465"/>
      <c r="AP116" s="465"/>
      <c r="AQ116" s="465"/>
      <c r="AR116" s="465"/>
      <c r="AS116" s="119"/>
      <c r="AT116" s="14"/>
      <c r="AU116" s="403"/>
      <c r="AV116" s="105"/>
      <c r="AW116" s="465"/>
      <c r="AX116" s="465"/>
      <c r="AY116" s="465"/>
      <c r="AZ116" s="465"/>
      <c r="BA116" s="465"/>
      <c r="BB116" s="465"/>
      <c r="BC116" s="465"/>
      <c r="BD116" s="465"/>
      <c r="BE116" s="465"/>
      <c r="BF116" s="465"/>
      <c r="BG116" s="465"/>
      <c r="BH116" s="119"/>
    </row>
    <row r="117" spans="1:60" ht="6.75" customHeight="1">
      <c r="A117" s="14"/>
      <c r="B117" s="404"/>
      <c r="C117" s="403"/>
      <c r="D117" s="450"/>
      <c r="E117" s="357"/>
      <c r="F117" s="357"/>
      <c r="G117" s="357"/>
      <c r="H117" s="357"/>
      <c r="I117" s="357"/>
      <c r="J117" s="357"/>
      <c r="K117" s="357"/>
      <c r="L117" s="357"/>
      <c r="M117" s="357"/>
      <c r="N117" s="451"/>
      <c r="O117" s="119"/>
      <c r="P117" s="14"/>
      <c r="Q117" s="404"/>
      <c r="R117" s="124"/>
      <c r="S117" s="465"/>
      <c r="T117" s="465"/>
      <c r="U117" s="465"/>
      <c r="V117" s="465"/>
      <c r="W117" s="465"/>
      <c r="X117" s="465"/>
      <c r="Y117" s="465"/>
      <c r="Z117" s="465"/>
      <c r="AA117" s="465"/>
      <c r="AB117" s="465"/>
      <c r="AC117" s="465"/>
      <c r="AD117" s="119"/>
      <c r="AE117" s="14"/>
      <c r="AF117" s="404"/>
      <c r="AG117" s="124"/>
      <c r="AH117" s="465"/>
      <c r="AI117" s="465"/>
      <c r="AJ117" s="465"/>
      <c r="AK117" s="465"/>
      <c r="AL117" s="465"/>
      <c r="AM117" s="465"/>
      <c r="AN117" s="465"/>
      <c r="AO117" s="465"/>
      <c r="AP117" s="465"/>
      <c r="AQ117" s="465"/>
      <c r="AR117" s="465"/>
      <c r="AS117" s="119"/>
      <c r="AT117" s="14"/>
      <c r="AU117" s="404"/>
      <c r="AV117" s="124"/>
      <c r="AW117" s="465"/>
      <c r="AX117" s="465"/>
      <c r="AY117" s="465"/>
      <c r="AZ117" s="465"/>
      <c r="BA117" s="465"/>
      <c r="BB117" s="465"/>
      <c r="BC117" s="465"/>
      <c r="BD117" s="465"/>
      <c r="BE117" s="465"/>
      <c r="BF117" s="465"/>
      <c r="BG117" s="465"/>
      <c r="BH117" s="119"/>
    </row>
    <row r="118" spans="1:60" ht="11.25" customHeight="1">
      <c r="A118" s="14"/>
      <c r="B118" s="109" t="str">
        <f>IF(Roster!$AN$1=0,"",Roster!$AN$1)</f>
        <v>COST</v>
      </c>
      <c r="C118" s="403"/>
      <c r="D118" s="450"/>
      <c r="E118" s="357"/>
      <c r="F118" s="357"/>
      <c r="G118" s="357"/>
      <c r="H118" s="357"/>
      <c r="I118" s="357"/>
      <c r="J118" s="357"/>
      <c r="K118" s="357"/>
      <c r="L118" s="357"/>
      <c r="M118" s="357"/>
      <c r="N118" s="451"/>
      <c r="O118" s="120"/>
      <c r="P118" s="14"/>
      <c r="Q118" s="109" t="str">
        <f>IF(Roster!$AN$1=0,"",Roster!$AN$1)</f>
        <v>COST</v>
      </c>
      <c r="R118" s="124"/>
      <c r="S118" s="465"/>
      <c r="T118" s="465"/>
      <c r="U118" s="465"/>
      <c r="V118" s="465"/>
      <c r="W118" s="465"/>
      <c r="X118" s="465"/>
      <c r="Y118" s="465"/>
      <c r="Z118" s="465"/>
      <c r="AA118" s="465"/>
      <c r="AB118" s="465"/>
      <c r="AC118" s="465"/>
      <c r="AD118" s="120"/>
      <c r="AE118" s="14"/>
      <c r="AF118" s="109" t="str">
        <f>IF(Roster!$AN$1=0,"",Roster!$AN$1)</f>
        <v>COST</v>
      </c>
      <c r="AG118" s="124"/>
      <c r="AH118" s="465"/>
      <c r="AI118" s="465"/>
      <c r="AJ118" s="465"/>
      <c r="AK118" s="465"/>
      <c r="AL118" s="465"/>
      <c r="AM118" s="465"/>
      <c r="AN118" s="465"/>
      <c r="AO118" s="465"/>
      <c r="AP118" s="465"/>
      <c r="AQ118" s="465"/>
      <c r="AR118" s="465"/>
      <c r="AS118" s="120"/>
      <c r="AT118" s="14"/>
      <c r="AU118" s="109" t="str">
        <f>IF(Roster!$AN$1=0,"",Roster!$AN$1)</f>
        <v>COST</v>
      </c>
      <c r="AV118" s="124"/>
      <c r="AW118" s="465"/>
      <c r="AX118" s="465"/>
      <c r="AY118" s="465"/>
      <c r="AZ118" s="465"/>
      <c r="BA118" s="465"/>
      <c r="BB118" s="465"/>
      <c r="BC118" s="465"/>
      <c r="BD118" s="465"/>
      <c r="BE118" s="465"/>
      <c r="BF118" s="465"/>
      <c r="BG118" s="465"/>
      <c r="BH118" s="120"/>
    </row>
    <row r="119" spans="1:60" ht="34.5" customHeight="1">
      <c r="A119" s="14"/>
      <c r="B119" s="122" t="str">
        <f>IF(Roster!$AN$17=0,"",Roster!$AN$17)</f>
        <v/>
      </c>
      <c r="C119" s="404"/>
      <c r="D119" s="452"/>
      <c r="E119" s="453"/>
      <c r="F119" s="453"/>
      <c r="G119" s="453"/>
      <c r="H119" s="453"/>
      <c r="I119" s="453"/>
      <c r="J119" s="453"/>
      <c r="K119" s="453"/>
      <c r="L119" s="453"/>
      <c r="M119" s="453"/>
      <c r="N119" s="454"/>
      <c r="O119" s="120"/>
      <c r="P119" s="14"/>
      <c r="Q119" s="122" t="str">
        <f>IF(Roster!$AN$18=0,"",Roster!$AN$18)</f>
        <v/>
      </c>
      <c r="R119" s="124"/>
      <c r="S119" s="465"/>
      <c r="T119" s="465"/>
      <c r="U119" s="465"/>
      <c r="V119" s="465"/>
      <c r="W119" s="465"/>
      <c r="X119" s="465"/>
      <c r="Y119" s="465"/>
      <c r="Z119" s="465"/>
      <c r="AA119" s="465"/>
      <c r="AB119" s="465"/>
      <c r="AC119" s="465"/>
      <c r="AD119" s="120"/>
      <c r="AE119" s="14"/>
      <c r="AF119" s="122" t="str">
        <f>IF(Roster!$AN$19=0,"",Roster!$AN$19)</f>
        <v/>
      </c>
      <c r="AG119" s="124"/>
      <c r="AH119" s="465"/>
      <c r="AI119" s="465"/>
      <c r="AJ119" s="465"/>
      <c r="AK119" s="465"/>
      <c r="AL119" s="465"/>
      <c r="AM119" s="465"/>
      <c r="AN119" s="465"/>
      <c r="AO119" s="465"/>
      <c r="AP119" s="465"/>
      <c r="AQ119" s="465"/>
      <c r="AR119" s="465"/>
      <c r="AS119" s="120"/>
      <c r="AT119" s="14"/>
      <c r="AU119" s="122" t="str">
        <f>IF(Roster!$AN$20=0,"",Roster!$AN$20)</f>
        <v/>
      </c>
      <c r="AV119" s="124"/>
      <c r="AW119" s="465"/>
      <c r="AX119" s="465"/>
      <c r="AY119" s="465"/>
      <c r="AZ119" s="465"/>
      <c r="BA119" s="465"/>
      <c r="BB119" s="465"/>
      <c r="BC119" s="465"/>
      <c r="BD119" s="465"/>
      <c r="BE119" s="465"/>
      <c r="BF119" s="465"/>
      <c r="BG119" s="465"/>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90"/>
      <c r="C2" s="126"/>
      <c r="D2" s="126"/>
      <c r="E2" s="126"/>
      <c r="F2" s="126"/>
      <c r="G2" s="126"/>
      <c r="H2" s="126"/>
      <c r="I2" s="126"/>
      <c r="J2" s="126"/>
      <c r="K2" s="126"/>
      <c r="L2" s="126"/>
      <c r="M2" s="126"/>
      <c r="N2" s="126"/>
      <c r="O2" s="127"/>
      <c r="P2" s="125"/>
      <c r="Q2" s="490" t="str">
        <f>IF(Roster!$A$2=0,"","#"&amp;Roster!$A$2)</f>
        <v>#1</v>
      </c>
      <c r="R2" s="126"/>
      <c r="S2" s="126"/>
      <c r="T2" s="126"/>
      <c r="U2" s="126"/>
      <c r="V2" s="126"/>
      <c r="W2" s="126"/>
      <c r="X2" s="126"/>
      <c r="Y2" s="126"/>
      <c r="Z2" s="126"/>
      <c r="AA2" s="126"/>
      <c r="AB2" s="126"/>
      <c r="AC2" s="126"/>
      <c r="AD2" s="127"/>
      <c r="AE2" s="125"/>
      <c r="AF2" s="490" t="str">
        <f>IF(Roster!$A$3=0,"","#"&amp;Roster!$A$3)</f>
        <v>#2</v>
      </c>
      <c r="AG2" s="126"/>
      <c r="AH2" s="126"/>
      <c r="AI2" s="126"/>
      <c r="AJ2" s="126"/>
      <c r="AK2" s="126"/>
      <c r="AL2" s="126"/>
      <c r="AM2" s="126"/>
      <c r="AN2" s="126"/>
      <c r="AO2" s="126"/>
      <c r="AP2" s="126"/>
      <c r="AQ2" s="126"/>
      <c r="AR2" s="126"/>
      <c r="AS2" s="127"/>
      <c r="AT2" s="125"/>
      <c r="AU2" s="490" t="str">
        <f>IF(Roster!$A$4=0,"","#"&amp;Roster!$A$4)</f>
        <v>#3</v>
      </c>
      <c r="AV2" s="126"/>
      <c r="AW2" s="126"/>
      <c r="AX2" s="126"/>
      <c r="AY2" s="126"/>
      <c r="AZ2" s="126"/>
      <c r="BA2" s="126"/>
      <c r="BB2" s="126"/>
      <c r="BC2" s="126"/>
      <c r="BD2" s="126"/>
      <c r="BE2" s="126"/>
      <c r="BF2" s="126"/>
      <c r="BG2" s="126"/>
      <c r="BH2" s="127"/>
    </row>
    <row r="3" spans="1:60" ht="15" customHeight="1">
      <c r="A3" s="125"/>
      <c r="B3" s="491"/>
      <c r="C3" s="473" t="str">
        <f>IF(Roster!$J$23=0,Roster!$C$23,Roster!$J$23)</f>
        <v>Livid Leftovers</v>
      </c>
      <c r="D3" s="395"/>
      <c r="E3" s="395"/>
      <c r="F3" s="395"/>
      <c r="G3" s="395"/>
      <c r="H3" s="395"/>
      <c r="I3" s="395"/>
      <c r="J3" s="395"/>
      <c r="K3" s="395"/>
      <c r="L3" s="395"/>
      <c r="M3" s="395"/>
      <c r="N3" s="396"/>
      <c r="O3" s="128"/>
      <c r="P3" s="125"/>
      <c r="Q3" s="491"/>
      <c r="R3" s="473" t="str">
        <f>IF(Roster!$B$2=0,"",Roster!$B$2)</f>
        <v>Mortifera Salem</v>
      </c>
      <c r="S3" s="395"/>
      <c r="T3" s="395"/>
      <c r="U3" s="395"/>
      <c r="V3" s="395"/>
      <c r="W3" s="395"/>
      <c r="X3" s="395"/>
      <c r="Y3" s="395"/>
      <c r="Z3" s="395"/>
      <c r="AA3" s="395"/>
      <c r="AB3" s="395"/>
      <c r="AC3" s="396"/>
      <c r="AD3" s="128"/>
      <c r="AE3" s="125"/>
      <c r="AF3" s="491"/>
      <c r="AG3" s="473" t="str">
        <f>IF(Roster!$B$3=0,"",Roster!$B$3)</f>
        <v>Casper Midnight</v>
      </c>
      <c r="AH3" s="395"/>
      <c r="AI3" s="395"/>
      <c r="AJ3" s="395"/>
      <c r="AK3" s="395"/>
      <c r="AL3" s="395"/>
      <c r="AM3" s="395"/>
      <c r="AN3" s="395"/>
      <c r="AO3" s="395"/>
      <c r="AP3" s="395"/>
      <c r="AQ3" s="395"/>
      <c r="AR3" s="396"/>
      <c r="AS3" s="128"/>
      <c r="AT3" s="125"/>
      <c r="AU3" s="491"/>
      <c r="AV3" s="473" t="str">
        <f>IF(Roster!$B$4=0,"",Roster!$B$4)</f>
        <v>Frau Koi Koi</v>
      </c>
      <c r="AW3" s="395"/>
      <c r="AX3" s="395"/>
      <c r="AY3" s="395"/>
      <c r="AZ3" s="395"/>
      <c r="BA3" s="395"/>
      <c r="BB3" s="395"/>
      <c r="BC3" s="395"/>
      <c r="BD3" s="395"/>
      <c r="BE3" s="395"/>
      <c r="BF3" s="395"/>
      <c r="BG3" s="396"/>
      <c r="BH3" s="128"/>
    </row>
    <row r="4" spans="1:60" ht="11.25" customHeight="1">
      <c r="A4" s="125"/>
      <c r="B4" s="491"/>
      <c r="C4" s="474" t="str">
        <f>IF(Roster!$AI$29="SPONSORS",Roster!$J$22,Roster!$J$22&amp;"; Sponsor: "&amp;Roster!$AI$29)</f>
        <v>Necromantic</v>
      </c>
      <c r="D4" s="395"/>
      <c r="E4" s="395"/>
      <c r="F4" s="395"/>
      <c r="G4" s="395"/>
      <c r="H4" s="395"/>
      <c r="I4" s="395"/>
      <c r="J4" s="395"/>
      <c r="K4" s="395"/>
      <c r="L4" s="395"/>
      <c r="M4" s="395"/>
      <c r="N4" s="396"/>
      <c r="O4" s="129"/>
      <c r="P4" s="125"/>
      <c r="Q4" s="492"/>
      <c r="R4" s="474" t="str">
        <f>IF(Roster!$C$2=0,"",Roster!$C$2)</f>
        <v>Flesh Golem</v>
      </c>
      <c r="S4" s="395"/>
      <c r="T4" s="395"/>
      <c r="U4" s="395"/>
      <c r="V4" s="395"/>
      <c r="W4" s="395"/>
      <c r="X4" s="395"/>
      <c r="Y4" s="395"/>
      <c r="Z4" s="395"/>
      <c r="AA4" s="395"/>
      <c r="AB4" s="395"/>
      <c r="AC4" s="396"/>
      <c r="AD4" s="129"/>
      <c r="AE4" s="125"/>
      <c r="AF4" s="492"/>
      <c r="AG4" s="474" t="str">
        <f>IF(Roster!$C$3=0,"",Roster!$C$3)</f>
        <v>Flesh Golem</v>
      </c>
      <c r="AH4" s="395"/>
      <c r="AI4" s="395"/>
      <c r="AJ4" s="395"/>
      <c r="AK4" s="395"/>
      <c r="AL4" s="395"/>
      <c r="AM4" s="395"/>
      <c r="AN4" s="395"/>
      <c r="AO4" s="395"/>
      <c r="AP4" s="395"/>
      <c r="AQ4" s="395"/>
      <c r="AR4" s="396"/>
      <c r="AS4" s="129"/>
      <c r="AT4" s="125"/>
      <c r="AU4" s="492"/>
      <c r="AV4" s="474" t="str">
        <f>IF(Roster!$C$4=0,"",Roster!$C$4)</f>
        <v>Wraiths</v>
      </c>
      <c r="AW4" s="395"/>
      <c r="AX4" s="395"/>
      <c r="AY4" s="395"/>
      <c r="AZ4" s="395"/>
      <c r="BA4" s="395"/>
      <c r="BB4" s="395"/>
      <c r="BC4" s="395"/>
      <c r="BD4" s="395"/>
      <c r="BE4" s="395"/>
      <c r="BF4" s="395"/>
      <c r="BG4" s="396"/>
      <c r="BH4" s="129"/>
    </row>
    <row r="5" spans="1:60" ht="11.25" customHeight="1">
      <c r="A5" s="125"/>
      <c r="B5" s="492"/>
      <c r="C5" s="130"/>
      <c r="D5" s="474" t="str">
        <f>IF(Roster!$C$30=0,"",Roster!$C$30)</f>
        <v>TEAM VALUE</v>
      </c>
      <c r="E5" s="395"/>
      <c r="F5" s="396"/>
      <c r="G5" s="131"/>
      <c r="H5" s="474" t="str">
        <f>IF(Roster!$R$21=0,"",Roster!$R$21)</f>
        <v>DEDICATED FANS</v>
      </c>
      <c r="I5" s="395"/>
      <c r="J5" s="396"/>
      <c r="K5" s="131"/>
      <c r="L5" s="474" t="str">
        <f>IF(Roster!$R$22=0,"",Roster!$R$22)</f>
        <v>REROLLS</v>
      </c>
      <c r="M5" s="395"/>
      <c r="N5" s="396"/>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95" t="str">
        <f>IF(Roster!$J$21=0,"",Roster!$J$21)</f>
        <v>Teowulf</v>
      </c>
      <c r="C6" s="134"/>
      <c r="D6" s="494">
        <f>Roster!$J$30</f>
        <v>1200</v>
      </c>
      <c r="E6" s="488"/>
      <c r="F6" s="489"/>
      <c r="G6" s="131"/>
      <c r="H6" s="494" t="str">
        <f>IF(Roster!$W$21=0,"",Roster!$W$21)</f>
        <v/>
      </c>
      <c r="I6" s="488"/>
      <c r="J6" s="489"/>
      <c r="K6" s="131"/>
      <c r="L6" s="494">
        <f>Roster!$W$22</f>
        <v>3</v>
      </c>
      <c r="M6" s="488"/>
      <c r="N6" s="489"/>
      <c r="O6" s="128"/>
      <c r="P6" s="125"/>
      <c r="Q6" s="135">
        <f>IF(Roster!$J$2=0,"",Roster!$J$2)</f>
        <v>4</v>
      </c>
      <c r="R6" s="133"/>
      <c r="S6" s="475"/>
      <c r="T6" s="308"/>
      <c r="U6" s="308"/>
      <c r="V6" s="308"/>
      <c r="W6" s="308"/>
      <c r="X6" s="308"/>
      <c r="Y6" s="308"/>
      <c r="Z6" s="308"/>
      <c r="AA6" s="308"/>
      <c r="AB6" s="308"/>
      <c r="AC6" s="309"/>
      <c r="AD6" s="128"/>
      <c r="AE6" s="125"/>
      <c r="AF6" s="135">
        <f>IF(Roster!$J$3=0,"",Roster!$J$3)</f>
        <v>4</v>
      </c>
      <c r="AG6" s="133"/>
      <c r="AH6" s="475"/>
      <c r="AI6" s="308"/>
      <c r="AJ6" s="308"/>
      <c r="AK6" s="308"/>
      <c r="AL6" s="308"/>
      <c r="AM6" s="308"/>
      <c r="AN6" s="308"/>
      <c r="AO6" s="308"/>
      <c r="AP6" s="308"/>
      <c r="AQ6" s="308"/>
      <c r="AR6" s="309"/>
      <c r="AS6" s="128"/>
      <c r="AT6" s="125"/>
      <c r="AU6" s="135">
        <f>IF(Roster!$J$4=0,"",Roster!$J$4)</f>
        <v>6</v>
      </c>
      <c r="AV6" s="133"/>
      <c r="AW6" s="475"/>
      <c r="AX6" s="308"/>
      <c r="AY6" s="308"/>
      <c r="AZ6" s="308"/>
      <c r="BA6" s="308"/>
      <c r="BB6" s="308"/>
      <c r="BC6" s="308"/>
      <c r="BD6" s="308"/>
      <c r="BE6" s="308"/>
      <c r="BF6" s="308"/>
      <c r="BG6" s="309"/>
      <c r="BH6" s="128"/>
    </row>
    <row r="7" spans="1:60" ht="11.25" customHeight="1">
      <c r="A7" s="125"/>
      <c r="B7" s="491"/>
      <c r="C7" s="133"/>
      <c r="D7" s="474" t="str">
        <f>IF(Roster!$AD$21=0,"",Roster!$AD$21)</f>
        <v>MORTUARY ASSISTANT</v>
      </c>
      <c r="E7" s="395"/>
      <c r="F7" s="396"/>
      <c r="G7" s="131"/>
      <c r="H7" s="474" t="str">
        <f>IF(Roster!$R$23=0,"",Roster!$R$23)</f>
        <v>CHEERLEADERS</v>
      </c>
      <c r="I7" s="395"/>
      <c r="J7" s="396"/>
      <c r="K7" s="131"/>
      <c r="L7" s="474" t="str">
        <f>IF(Roster!$R$24=0,"",Roster!$R$24)</f>
        <v>ASSISTANT COACHES</v>
      </c>
      <c r="M7" s="395"/>
      <c r="N7" s="396"/>
      <c r="O7" s="128"/>
      <c r="P7" s="125"/>
      <c r="Q7" s="132" t="str">
        <f>IF(Roster!$K$1=0,"",Roster!$K$1)</f>
        <v>ST</v>
      </c>
      <c r="R7" s="133"/>
      <c r="S7" s="476"/>
      <c r="T7" s="357"/>
      <c r="U7" s="357"/>
      <c r="V7" s="357"/>
      <c r="W7" s="357"/>
      <c r="X7" s="357"/>
      <c r="Y7" s="357"/>
      <c r="Z7" s="357"/>
      <c r="AA7" s="357"/>
      <c r="AB7" s="357"/>
      <c r="AC7" s="477"/>
      <c r="AD7" s="128"/>
      <c r="AE7" s="125"/>
      <c r="AF7" s="132" t="str">
        <f>IF(Roster!$K$1=0,"",Roster!$K$1)</f>
        <v>ST</v>
      </c>
      <c r="AG7" s="133"/>
      <c r="AH7" s="476"/>
      <c r="AI7" s="357"/>
      <c r="AJ7" s="357"/>
      <c r="AK7" s="357"/>
      <c r="AL7" s="357"/>
      <c r="AM7" s="357"/>
      <c r="AN7" s="357"/>
      <c r="AO7" s="357"/>
      <c r="AP7" s="357"/>
      <c r="AQ7" s="357"/>
      <c r="AR7" s="477"/>
      <c r="AS7" s="128"/>
      <c r="AT7" s="125"/>
      <c r="AU7" s="132" t="str">
        <f>IF(Roster!$K$1=0,"",Roster!$K$1)</f>
        <v>ST</v>
      </c>
      <c r="AV7" s="133"/>
      <c r="AW7" s="476"/>
      <c r="AX7" s="357"/>
      <c r="AY7" s="357"/>
      <c r="AZ7" s="357"/>
      <c r="BA7" s="357"/>
      <c r="BB7" s="357"/>
      <c r="BC7" s="357"/>
      <c r="BD7" s="357"/>
      <c r="BE7" s="357"/>
      <c r="BF7" s="357"/>
      <c r="BG7" s="477"/>
      <c r="BH7" s="128"/>
    </row>
    <row r="8" spans="1:60" ht="37.5" customHeight="1">
      <c r="A8" s="125"/>
      <c r="B8" s="491"/>
      <c r="C8" s="136"/>
      <c r="D8" s="494">
        <f>Roster!$AI$21</f>
        <v>0</v>
      </c>
      <c r="E8" s="488"/>
      <c r="F8" s="489"/>
      <c r="G8" s="131"/>
      <c r="H8" s="494">
        <f>Roster!$W$23</f>
        <v>0</v>
      </c>
      <c r="I8" s="488"/>
      <c r="J8" s="489"/>
      <c r="K8" s="131"/>
      <c r="L8" s="494">
        <f>Roster!$W$24</f>
        <v>1</v>
      </c>
      <c r="M8" s="488"/>
      <c r="N8" s="489"/>
      <c r="O8" s="128"/>
      <c r="P8" s="125"/>
      <c r="Q8" s="135">
        <f>IF(Roster!$K$2=0,"",Roster!$K$2)</f>
        <v>4</v>
      </c>
      <c r="R8" s="133"/>
      <c r="S8" s="476"/>
      <c r="T8" s="357"/>
      <c r="U8" s="357"/>
      <c r="V8" s="357"/>
      <c r="W8" s="357"/>
      <c r="X8" s="357"/>
      <c r="Y8" s="357"/>
      <c r="Z8" s="357"/>
      <c r="AA8" s="357"/>
      <c r="AB8" s="357"/>
      <c r="AC8" s="477"/>
      <c r="AD8" s="128"/>
      <c r="AE8" s="125"/>
      <c r="AF8" s="135">
        <f>IF(Roster!$K$3=0,"",Roster!$K$3)</f>
        <v>4</v>
      </c>
      <c r="AG8" s="133"/>
      <c r="AH8" s="476"/>
      <c r="AI8" s="357"/>
      <c r="AJ8" s="357"/>
      <c r="AK8" s="357"/>
      <c r="AL8" s="357"/>
      <c r="AM8" s="357"/>
      <c r="AN8" s="357"/>
      <c r="AO8" s="357"/>
      <c r="AP8" s="357"/>
      <c r="AQ8" s="357"/>
      <c r="AR8" s="477"/>
      <c r="AS8" s="128"/>
      <c r="AT8" s="125"/>
      <c r="AU8" s="135">
        <f>IF(Roster!$K$4=0,"",Roster!$K$4)</f>
        <v>3</v>
      </c>
      <c r="AV8" s="133"/>
      <c r="AW8" s="476"/>
      <c r="AX8" s="357"/>
      <c r="AY8" s="357"/>
      <c r="AZ8" s="357"/>
      <c r="BA8" s="357"/>
      <c r="BB8" s="357"/>
      <c r="BC8" s="357"/>
      <c r="BD8" s="357"/>
      <c r="BE8" s="357"/>
      <c r="BF8" s="357"/>
      <c r="BG8" s="477"/>
      <c r="BH8" s="128"/>
    </row>
    <row r="9" spans="1:60" ht="11.25" customHeight="1">
      <c r="A9" s="125"/>
      <c r="B9" s="491"/>
      <c r="C9" s="130"/>
      <c r="D9" s="474" t="str">
        <f>IF(Roster!$R$25=0,"",Roster!$R$25)</f>
        <v>BLOODWEISER KEGS</v>
      </c>
      <c r="E9" s="395"/>
      <c r="F9" s="396"/>
      <c r="G9" s="131"/>
      <c r="H9" s="474" t="str">
        <f>IF(Roster!$R$26=0,"",Roster!$R$26)</f>
        <v>BRIBES</v>
      </c>
      <c r="I9" s="395"/>
      <c r="J9" s="396"/>
      <c r="K9" s="131"/>
      <c r="L9" s="474" t="str">
        <f>IF(Roster!$R$27=0,"",Roster!$R$27)</f>
        <v>MASTER CHEF</v>
      </c>
      <c r="M9" s="395"/>
      <c r="N9" s="396"/>
      <c r="O9" s="128"/>
      <c r="P9" s="125"/>
      <c r="Q9" s="132" t="str">
        <f>IF(Roster!$L$1=0,"",Roster!$L$1)</f>
        <v>AG</v>
      </c>
      <c r="R9" s="133"/>
      <c r="S9" s="476"/>
      <c r="T9" s="357"/>
      <c r="U9" s="357"/>
      <c r="V9" s="357"/>
      <c r="W9" s="357"/>
      <c r="X9" s="357"/>
      <c r="Y9" s="357"/>
      <c r="Z9" s="357"/>
      <c r="AA9" s="357"/>
      <c r="AB9" s="357"/>
      <c r="AC9" s="477"/>
      <c r="AD9" s="128"/>
      <c r="AE9" s="125"/>
      <c r="AF9" s="132" t="str">
        <f>IF(Roster!$L$1=0,"",Roster!$L$1)</f>
        <v>AG</v>
      </c>
      <c r="AG9" s="133"/>
      <c r="AH9" s="476"/>
      <c r="AI9" s="357"/>
      <c r="AJ9" s="357"/>
      <c r="AK9" s="357"/>
      <c r="AL9" s="357"/>
      <c r="AM9" s="357"/>
      <c r="AN9" s="357"/>
      <c r="AO9" s="357"/>
      <c r="AP9" s="357"/>
      <c r="AQ9" s="357"/>
      <c r="AR9" s="477"/>
      <c r="AS9" s="128"/>
      <c r="AT9" s="125"/>
      <c r="AU9" s="132" t="str">
        <f>IF(Roster!$L$1=0,"",Roster!$L$1)</f>
        <v>AG</v>
      </c>
      <c r="AV9" s="133"/>
      <c r="AW9" s="476"/>
      <c r="AX9" s="357"/>
      <c r="AY9" s="357"/>
      <c r="AZ9" s="357"/>
      <c r="BA9" s="357"/>
      <c r="BB9" s="357"/>
      <c r="BC9" s="357"/>
      <c r="BD9" s="357"/>
      <c r="BE9" s="357"/>
      <c r="BF9" s="357"/>
      <c r="BG9" s="477"/>
      <c r="BH9" s="128"/>
    </row>
    <row r="10" spans="1:60" ht="37.5" customHeight="1">
      <c r="A10" s="125"/>
      <c r="B10" s="491"/>
      <c r="C10" s="136"/>
      <c r="D10" s="494">
        <f>Roster!$W$25</f>
        <v>0</v>
      </c>
      <c r="E10" s="488"/>
      <c r="F10" s="489"/>
      <c r="G10" s="131"/>
      <c r="H10" s="494">
        <f>Roster!$W$26</f>
        <v>0</v>
      </c>
      <c r="I10" s="488"/>
      <c r="J10" s="489"/>
      <c r="K10" s="131"/>
      <c r="L10" s="494">
        <f>Roster!$W$27</f>
        <v>0</v>
      </c>
      <c r="M10" s="488"/>
      <c r="N10" s="489"/>
      <c r="O10" s="128"/>
      <c r="P10" s="125"/>
      <c r="Q10" s="135" t="str">
        <f>IF(Roster!$L$2=0&amp;"+","",Roster!$L$2)</f>
        <v>4+</v>
      </c>
      <c r="R10" s="133"/>
      <c r="S10" s="476"/>
      <c r="T10" s="357"/>
      <c r="U10" s="357"/>
      <c r="V10" s="357"/>
      <c r="W10" s="357"/>
      <c r="X10" s="357"/>
      <c r="Y10" s="357"/>
      <c r="Z10" s="357"/>
      <c r="AA10" s="357"/>
      <c r="AB10" s="357"/>
      <c r="AC10" s="477"/>
      <c r="AD10" s="128"/>
      <c r="AE10" s="125"/>
      <c r="AF10" s="135" t="str">
        <f>IF(Roster!$L$3=0&amp;"+","",Roster!$L$3)</f>
        <v>4+</v>
      </c>
      <c r="AG10" s="133"/>
      <c r="AH10" s="476"/>
      <c r="AI10" s="357"/>
      <c r="AJ10" s="357"/>
      <c r="AK10" s="357"/>
      <c r="AL10" s="357"/>
      <c r="AM10" s="357"/>
      <c r="AN10" s="357"/>
      <c r="AO10" s="357"/>
      <c r="AP10" s="357"/>
      <c r="AQ10" s="357"/>
      <c r="AR10" s="477"/>
      <c r="AS10" s="128"/>
      <c r="AT10" s="125"/>
      <c r="AU10" s="135" t="str">
        <f>IF(Roster!$L$4=0&amp;"+","",Roster!$L$4)</f>
        <v>3+</v>
      </c>
      <c r="AV10" s="133"/>
      <c r="AW10" s="476"/>
      <c r="AX10" s="357"/>
      <c r="AY10" s="357"/>
      <c r="AZ10" s="357"/>
      <c r="BA10" s="357"/>
      <c r="BB10" s="357"/>
      <c r="BC10" s="357"/>
      <c r="BD10" s="357"/>
      <c r="BE10" s="357"/>
      <c r="BF10" s="357"/>
      <c r="BG10" s="477"/>
      <c r="BH10" s="128"/>
    </row>
    <row r="11" spans="1:60" ht="11.25" customHeight="1">
      <c r="A11" s="125"/>
      <c r="B11" s="491"/>
      <c r="C11" s="133"/>
      <c r="D11" s="486" t="str">
        <f>IF(Roster!$R$28=0,"",Roster!$R$28)</f>
        <v>RIOTOUS ROOKIES</v>
      </c>
      <c r="E11" s="395"/>
      <c r="F11" s="396"/>
      <c r="G11" s="133"/>
      <c r="H11" s="486" t="str">
        <f>IF(Roster!$AD$23=0,"",Roster!$AD$23)</f>
        <v>WIZARDS</v>
      </c>
      <c r="I11" s="395"/>
      <c r="J11" s="396"/>
      <c r="K11" s="133"/>
      <c r="L11" s="474" t="str">
        <f>IF(Roster!$AD$22=0,"",Roster!$AD$22)</f>
        <v>WEATHER MAGE</v>
      </c>
      <c r="M11" s="395"/>
      <c r="N11" s="396"/>
      <c r="O11" s="137"/>
      <c r="P11" s="125"/>
      <c r="Q11" s="132" t="str">
        <f>IF(Roster!$M$1=0,"",Roster!$M$1)</f>
        <v>PA</v>
      </c>
      <c r="R11" s="133"/>
      <c r="S11" s="476"/>
      <c r="T11" s="357"/>
      <c r="U11" s="357"/>
      <c r="V11" s="357"/>
      <c r="W11" s="357"/>
      <c r="X11" s="357"/>
      <c r="Y11" s="357"/>
      <c r="Z11" s="357"/>
      <c r="AA11" s="357"/>
      <c r="AB11" s="357"/>
      <c r="AC11" s="477"/>
      <c r="AD11" s="137"/>
      <c r="AE11" s="125"/>
      <c r="AF11" s="132" t="str">
        <f>IF(Roster!$M$1=0,"",Roster!$M$1)</f>
        <v>PA</v>
      </c>
      <c r="AG11" s="133"/>
      <c r="AH11" s="476"/>
      <c r="AI11" s="357"/>
      <c r="AJ11" s="357"/>
      <c r="AK11" s="357"/>
      <c r="AL11" s="357"/>
      <c r="AM11" s="357"/>
      <c r="AN11" s="357"/>
      <c r="AO11" s="357"/>
      <c r="AP11" s="357"/>
      <c r="AQ11" s="357"/>
      <c r="AR11" s="477"/>
      <c r="AS11" s="137"/>
      <c r="AT11" s="125"/>
      <c r="AU11" s="132" t="str">
        <f>IF(Roster!$M$1=0,"",Roster!$M$1)</f>
        <v>PA</v>
      </c>
      <c r="AV11" s="133"/>
      <c r="AW11" s="476"/>
      <c r="AX11" s="357"/>
      <c r="AY11" s="357"/>
      <c r="AZ11" s="357"/>
      <c r="BA11" s="357"/>
      <c r="BB11" s="357"/>
      <c r="BC11" s="357"/>
      <c r="BD11" s="357"/>
      <c r="BE11" s="357"/>
      <c r="BF11" s="357"/>
      <c r="BG11" s="477"/>
      <c r="BH11" s="137"/>
    </row>
    <row r="12" spans="1:60" ht="6" customHeight="1">
      <c r="A12" s="125"/>
      <c r="B12" s="491"/>
      <c r="C12" s="134"/>
      <c r="D12" s="493">
        <f>Roster!$W$28</f>
        <v>0</v>
      </c>
      <c r="E12" s="308"/>
      <c r="F12" s="309"/>
      <c r="G12" s="138"/>
      <c r="H12" s="493">
        <f>Roster!$AI$23</f>
        <v>0</v>
      </c>
      <c r="I12" s="308"/>
      <c r="J12" s="309"/>
      <c r="K12" s="138"/>
      <c r="L12" s="493">
        <f>Roster!$AI$22</f>
        <v>0</v>
      </c>
      <c r="M12" s="308"/>
      <c r="N12" s="309"/>
      <c r="O12" s="139"/>
      <c r="P12" s="125"/>
      <c r="Q12" s="470" t="str">
        <f>IF(Roster!$M$2=0&amp;"+","",Roster!$M$2)</f>
        <v/>
      </c>
      <c r="R12" s="133"/>
      <c r="S12" s="478"/>
      <c r="T12" s="479"/>
      <c r="U12" s="479"/>
      <c r="V12" s="479"/>
      <c r="W12" s="479"/>
      <c r="X12" s="479"/>
      <c r="Y12" s="479"/>
      <c r="Z12" s="479"/>
      <c r="AA12" s="479"/>
      <c r="AB12" s="479"/>
      <c r="AC12" s="480"/>
      <c r="AD12" s="139"/>
      <c r="AE12" s="125"/>
      <c r="AF12" s="470" t="str">
        <f>IF(Roster!$M$3=0&amp;"+","",Roster!$M$3)</f>
        <v/>
      </c>
      <c r="AG12" s="133"/>
      <c r="AH12" s="478"/>
      <c r="AI12" s="479"/>
      <c r="AJ12" s="479"/>
      <c r="AK12" s="479"/>
      <c r="AL12" s="479"/>
      <c r="AM12" s="479"/>
      <c r="AN12" s="479"/>
      <c r="AO12" s="479"/>
      <c r="AP12" s="479"/>
      <c r="AQ12" s="479"/>
      <c r="AR12" s="480"/>
      <c r="AS12" s="139"/>
      <c r="AT12" s="125"/>
      <c r="AU12" s="470" t="str">
        <f>IF(Roster!$M$4=0&amp;"+","",Roster!$M$4)</f>
        <v/>
      </c>
      <c r="AV12" s="133"/>
      <c r="AW12" s="478"/>
      <c r="AX12" s="479"/>
      <c r="AY12" s="479"/>
      <c r="AZ12" s="479"/>
      <c r="BA12" s="479"/>
      <c r="BB12" s="479"/>
      <c r="BC12" s="479"/>
      <c r="BD12" s="479"/>
      <c r="BE12" s="479"/>
      <c r="BF12" s="479"/>
      <c r="BG12" s="480"/>
      <c r="BH12" s="139"/>
    </row>
    <row r="13" spans="1:60" ht="4.5" customHeight="1">
      <c r="A13" s="125"/>
      <c r="B13" s="491"/>
      <c r="C13" s="134"/>
      <c r="D13" s="476"/>
      <c r="E13" s="357"/>
      <c r="F13" s="477"/>
      <c r="G13" s="138"/>
      <c r="H13" s="476"/>
      <c r="I13" s="357"/>
      <c r="J13" s="477"/>
      <c r="K13" s="138"/>
      <c r="L13" s="476"/>
      <c r="M13" s="357"/>
      <c r="N13" s="477"/>
      <c r="O13" s="139"/>
      <c r="P13" s="125"/>
      <c r="Q13" s="471"/>
      <c r="R13" s="131"/>
      <c r="S13" s="125"/>
      <c r="T13" s="138"/>
      <c r="U13" s="125"/>
      <c r="V13" s="138"/>
      <c r="W13" s="125"/>
      <c r="X13" s="138"/>
      <c r="Y13" s="125"/>
      <c r="Z13" s="138"/>
      <c r="AA13" s="125"/>
      <c r="AB13" s="138"/>
      <c r="AC13" s="125"/>
      <c r="AD13" s="139"/>
      <c r="AE13" s="125"/>
      <c r="AF13" s="471"/>
      <c r="AG13" s="131"/>
      <c r="AH13" s="125"/>
      <c r="AI13" s="138"/>
      <c r="AJ13" s="125"/>
      <c r="AK13" s="138"/>
      <c r="AL13" s="125"/>
      <c r="AM13" s="138"/>
      <c r="AN13" s="125"/>
      <c r="AO13" s="138"/>
      <c r="AP13" s="125"/>
      <c r="AQ13" s="138"/>
      <c r="AR13" s="125"/>
      <c r="AS13" s="139"/>
      <c r="AT13" s="125"/>
      <c r="AU13" s="471"/>
      <c r="AV13" s="131"/>
      <c r="AW13" s="125"/>
      <c r="AX13" s="138"/>
      <c r="AY13" s="125"/>
      <c r="AZ13" s="138"/>
      <c r="BA13" s="125"/>
      <c r="BB13" s="138"/>
      <c r="BC13" s="125"/>
      <c r="BD13" s="138"/>
      <c r="BE13" s="125"/>
      <c r="BF13" s="138"/>
      <c r="BG13" s="125"/>
      <c r="BH13" s="139"/>
    </row>
    <row r="14" spans="1:60" ht="11.25" customHeight="1">
      <c r="A14" s="125"/>
      <c r="B14" s="491"/>
      <c r="C14" s="134"/>
      <c r="D14" s="476"/>
      <c r="E14" s="357"/>
      <c r="F14" s="477"/>
      <c r="G14" s="138"/>
      <c r="H14" s="476"/>
      <c r="I14" s="357"/>
      <c r="J14" s="477"/>
      <c r="K14" s="138"/>
      <c r="L14" s="476"/>
      <c r="M14" s="357"/>
      <c r="N14" s="477"/>
      <c r="O14" s="139"/>
      <c r="P14" s="125"/>
      <c r="Q14" s="471"/>
      <c r="R14" s="131"/>
      <c r="S14" s="481" t="str">
        <f>IF(Roster!$J$24="Italiano","ABILITÀ &amp; TRATTI",(IF(Roster!$J$24="Español","HABILIDADES Y RASGOS","SKILLS &amp; TRAITS")))</f>
        <v>SKILLS &amp; TRAITS</v>
      </c>
      <c r="T14" s="482"/>
      <c r="U14" s="482"/>
      <c r="V14" s="482"/>
      <c r="W14" s="482"/>
      <c r="X14" s="482"/>
      <c r="Y14" s="482"/>
      <c r="Z14" s="482"/>
      <c r="AA14" s="482"/>
      <c r="AB14" s="482"/>
      <c r="AC14" s="483"/>
      <c r="AD14" s="139"/>
      <c r="AE14" s="125"/>
      <c r="AF14" s="471"/>
      <c r="AG14" s="131"/>
      <c r="AH14" s="481" t="str">
        <f>IF(Roster!$J$24="Italiano","ABILITÀ &amp; TRATTI",(IF(Roster!$J$24="Español","HABILIDADES Y RASGOS","SKILLS &amp; TRAITS")))</f>
        <v>SKILLS &amp; TRAITS</v>
      </c>
      <c r="AI14" s="482"/>
      <c r="AJ14" s="482"/>
      <c r="AK14" s="482"/>
      <c r="AL14" s="482"/>
      <c r="AM14" s="482"/>
      <c r="AN14" s="482"/>
      <c r="AO14" s="482"/>
      <c r="AP14" s="482"/>
      <c r="AQ14" s="482"/>
      <c r="AR14" s="483"/>
      <c r="AS14" s="139"/>
      <c r="AT14" s="125"/>
      <c r="AU14" s="471"/>
      <c r="AV14" s="131"/>
      <c r="AW14" s="481" t="str">
        <f>IF(Roster!$J$24="Italiano","ABILITÀ &amp; TRATTI",(IF(Roster!$J$24="Español","HABILIDADES Y RASGOS","SKILLS &amp; TRAITS")))</f>
        <v>SKILLS &amp; TRAITS</v>
      </c>
      <c r="AX14" s="482"/>
      <c r="AY14" s="482"/>
      <c r="AZ14" s="482"/>
      <c r="BA14" s="482"/>
      <c r="BB14" s="482"/>
      <c r="BC14" s="482"/>
      <c r="BD14" s="482"/>
      <c r="BE14" s="482"/>
      <c r="BF14" s="482"/>
      <c r="BG14" s="483"/>
      <c r="BH14" s="139"/>
    </row>
    <row r="15" spans="1:60" ht="15" customHeight="1">
      <c r="A15" s="125"/>
      <c r="B15" s="491"/>
      <c r="C15" s="134"/>
      <c r="D15" s="476"/>
      <c r="E15" s="357"/>
      <c r="F15" s="477"/>
      <c r="G15" s="134"/>
      <c r="H15" s="476"/>
      <c r="I15" s="357"/>
      <c r="J15" s="477"/>
      <c r="K15" s="134"/>
      <c r="L15" s="476"/>
      <c r="M15" s="357"/>
      <c r="N15" s="477"/>
      <c r="O15" s="139"/>
      <c r="P15" s="125"/>
      <c r="Q15" s="471"/>
      <c r="R15" s="134"/>
      <c r="S15" s="484" t="str">
        <f>IF(Roster!$O$2=0,"",Roster!$O$2&amp;Roster!BF2)</f>
        <v>Regeneration, Stand Firm, Thick Skull, Block</v>
      </c>
      <c r="T15" s="448"/>
      <c r="U15" s="448"/>
      <c r="V15" s="448"/>
      <c r="W15" s="448"/>
      <c r="X15" s="448"/>
      <c r="Y15" s="448"/>
      <c r="Z15" s="448"/>
      <c r="AA15" s="448"/>
      <c r="AB15" s="448"/>
      <c r="AC15" s="485"/>
      <c r="AD15" s="139"/>
      <c r="AE15" s="125"/>
      <c r="AF15" s="471"/>
      <c r="AG15" s="134"/>
      <c r="AH15" s="484" t="str">
        <f>IF(Roster!$O$3=0,"",Roster!$O$3&amp;Roster!BF3)</f>
        <v>Regeneration, Stand Firm, Thick Skull, Block</v>
      </c>
      <c r="AI15" s="448"/>
      <c r="AJ15" s="448"/>
      <c r="AK15" s="448"/>
      <c r="AL15" s="448"/>
      <c r="AM15" s="448"/>
      <c r="AN15" s="448"/>
      <c r="AO15" s="448"/>
      <c r="AP15" s="448"/>
      <c r="AQ15" s="448"/>
      <c r="AR15" s="485"/>
      <c r="AS15" s="139"/>
      <c r="AT15" s="125"/>
      <c r="AU15" s="471"/>
      <c r="AV15" s="134"/>
      <c r="AW15" s="484" t="str">
        <f>IF(Roster!$O$4=0,"",Roster!$O$4&amp;Roster!BF4)</f>
        <v>Block, Foul Appearance, No Hands, Regeneration, Side Step, Guard</v>
      </c>
      <c r="AX15" s="448"/>
      <c r="AY15" s="448"/>
      <c r="AZ15" s="448"/>
      <c r="BA15" s="448"/>
      <c r="BB15" s="448"/>
      <c r="BC15" s="448"/>
      <c r="BD15" s="448"/>
      <c r="BE15" s="448"/>
      <c r="BF15" s="448"/>
      <c r="BG15" s="485"/>
      <c r="BH15" s="139"/>
    </row>
    <row r="16" spans="1:60" ht="4.5" customHeight="1">
      <c r="A16" s="125"/>
      <c r="B16" s="491"/>
      <c r="C16" s="134"/>
      <c r="D16" s="478"/>
      <c r="E16" s="479"/>
      <c r="F16" s="480"/>
      <c r="G16" s="134"/>
      <c r="H16" s="478"/>
      <c r="I16" s="479"/>
      <c r="J16" s="480"/>
      <c r="K16" s="134"/>
      <c r="L16" s="478"/>
      <c r="M16" s="479"/>
      <c r="N16" s="480"/>
      <c r="O16" s="139"/>
      <c r="P16" s="125"/>
      <c r="Q16" s="472"/>
      <c r="R16" s="134"/>
      <c r="S16" s="476"/>
      <c r="T16" s="357"/>
      <c r="U16" s="357"/>
      <c r="V16" s="357"/>
      <c r="W16" s="357"/>
      <c r="X16" s="357"/>
      <c r="Y16" s="357"/>
      <c r="Z16" s="357"/>
      <c r="AA16" s="357"/>
      <c r="AB16" s="357"/>
      <c r="AC16" s="477"/>
      <c r="AD16" s="139"/>
      <c r="AE16" s="125"/>
      <c r="AF16" s="472"/>
      <c r="AG16" s="134"/>
      <c r="AH16" s="476"/>
      <c r="AI16" s="357"/>
      <c r="AJ16" s="357"/>
      <c r="AK16" s="357"/>
      <c r="AL16" s="357"/>
      <c r="AM16" s="357"/>
      <c r="AN16" s="357"/>
      <c r="AO16" s="357"/>
      <c r="AP16" s="357"/>
      <c r="AQ16" s="357"/>
      <c r="AR16" s="477"/>
      <c r="AS16" s="139"/>
      <c r="AT16" s="125"/>
      <c r="AU16" s="472"/>
      <c r="AV16" s="134"/>
      <c r="AW16" s="476"/>
      <c r="AX16" s="357"/>
      <c r="AY16" s="357"/>
      <c r="AZ16" s="357"/>
      <c r="BA16" s="357"/>
      <c r="BB16" s="357"/>
      <c r="BC16" s="357"/>
      <c r="BD16" s="357"/>
      <c r="BE16" s="357"/>
      <c r="BF16" s="357"/>
      <c r="BG16" s="477"/>
      <c r="BH16" s="139"/>
    </row>
    <row r="17" spans="1:60" ht="11.25" customHeight="1">
      <c r="A17" s="125"/>
      <c r="B17" s="491"/>
      <c r="C17" s="133"/>
      <c r="D17" s="474" t="str">
        <f>IF(Roster!$R$29=0,"",Roster!$R$29)</f>
        <v>SPECIAL CARD</v>
      </c>
      <c r="E17" s="395"/>
      <c r="F17" s="396"/>
      <c r="G17" s="133"/>
      <c r="H17" s="486" t="str">
        <f>IF(Roster!$AD$24=0,"",Roster!$AD$24)</f>
        <v>(IN)FAMOUS COACHES</v>
      </c>
      <c r="I17" s="395"/>
      <c r="J17" s="396"/>
      <c r="K17" s="133"/>
      <c r="L17" s="486" t="str">
        <f>IF(Roster!$AD$25=0,"",Roster!$AD$25)</f>
        <v>(IN)FAMOUS COACHES</v>
      </c>
      <c r="M17" s="395"/>
      <c r="N17" s="396"/>
      <c r="O17" s="128"/>
      <c r="P17" s="125"/>
      <c r="Q17" s="132" t="str">
        <f>IF(Roster!$N$1=0,"",Roster!$N$1)</f>
        <v>AV</v>
      </c>
      <c r="R17" s="133"/>
      <c r="S17" s="476"/>
      <c r="T17" s="357"/>
      <c r="U17" s="357"/>
      <c r="V17" s="357"/>
      <c r="W17" s="357"/>
      <c r="X17" s="357"/>
      <c r="Y17" s="357"/>
      <c r="Z17" s="357"/>
      <c r="AA17" s="357"/>
      <c r="AB17" s="357"/>
      <c r="AC17" s="477"/>
      <c r="AD17" s="128"/>
      <c r="AE17" s="125"/>
      <c r="AF17" s="132" t="str">
        <f>IF(Roster!$N$1=0,"",Roster!$N$1)</f>
        <v>AV</v>
      </c>
      <c r="AG17" s="133"/>
      <c r="AH17" s="476"/>
      <c r="AI17" s="357"/>
      <c r="AJ17" s="357"/>
      <c r="AK17" s="357"/>
      <c r="AL17" s="357"/>
      <c r="AM17" s="357"/>
      <c r="AN17" s="357"/>
      <c r="AO17" s="357"/>
      <c r="AP17" s="357"/>
      <c r="AQ17" s="357"/>
      <c r="AR17" s="477"/>
      <c r="AS17" s="128"/>
      <c r="AT17" s="125"/>
      <c r="AU17" s="132" t="str">
        <f>IF(Roster!$N$1=0,"",Roster!$N$1)</f>
        <v>AV</v>
      </c>
      <c r="AV17" s="133"/>
      <c r="AW17" s="476"/>
      <c r="AX17" s="357"/>
      <c r="AY17" s="357"/>
      <c r="AZ17" s="357"/>
      <c r="BA17" s="357"/>
      <c r="BB17" s="357"/>
      <c r="BC17" s="357"/>
      <c r="BD17" s="357"/>
      <c r="BE17" s="357"/>
      <c r="BF17" s="357"/>
      <c r="BG17" s="477"/>
      <c r="BH17" s="128"/>
    </row>
    <row r="18" spans="1:60" ht="15" customHeight="1">
      <c r="A18" s="125"/>
      <c r="B18" s="491"/>
      <c r="C18" s="134"/>
      <c r="D18" s="493">
        <f>Roster!$W$29</f>
        <v>0</v>
      </c>
      <c r="E18" s="308"/>
      <c r="F18" s="309"/>
      <c r="G18" s="134"/>
      <c r="H18" s="493">
        <f>Roster!$AI$24</f>
        <v>0</v>
      </c>
      <c r="I18" s="308"/>
      <c r="J18" s="309"/>
      <c r="K18" s="134"/>
      <c r="L18" s="493">
        <f>Roster!$AI$24</f>
        <v>0</v>
      </c>
      <c r="M18" s="308"/>
      <c r="N18" s="309"/>
      <c r="O18" s="140"/>
      <c r="P18" s="125"/>
      <c r="Q18" s="470" t="str">
        <f>IF(Roster!$N$2=0&amp;"+","",Roster!$N$2)</f>
        <v>10+</v>
      </c>
      <c r="R18" s="134"/>
      <c r="S18" s="476"/>
      <c r="T18" s="357"/>
      <c r="U18" s="357"/>
      <c r="V18" s="357"/>
      <c r="W18" s="357"/>
      <c r="X18" s="357"/>
      <c r="Y18" s="357"/>
      <c r="Z18" s="357"/>
      <c r="AA18" s="357"/>
      <c r="AB18" s="357"/>
      <c r="AC18" s="477"/>
      <c r="AD18" s="140"/>
      <c r="AE18" s="125"/>
      <c r="AF18" s="470" t="str">
        <f>IF(Roster!$N$3=0&amp;"+","",Roster!$N$3)</f>
        <v>10+</v>
      </c>
      <c r="AG18" s="134"/>
      <c r="AH18" s="476"/>
      <c r="AI18" s="357"/>
      <c r="AJ18" s="357"/>
      <c r="AK18" s="357"/>
      <c r="AL18" s="357"/>
      <c r="AM18" s="357"/>
      <c r="AN18" s="357"/>
      <c r="AO18" s="357"/>
      <c r="AP18" s="357"/>
      <c r="AQ18" s="357"/>
      <c r="AR18" s="477"/>
      <c r="AS18" s="140"/>
      <c r="AT18" s="125"/>
      <c r="AU18" s="470" t="str">
        <f>IF(Roster!$N$4=0&amp;"+","",Roster!$N$4)</f>
        <v>9+</v>
      </c>
      <c r="AV18" s="134"/>
      <c r="AW18" s="476"/>
      <c r="AX18" s="357"/>
      <c r="AY18" s="357"/>
      <c r="AZ18" s="357"/>
      <c r="BA18" s="357"/>
      <c r="BB18" s="357"/>
      <c r="BC18" s="357"/>
      <c r="BD18" s="357"/>
      <c r="BE18" s="357"/>
      <c r="BF18" s="357"/>
      <c r="BG18" s="477"/>
      <c r="BH18" s="140"/>
    </row>
    <row r="19" spans="1:60" ht="4.5" customHeight="1">
      <c r="A19" s="125"/>
      <c r="B19" s="491"/>
      <c r="C19" s="134"/>
      <c r="D19" s="476"/>
      <c r="E19" s="357"/>
      <c r="F19" s="477"/>
      <c r="G19" s="134"/>
      <c r="H19" s="476"/>
      <c r="I19" s="357"/>
      <c r="J19" s="477"/>
      <c r="K19" s="134"/>
      <c r="L19" s="476"/>
      <c r="M19" s="357"/>
      <c r="N19" s="477"/>
      <c r="O19" s="140"/>
      <c r="P19" s="125"/>
      <c r="Q19" s="471"/>
      <c r="R19" s="134"/>
      <c r="S19" s="476"/>
      <c r="T19" s="357"/>
      <c r="U19" s="357"/>
      <c r="V19" s="357"/>
      <c r="W19" s="357"/>
      <c r="X19" s="357"/>
      <c r="Y19" s="357"/>
      <c r="Z19" s="357"/>
      <c r="AA19" s="357"/>
      <c r="AB19" s="357"/>
      <c r="AC19" s="477"/>
      <c r="AD19" s="140"/>
      <c r="AE19" s="125"/>
      <c r="AF19" s="471"/>
      <c r="AG19" s="134"/>
      <c r="AH19" s="476"/>
      <c r="AI19" s="357"/>
      <c r="AJ19" s="357"/>
      <c r="AK19" s="357"/>
      <c r="AL19" s="357"/>
      <c r="AM19" s="357"/>
      <c r="AN19" s="357"/>
      <c r="AO19" s="357"/>
      <c r="AP19" s="357"/>
      <c r="AQ19" s="357"/>
      <c r="AR19" s="477"/>
      <c r="AS19" s="140"/>
      <c r="AT19" s="125"/>
      <c r="AU19" s="471"/>
      <c r="AV19" s="134"/>
      <c r="AW19" s="476"/>
      <c r="AX19" s="357"/>
      <c r="AY19" s="357"/>
      <c r="AZ19" s="357"/>
      <c r="BA19" s="357"/>
      <c r="BB19" s="357"/>
      <c r="BC19" s="357"/>
      <c r="BD19" s="357"/>
      <c r="BE19" s="357"/>
      <c r="BF19" s="357"/>
      <c r="BG19" s="477"/>
      <c r="BH19" s="140"/>
    </row>
    <row r="20" spans="1:60" ht="11.25" customHeight="1">
      <c r="A20" s="125"/>
      <c r="B20" s="491"/>
      <c r="C20" s="134"/>
      <c r="D20" s="476"/>
      <c r="E20" s="357"/>
      <c r="F20" s="477"/>
      <c r="G20" s="141"/>
      <c r="H20" s="476"/>
      <c r="I20" s="357"/>
      <c r="J20" s="477"/>
      <c r="K20" s="141"/>
      <c r="L20" s="476"/>
      <c r="M20" s="357"/>
      <c r="N20" s="477"/>
      <c r="O20" s="140"/>
      <c r="P20" s="125"/>
      <c r="Q20" s="471"/>
      <c r="R20" s="134"/>
      <c r="S20" s="476"/>
      <c r="T20" s="357"/>
      <c r="U20" s="357"/>
      <c r="V20" s="357"/>
      <c r="W20" s="357"/>
      <c r="X20" s="357"/>
      <c r="Y20" s="357"/>
      <c r="Z20" s="357"/>
      <c r="AA20" s="357"/>
      <c r="AB20" s="357"/>
      <c r="AC20" s="477"/>
      <c r="AD20" s="140"/>
      <c r="AE20" s="125"/>
      <c r="AF20" s="471"/>
      <c r="AG20" s="134"/>
      <c r="AH20" s="476"/>
      <c r="AI20" s="357"/>
      <c r="AJ20" s="357"/>
      <c r="AK20" s="357"/>
      <c r="AL20" s="357"/>
      <c r="AM20" s="357"/>
      <c r="AN20" s="357"/>
      <c r="AO20" s="357"/>
      <c r="AP20" s="357"/>
      <c r="AQ20" s="357"/>
      <c r="AR20" s="477"/>
      <c r="AS20" s="140"/>
      <c r="AT20" s="125"/>
      <c r="AU20" s="471"/>
      <c r="AV20" s="134"/>
      <c r="AW20" s="476"/>
      <c r="AX20" s="357"/>
      <c r="AY20" s="357"/>
      <c r="AZ20" s="357"/>
      <c r="BA20" s="357"/>
      <c r="BB20" s="357"/>
      <c r="BC20" s="357"/>
      <c r="BD20" s="357"/>
      <c r="BE20" s="357"/>
      <c r="BF20" s="357"/>
      <c r="BG20" s="477"/>
      <c r="BH20" s="140"/>
    </row>
    <row r="21" spans="1:60" ht="6.75" customHeight="1">
      <c r="A21" s="125"/>
      <c r="B21" s="491"/>
      <c r="C21" s="134"/>
      <c r="D21" s="478"/>
      <c r="E21" s="479"/>
      <c r="F21" s="480"/>
      <c r="G21" s="142"/>
      <c r="H21" s="478"/>
      <c r="I21" s="479"/>
      <c r="J21" s="480"/>
      <c r="K21" s="142"/>
      <c r="L21" s="478"/>
      <c r="M21" s="479"/>
      <c r="N21" s="480"/>
      <c r="O21" s="140"/>
      <c r="P21" s="125"/>
      <c r="Q21" s="472"/>
      <c r="R21" s="134"/>
      <c r="S21" s="476"/>
      <c r="T21" s="357"/>
      <c r="U21" s="357"/>
      <c r="V21" s="357"/>
      <c r="W21" s="357"/>
      <c r="X21" s="357"/>
      <c r="Y21" s="357"/>
      <c r="Z21" s="357"/>
      <c r="AA21" s="357"/>
      <c r="AB21" s="357"/>
      <c r="AC21" s="477"/>
      <c r="AD21" s="140"/>
      <c r="AE21" s="125"/>
      <c r="AF21" s="472"/>
      <c r="AG21" s="134"/>
      <c r="AH21" s="476"/>
      <c r="AI21" s="357"/>
      <c r="AJ21" s="357"/>
      <c r="AK21" s="357"/>
      <c r="AL21" s="357"/>
      <c r="AM21" s="357"/>
      <c r="AN21" s="357"/>
      <c r="AO21" s="357"/>
      <c r="AP21" s="357"/>
      <c r="AQ21" s="357"/>
      <c r="AR21" s="477"/>
      <c r="AS21" s="140"/>
      <c r="AT21" s="125"/>
      <c r="AU21" s="472"/>
      <c r="AV21" s="134"/>
      <c r="AW21" s="476"/>
      <c r="AX21" s="357"/>
      <c r="AY21" s="357"/>
      <c r="AZ21" s="357"/>
      <c r="BA21" s="357"/>
      <c r="BB21" s="357"/>
      <c r="BC21" s="357"/>
      <c r="BD21" s="357"/>
      <c r="BE21" s="357"/>
      <c r="BF21" s="357"/>
      <c r="BG21" s="477"/>
      <c r="BH21" s="140"/>
    </row>
    <row r="22" spans="1:60" ht="11.25" customHeight="1">
      <c r="A22" s="125"/>
      <c r="B22" s="491"/>
      <c r="C22" s="130"/>
      <c r="D22" s="486" t="str">
        <f>IF(Roster!$AD$26=0,"",Roster!$AD$26)</f>
        <v>BIASED REFEREE</v>
      </c>
      <c r="E22" s="395"/>
      <c r="F22" s="396"/>
      <c r="G22" s="142"/>
      <c r="H22" s="486" t="str">
        <f>IF(Roster!$AD$27=0,"",Roster!$AD$27)</f>
        <v>OTHER INDUCEMENTS</v>
      </c>
      <c r="I22" s="395"/>
      <c r="J22" s="396"/>
      <c r="K22" s="142"/>
      <c r="L22" s="474" t="str">
        <f>IF(Roster!$AD$28=0,"",Roster!$AD$28)</f>
        <v>WANDERING APO</v>
      </c>
      <c r="M22" s="395"/>
      <c r="N22" s="396"/>
      <c r="O22" s="143"/>
      <c r="P22" s="125"/>
      <c r="Q22" s="132" t="str">
        <f>IF(Roster!$AN$1=0,"",Roster!$AN$1)</f>
        <v>COST</v>
      </c>
      <c r="R22" s="133"/>
      <c r="S22" s="476"/>
      <c r="T22" s="357"/>
      <c r="U22" s="357"/>
      <c r="V22" s="357"/>
      <c r="W22" s="357"/>
      <c r="X22" s="357"/>
      <c r="Y22" s="357"/>
      <c r="Z22" s="357"/>
      <c r="AA22" s="357"/>
      <c r="AB22" s="357"/>
      <c r="AC22" s="477"/>
      <c r="AD22" s="143"/>
      <c r="AE22" s="125"/>
      <c r="AF22" s="132" t="str">
        <f>IF(Roster!$AN$1=0,"",Roster!$AN$1)</f>
        <v>COST</v>
      </c>
      <c r="AG22" s="133"/>
      <c r="AH22" s="476"/>
      <c r="AI22" s="357"/>
      <c r="AJ22" s="357"/>
      <c r="AK22" s="357"/>
      <c r="AL22" s="357"/>
      <c r="AM22" s="357"/>
      <c r="AN22" s="357"/>
      <c r="AO22" s="357"/>
      <c r="AP22" s="357"/>
      <c r="AQ22" s="357"/>
      <c r="AR22" s="477"/>
      <c r="AS22" s="143"/>
      <c r="AT22" s="125"/>
      <c r="AU22" s="132" t="str">
        <f>IF(Roster!$AN$1=0,"",Roster!$AN$1)</f>
        <v>COST</v>
      </c>
      <c r="AV22" s="133"/>
      <c r="AW22" s="476"/>
      <c r="AX22" s="357"/>
      <c r="AY22" s="357"/>
      <c r="AZ22" s="357"/>
      <c r="BA22" s="357"/>
      <c r="BB22" s="357"/>
      <c r="BC22" s="357"/>
      <c r="BD22" s="357"/>
      <c r="BE22" s="357"/>
      <c r="BF22" s="357"/>
      <c r="BG22" s="477"/>
      <c r="BH22" s="143"/>
    </row>
    <row r="23" spans="1:60" ht="34.5" customHeight="1">
      <c r="A23" s="125"/>
      <c r="B23" s="492"/>
      <c r="C23" s="144"/>
      <c r="D23" s="487">
        <f>Roster!$AI$26</f>
        <v>0</v>
      </c>
      <c r="E23" s="488"/>
      <c r="F23" s="489"/>
      <c r="G23" s="142"/>
      <c r="H23" s="487">
        <f>Roster!$AI$27</f>
        <v>0</v>
      </c>
      <c r="I23" s="488"/>
      <c r="J23" s="489"/>
      <c r="K23" s="142"/>
      <c r="L23" s="487">
        <f>Roster!$AI$28</f>
        <v>0</v>
      </c>
      <c r="M23" s="488"/>
      <c r="N23" s="489"/>
      <c r="O23" s="143"/>
      <c r="P23" s="125"/>
      <c r="Q23" s="145">
        <f>IF(Roster!$AN$2=0,"",Roster!$AN$2)</f>
        <v>115000</v>
      </c>
      <c r="R23" s="146"/>
      <c r="S23" s="478"/>
      <c r="T23" s="479"/>
      <c r="U23" s="479"/>
      <c r="V23" s="479"/>
      <c r="W23" s="479"/>
      <c r="X23" s="479"/>
      <c r="Y23" s="479"/>
      <c r="Z23" s="479"/>
      <c r="AA23" s="479"/>
      <c r="AB23" s="479"/>
      <c r="AC23" s="480"/>
      <c r="AD23" s="143"/>
      <c r="AE23" s="125"/>
      <c r="AF23" s="145">
        <f>IF(Roster!$AN$3=0,"",Roster!$AN$3)</f>
        <v>115000</v>
      </c>
      <c r="AG23" s="146"/>
      <c r="AH23" s="478"/>
      <c r="AI23" s="479"/>
      <c r="AJ23" s="479"/>
      <c r="AK23" s="479"/>
      <c r="AL23" s="479"/>
      <c r="AM23" s="479"/>
      <c r="AN23" s="479"/>
      <c r="AO23" s="479"/>
      <c r="AP23" s="479"/>
      <c r="AQ23" s="479"/>
      <c r="AR23" s="480"/>
      <c r="AS23" s="143"/>
      <c r="AT23" s="125"/>
      <c r="AU23" s="145">
        <f>IF(Roster!$AN$4=0,"",Roster!$AN$4)</f>
        <v>95000</v>
      </c>
      <c r="AV23" s="146"/>
      <c r="AW23" s="478"/>
      <c r="AX23" s="479"/>
      <c r="AY23" s="479"/>
      <c r="AZ23" s="479"/>
      <c r="BA23" s="479"/>
      <c r="BB23" s="479"/>
      <c r="BC23" s="479"/>
      <c r="BD23" s="479"/>
      <c r="BE23" s="479"/>
      <c r="BF23" s="479"/>
      <c r="BG23" s="480"/>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90" t="str">
        <f>IF(Roster!$A$5=0,"","#"&amp;Roster!$A$5)</f>
        <v>#4</v>
      </c>
      <c r="C26" s="126"/>
      <c r="D26" s="126"/>
      <c r="E26" s="126"/>
      <c r="F26" s="126"/>
      <c r="G26" s="126"/>
      <c r="H26" s="126"/>
      <c r="I26" s="126"/>
      <c r="J26" s="126"/>
      <c r="K26" s="126"/>
      <c r="L26" s="126"/>
      <c r="M26" s="126"/>
      <c r="N26" s="126"/>
      <c r="O26" s="127"/>
      <c r="P26" s="125"/>
      <c r="Q26" s="490" t="str">
        <f>IF(Roster!$A$6=0,"","#"&amp;Roster!$A$6)</f>
        <v>#5</v>
      </c>
      <c r="R26" s="126"/>
      <c r="S26" s="126"/>
      <c r="T26" s="126"/>
      <c r="U26" s="126"/>
      <c r="V26" s="126"/>
      <c r="W26" s="126"/>
      <c r="X26" s="126"/>
      <c r="Y26" s="126"/>
      <c r="Z26" s="126"/>
      <c r="AA26" s="126"/>
      <c r="AB26" s="126"/>
      <c r="AC26" s="126"/>
      <c r="AD26" s="127"/>
      <c r="AE26" s="125"/>
      <c r="AF26" s="490" t="str">
        <f>IF(Roster!$A$7=0,"","#"&amp;Roster!$A$7)</f>
        <v>#6</v>
      </c>
      <c r="AG26" s="126"/>
      <c r="AH26" s="126"/>
      <c r="AI26" s="126"/>
      <c r="AJ26" s="126"/>
      <c r="AK26" s="126"/>
      <c r="AL26" s="126"/>
      <c r="AM26" s="126"/>
      <c r="AN26" s="126"/>
      <c r="AO26" s="126"/>
      <c r="AP26" s="126"/>
      <c r="AQ26" s="126"/>
      <c r="AR26" s="126"/>
      <c r="AS26" s="127"/>
      <c r="AT26" s="125"/>
      <c r="AU26" s="490" t="str">
        <f>IF(Roster!$A$8=0,"","#"&amp;Roster!$A$8)</f>
        <v>#7</v>
      </c>
      <c r="AV26" s="126"/>
      <c r="AW26" s="126"/>
      <c r="AX26" s="126"/>
      <c r="AY26" s="126"/>
      <c r="AZ26" s="126"/>
      <c r="BA26" s="126"/>
      <c r="BB26" s="126"/>
      <c r="BC26" s="126"/>
      <c r="BD26" s="126"/>
      <c r="BE26" s="126"/>
      <c r="BF26" s="126"/>
      <c r="BG26" s="126"/>
      <c r="BH26" s="127"/>
    </row>
    <row r="27" spans="1:60" ht="15" customHeight="1">
      <c r="A27" s="125"/>
      <c r="B27" s="491"/>
      <c r="C27" s="473" t="str">
        <f>IF(Roster!$B$5=0,"",Roster!$B$5)</f>
        <v>Kikimuoro</v>
      </c>
      <c r="D27" s="395"/>
      <c r="E27" s="395"/>
      <c r="F27" s="395"/>
      <c r="G27" s="395"/>
      <c r="H27" s="395"/>
      <c r="I27" s="395"/>
      <c r="J27" s="395"/>
      <c r="K27" s="395"/>
      <c r="L27" s="395"/>
      <c r="M27" s="395"/>
      <c r="N27" s="396"/>
      <c r="O27" s="128"/>
      <c r="P27" s="125"/>
      <c r="Q27" s="491"/>
      <c r="R27" s="473" t="str">
        <f>IF(Roster!$B$6=0,"",Roster!$B$6)</f>
        <v>Marko Kravchenko</v>
      </c>
      <c r="S27" s="395"/>
      <c r="T27" s="395"/>
      <c r="U27" s="395"/>
      <c r="V27" s="395"/>
      <c r="W27" s="395"/>
      <c r="X27" s="395"/>
      <c r="Y27" s="395"/>
      <c r="Z27" s="395"/>
      <c r="AA27" s="395"/>
      <c r="AB27" s="395"/>
      <c r="AC27" s="396"/>
      <c r="AD27" s="128"/>
      <c r="AE27" s="125"/>
      <c r="AF27" s="491"/>
      <c r="AG27" s="473" t="str">
        <f>IF(Roster!$B$7=0,"",Roster!$B$7)</f>
        <v>Tamara Kravchenko</v>
      </c>
      <c r="AH27" s="395"/>
      <c r="AI27" s="395"/>
      <c r="AJ27" s="395"/>
      <c r="AK27" s="395"/>
      <c r="AL27" s="395"/>
      <c r="AM27" s="395"/>
      <c r="AN27" s="395"/>
      <c r="AO27" s="395"/>
      <c r="AP27" s="395"/>
      <c r="AQ27" s="395"/>
      <c r="AR27" s="396"/>
      <c r="AS27" s="128"/>
      <c r="AT27" s="125"/>
      <c r="AU27" s="491"/>
      <c r="AV27" s="473" t="str">
        <f>IF(Roster!$B$8=0,"",Roster!$B$8)</f>
        <v>Silbàn</v>
      </c>
      <c r="AW27" s="395"/>
      <c r="AX27" s="395"/>
      <c r="AY27" s="395"/>
      <c r="AZ27" s="395"/>
      <c r="BA27" s="395"/>
      <c r="BB27" s="395"/>
      <c r="BC27" s="395"/>
      <c r="BD27" s="395"/>
      <c r="BE27" s="395"/>
      <c r="BF27" s="395"/>
      <c r="BG27" s="396"/>
      <c r="BH27" s="128"/>
    </row>
    <row r="28" spans="1:60" ht="11.25" customHeight="1">
      <c r="A28" s="125"/>
      <c r="B28" s="492"/>
      <c r="C28" s="474" t="str">
        <f>IF(Roster!$C$5=0,"",Roster!$C$5)</f>
        <v>Wraiths</v>
      </c>
      <c r="D28" s="395"/>
      <c r="E28" s="395"/>
      <c r="F28" s="395"/>
      <c r="G28" s="395"/>
      <c r="H28" s="395"/>
      <c r="I28" s="395"/>
      <c r="J28" s="395"/>
      <c r="K28" s="395"/>
      <c r="L28" s="395"/>
      <c r="M28" s="395"/>
      <c r="N28" s="396"/>
      <c r="O28" s="129"/>
      <c r="P28" s="125"/>
      <c r="Q28" s="492"/>
      <c r="R28" s="474" t="str">
        <f>IF(Roster!$C$6=0,"",Roster!$C$6)</f>
        <v>Werewolf</v>
      </c>
      <c r="S28" s="395"/>
      <c r="T28" s="395"/>
      <c r="U28" s="395"/>
      <c r="V28" s="395"/>
      <c r="W28" s="395"/>
      <c r="X28" s="395"/>
      <c r="Y28" s="395"/>
      <c r="Z28" s="395"/>
      <c r="AA28" s="395"/>
      <c r="AB28" s="395"/>
      <c r="AC28" s="396"/>
      <c r="AD28" s="129"/>
      <c r="AE28" s="125"/>
      <c r="AF28" s="492"/>
      <c r="AG28" s="474" t="str">
        <f>IF(Roster!$C$7=0,"",Roster!$C$7)</f>
        <v>Werewolf</v>
      </c>
      <c r="AH28" s="395"/>
      <c r="AI28" s="395"/>
      <c r="AJ28" s="395"/>
      <c r="AK28" s="395"/>
      <c r="AL28" s="395"/>
      <c r="AM28" s="395"/>
      <c r="AN28" s="395"/>
      <c r="AO28" s="395"/>
      <c r="AP28" s="395"/>
      <c r="AQ28" s="395"/>
      <c r="AR28" s="396"/>
      <c r="AS28" s="129"/>
      <c r="AT28" s="125"/>
      <c r="AU28" s="492"/>
      <c r="AV28" s="474" t="str">
        <f>IF(Roster!$C$8=0,"",Roster!$C$8)</f>
        <v>Ghoul</v>
      </c>
      <c r="AW28" s="395"/>
      <c r="AX28" s="395"/>
      <c r="AY28" s="395"/>
      <c r="AZ28" s="395"/>
      <c r="BA28" s="395"/>
      <c r="BB28" s="395"/>
      <c r="BC28" s="395"/>
      <c r="BD28" s="395"/>
      <c r="BE28" s="395"/>
      <c r="BF28" s="395"/>
      <c r="BG28" s="396"/>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f>IF(Roster!$J$5=0,"",Roster!$J$5)</f>
        <v>6</v>
      </c>
      <c r="C30" s="133"/>
      <c r="D30" s="475"/>
      <c r="E30" s="308"/>
      <c r="F30" s="308"/>
      <c r="G30" s="308"/>
      <c r="H30" s="308"/>
      <c r="I30" s="308"/>
      <c r="J30" s="308"/>
      <c r="K30" s="308"/>
      <c r="L30" s="308"/>
      <c r="M30" s="308"/>
      <c r="N30" s="309"/>
      <c r="O30" s="128"/>
      <c r="P30" s="125"/>
      <c r="Q30" s="135">
        <f>IF(Roster!$J$6=0,"",Roster!$J$6)</f>
        <v>8</v>
      </c>
      <c r="R30" s="133"/>
      <c r="S30" s="475"/>
      <c r="T30" s="308"/>
      <c r="U30" s="308"/>
      <c r="V30" s="308"/>
      <c r="W30" s="308"/>
      <c r="X30" s="308"/>
      <c r="Y30" s="308"/>
      <c r="Z30" s="308"/>
      <c r="AA30" s="308"/>
      <c r="AB30" s="308"/>
      <c r="AC30" s="309"/>
      <c r="AD30" s="128"/>
      <c r="AE30" s="125"/>
      <c r="AF30" s="135">
        <f>IF(Roster!$J$7=0,"",Roster!$J$7)</f>
        <v>8</v>
      </c>
      <c r="AG30" s="133"/>
      <c r="AH30" s="475"/>
      <c r="AI30" s="308"/>
      <c r="AJ30" s="308"/>
      <c r="AK30" s="308"/>
      <c r="AL30" s="308"/>
      <c r="AM30" s="308"/>
      <c r="AN30" s="308"/>
      <c r="AO30" s="308"/>
      <c r="AP30" s="308"/>
      <c r="AQ30" s="308"/>
      <c r="AR30" s="309"/>
      <c r="AS30" s="128"/>
      <c r="AT30" s="125"/>
      <c r="AU30" s="135">
        <f>IF(Roster!$J$8=0,"",Roster!$J$8)</f>
        <v>7</v>
      </c>
      <c r="AV30" s="133"/>
      <c r="AW30" s="475"/>
      <c r="AX30" s="308"/>
      <c r="AY30" s="308"/>
      <c r="AZ30" s="308"/>
      <c r="BA30" s="308"/>
      <c r="BB30" s="308"/>
      <c r="BC30" s="308"/>
      <c r="BD30" s="308"/>
      <c r="BE30" s="308"/>
      <c r="BF30" s="308"/>
      <c r="BG30" s="309"/>
      <c r="BH30" s="128"/>
    </row>
    <row r="31" spans="1:60" ht="11.25" customHeight="1">
      <c r="A31" s="125"/>
      <c r="B31" s="132" t="str">
        <f>IF(Roster!$K$1=0,"",Roster!$K$1)</f>
        <v>ST</v>
      </c>
      <c r="C31" s="133"/>
      <c r="D31" s="476"/>
      <c r="E31" s="357"/>
      <c r="F31" s="357"/>
      <c r="G31" s="357"/>
      <c r="H31" s="357"/>
      <c r="I31" s="357"/>
      <c r="J31" s="357"/>
      <c r="K31" s="357"/>
      <c r="L31" s="357"/>
      <c r="M31" s="357"/>
      <c r="N31" s="477"/>
      <c r="O31" s="128"/>
      <c r="P31" s="125"/>
      <c r="Q31" s="132" t="str">
        <f>IF(Roster!$K$1=0,"",Roster!$K$1)</f>
        <v>ST</v>
      </c>
      <c r="R31" s="133"/>
      <c r="S31" s="476"/>
      <c r="T31" s="357"/>
      <c r="U31" s="357"/>
      <c r="V31" s="357"/>
      <c r="W31" s="357"/>
      <c r="X31" s="357"/>
      <c r="Y31" s="357"/>
      <c r="Z31" s="357"/>
      <c r="AA31" s="357"/>
      <c r="AB31" s="357"/>
      <c r="AC31" s="477"/>
      <c r="AD31" s="128"/>
      <c r="AE31" s="125"/>
      <c r="AF31" s="132" t="str">
        <f>IF(Roster!$K$1=0,"",Roster!$K$1)</f>
        <v>ST</v>
      </c>
      <c r="AG31" s="133"/>
      <c r="AH31" s="476"/>
      <c r="AI31" s="357"/>
      <c r="AJ31" s="357"/>
      <c r="AK31" s="357"/>
      <c r="AL31" s="357"/>
      <c r="AM31" s="357"/>
      <c r="AN31" s="357"/>
      <c r="AO31" s="357"/>
      <c r="AP31" s="357"/>
      <c r="AQ31" s="357"/>
      <c r="AR31" s="477"/>
      <c r="AS31" s="128"/>
      <c r="AT31" s="125"/>
      <c r="AU31" s="132" t="str">
        <f>IF(Roster!$K$1=0,"",Roster!$K$1)</f>
        <v>ST</v>
      </c>
      <c r="AV31" s="133"/>
      <c r="AW31" s="476"/>
      <c r="AX31" s="357"/>
      <c r="AY31" s="357"/>
      <c r="AZ31" s="357"/>
      <c r="BA31" s="357"/>
      <c r="BB31" s="357"/>
      <c r="BC31" s="357"/>
      <c r="BD31" s="357"/>
      <c r="BE31" s="357"/>
      <c r="BF31" s="357"/>
      <c r="BG31" s="477"/>
      <c r="BH31" s="128"/>
    </row>
    <row r="32" spans="1:60" ht="37.5" customHeight="1">
      <c r="A32" s="125"/>
      <c r="B32" s="135">
        <f>IF(Roster!$K$5=0,"",Roster!$K$5)</f>
        <v>3</v>
      </c>
      <c r="C32" s="133"/>
      <c r="D32" s="476"/>
      <c r="E32" s="357"/>
      <c r="F32" s="357"/>
      <c r="G32" s="357"/>
      <c r="H32" s="357"/>
      <c r="I32" s="357"/>
      <c r="J32" s="357"/>
      <c r="K32" s="357"/>
      <c r="L32" s="357"/>
      <c r="M32" s="357"/>
      <c r="N32" s="477"/>
      <c r="O32" s="128"/>
      <c r="P32" s="125"/>
      <c r="Q32" s="135">
        <f>IF(Roster!$K$6=0,"",Roster!$K$6)</f>
        <v>3</v>
      </c>
      <c r="R32" s="133"/>
      <c r="S32" s="476"/>
      <c r="T32" s="357"/>
      <c r="U32" s="357"/>
      <c r="V32" s="357"/>
      <c r="W32" s="357"/>
      <c r="X32" s="357"/>
      <c r="Y32" s="357"/>
      <c r="Z32" s="357"/>
      <c r="AA32" s="357"/>
      <c r="AB32" s="357"/>
      <c r="AC32" s="477"/>
      <c r="AD32" s="128"/>
      <c r="AE32" s="125"/>
      <c r="AF32" s="135">
        <f>IF(Roster!$K$7=0,"",Roster!$K$7)</f>
        <v>3</v>
      </c>
      <c r="AG32" s="133"/>
      <c r="AH32" s="476"/>
      <c r="AI32" s="357"/>
      <c r="AJ32" s="357"/>
      <c r="AK32" s="357"/>
      <c r="AL32" s="357"/>
      <c r="AM32" s="357"/>
      <c r="AN32" s="357"/>
      <c r="AO32" s="357"/>
      <c r="AP32" s="357"/>
      <c r="AQ32" s="357"/>
      <c r="AR32" s="477"/>
      <c r="AS32" s="128"/>
      <c r="AT32" s="125"/>
      <c r="AU32" s="135">
        <f>IF(Roster!$K$8=0,"",Roster!$K$8)</f>
        <v>3</v>
      </c>
      <c r="AV32" s="133"/>
      <c r="AW32" s="476"/>
      <c r="AX32" s="357"/>
      <c r="AY32" s="357"/>
      <c r="AZ32" s="357"/>
      <c r="BA32" s="357"/>
      <c r="BB32" s="357"/>
      <c r="BC32" s="357"/>
      <c r="BD32" s="357"/>
      <c r="BE32" s="357"/>
      <c r="BF32" s="357"/>
      <c r="BG32" s="477"/>
      <c r="BH32" s="128"/>
    </row>
    <row r="33" spans="1:60" ht="11.25" customHeight="1">
      <c r="A33" s="125"/>
      <c r="B33" s="132" t="str">
        <f>IF(Roster!$L$1=0,"",Roster!$L$1)</f>
        <v>AG</v>
      </c>
      <c r="C33" s="133"/>
      <c r="D33" s="476"/>
      <c r="E33" s="357"/>
      <c r="F33" s="357"/>
      <c r="G33" s="357"/>
      <c r="H33" s="357"/>
      <c r="I33" s="357"/>
      <c r="J33" s="357"/>
      <c r="K33" s="357"/>
      <c r="L33" s="357"/>
      <c r="M33" s="357"/>
      <c r="N33" s="477"/>
      <c r="O33" s="128"/>
      <c r="P33" s="125"/>
      <c r="Q33" s="132" t="str">
        <f>IF(Roster!$L$1=0,"",Roster!$L$1)</f>
        <v>AG</v>
      </c>
      <c r="R33" s="133"/>
      <c r="S33" s="476"/>
      <c r="T33" s="357"/>
      <c r="U33" s="357"/>
      <c r="V33" s="357"/>
      <c r="W33" s="357"/>
      <c r="X33" s="357"/>
      <c r="Y33" s="357"/>
      <c r="Z33" s="357"/>
      <c r="AA33" s="357"/>
      <c r="AB33" s="357"/>
      <c r="AC33" s="477"/>
      <c r="AD33" s="128"/>
      <c r="AE33" s="125"/>
      <c r="AF33" s="132" t="str">
        <f>IF(Roster!$L$1=0,"",Roster!$L$1)</f>
        <v>AG</v>
      </c>
      <c r="AG33" s="133"/>
      <c r="AH33" s="476"/>
      <c r="AI33" s="357"/>
      <c r="AJ33" s="357"/>
      <c r="AK33" s="357"/>
      <c r="AL33" s="357"/>
      <c r="AM33" s="357"/>
      <c r="AN33" s="357"/>
      <c r="AO33" s="357"/>
      <c r="AP33" s="357"/>
      <c r="AQ33" s="357"/>
      <c r="AR33" s="477"/>
      <c r="AS33" s="128"/>
      <c r="AT33" s="125"/>
      <c r="AU33" s="132" t="str">
        <f>IF(Roster!$L$1=0,"",Roster!$L$1)</f>
        <v>AG</v>
      </c>
      <c r="AV33" s="133"/>
      <c r="AW33" s="476"/>
      <c r="AX33" s="357"/>
      <c r="AY33" s="357"/>
      <c r="AZ33" s="357"/>
      <c r="BA33" s="357"/>
      <c r="BB33" s="357"/>
      <c r="BC33" s="357"/>
      <c r="BD33" s="357"/>
      <c r="BE33" s="357"/>
      <c r="BF33" s="357"/>
      <c r="BG33" s="477"/>
      <c r="BH33" s="128"/>
    </row>
    <row r="34" spans="1:60" ht="37.5" customHeight="1">
      <c r="A34" s="125"/>
      <c r="B34" s="135" t="str">
        <f>IF(Roster!$L$5=0&amp;"+","",Roster!$L$5)</f>
        <v>3+</v>
      </c>
      <c r="C34" s="133"/>
      <c r="D34" s="476"/>
      <c r="E34" s="357"/>
      <c r="F34" s="357"/>
      <c r="G34" s="357"/>
      <c r="H34" s="357"/>
      <c r="I34" s="357"/>
      <c r="J34" s="357"/>
      <c r="K34" s="357"/>
      <c r="L34" s="357"/>
      <c r="M34" s="357"/>
      <c r="N34" s="477"/>
      <c r="O34" s="128"/>
      <c r="P34" s="125"/>
      <c r="Q34" s="135" t="str">
        <f>IF(Roster!$L$6=0&amp;"+","",Roster!$L$6)</f>
        <v>3+</v>
      </c>
      <c r="R34" s="133"/>
      <c r="S34" s="476"/>
      <c r="T34" s="357"/>
      <c r="U34" s="357"/>
      <c r="V34" s="357"/>
      <c r="W34" s="357"/>
      <c r="X34" s="357"/>
      <c r="Y34" s="357"/>
      <c r="Z34" s="357"/>
      <c r="AA34" s="357"/>
      <c r="AB34" s="357"/>
      <c r="AC34" s="477"/>
      <c r="AD34" s="128"/>
      <c r="AE34" s="125"/>
      <c r="AF34" s="135" t="str">
        <f>IF(Roster!$L$7=0&amp;"+","",Roster!$L$7)</f>
        <v>3+</v>
      </c>
      <c r="AG34" s="133"/>
      <c r="AH34" s="476"/>
      <c r="AI34" s="357"/>
      <c r="AJ34" s="357"/>
      <c r="AK34" s="357"/>
      <c r="AL34" s="357"/>
      <c r="AM34" s="357"/>
      <c r="AN34" s="357"/>
      <c r="AO34" s="357"/>
      <c r="AP34" s="357"/>
      <c r="AQ34" s="357"/>
      <c r="AR34" s="477"/>
      <c r="AS34" s="128"/>
      <c r="AT34" s="125"/>
      <c r="AU34" s="135" t="str">
        <f>IF(Roster!$L$8=0&amp;"+","",Roster!$L$8)</f>
        <v>3+</v>
      </c>
      <c r="AV34" s="133"/>
      <c r="AW34" s="476"/>
      <c r="AX34" s="357"/>
      <c r="AY34" s="357"/>
      <c r="AZ34" s="357"/>
      <c r="BA34" s="357"/>
      <c r="BB34" s="357"/>
      <c r="BC34" s="357"/>
      <c r="BD34" s="357"/>
      <c r="BE34" s="357"/>
      <c r="BF34" s="357"/>
      <c r="BG34" s="477"/>
      <c r="BH34" s="128"/>
    </row>
    <row r="35" spans="1:60" ht="11.25" customHeight="1">
      <c r="A35" s="125"/>
      <c r="B35" s="132" t="str">
        <f>IF(Roster!$M$1=0,"",Roster!$M$1)</f>
        <v>PA</v>
      </c>
      <c r="C35" s="133"/>
      <c r="D35" s="476"/>
      <c r="E35" s="357"/>
      <c r="F35" s="357"/>
      <c r="G35" s="357"/>
      <c r="H35" s="357"/>
      <c r="I35" s="357"/>
      <c r="J35" s="357"/>
      <c r="K35" s="357"/>
      <c r="L35" s="357"/>
      <c r="M35" s="357"/>
      <c r="N35" s="477"/>
      <c r="O35" s="137"/>
      <c r="P35" s="125"/>
      <c r="Q35" s="132" t="str">
        <f>IF(Roster!$M$1=0,"",Roster!$M$1)</f>
        <v>PA</v>
      </c>
      <c r="R35" s="133"/>
      <c r="S35" s="476"/>
      <c r="T35" s="357"/>
      <c r="U35" s="357"/>
      <c r="V35" s="357"/>
      <c r="W35" s="357"/>
      <c r="X35" s="357"/>
      <c r="Y35" s="357"/>
      <c r="Z35" s="357"/>
      <c r="AA35" s="357"/>
      <c r="AB35" s="357"/>
      <c r="AC35" s="477"/>
      <c r="AD35" s="137"/>
      <c r="AE35" s="125"/>
      <c r="AF35" s="132" t="str">
        <f>IF(Roster!$M$1=0,"",Roster!$M$1)</f>
        <v>PA</v>
      </c>
      <c r="AG35" s="133"/>
      <c r="AH35" s="476"/>
      <c r="AI35" s="357"/>
      <c r="AJ35" s="357"/>
      <c r="AK35" s="357"/>
      <c r="AL35" s="357"/>
      <c r="AM35" s="357"/>
      <c r="AN35" s="357"/>
      <c r="AO35" s="357"/>
      <c r="AP35" s="357"/>
      <c r="AQ35" s="357"/>
      <c r="AR35" s="477"/>
      <c r="AS35" s="137"/>
      <c r="AT35" s="125"/>
      <c r="AU35" s="132" t="str">
        <f>IF(Roster!$M$1=0,"",Roster!$M$1)</f>
        <v>PA</v>
      </c>
      <c r="AV35" s="133"/>
      <c r="AW35" s="476"/>
      <c r="AX35" s="357"/>
      <c r="AY35" s="357"/>
      <c r="AZ35" s="357"/>
      <c r="BA35" s="357"/>
      <c r="BB35" s="357"/>
      <c r="BC35" s="357"/>
      <c r="BD35" s="357"/>
      <c r="BE35" s="357"/>
      <c r="BF35" s="357"/>
      <c r="BG35" s="477"/>
      <c r="BH35" s="137"/>
    </row>
    <row r="36" spans="1:60" ht="6" customHeight="1">
      <c r="A36" s="125"/>
      <c r="B36" s="470" t="str">
        <f>IF(Roster!$M$5=0&amp;"+","",Roster!$M$5)</f>
        <v/>
      </c>
      <c r="C36" s="133"/>
      <c r="D36" s="478"/>
      <c r="E36" s="479"/>
      <c r="F36" s="479"/>
      <c r="G36" s="479"/>
      <c r="H36" s="479"/>
      <c r="I36" s="479"/>
      <c r="J36" s="479"/>
      <c r="K36" s="479"/>
      <c r="L36" s="479"/>
      <c r="M36" s="479"/>
      <c r="N36" s="480"/>
      <c r="O36" s="139"/>
      <c r="P36" s="125"/>
      <c r="Q36" s="470" t="str">
        <f>IF(Roster!$M$6=0&amp;"+","",Roster!$M$6)</f>
        <v>4+</v>
      </c>
      <c r="R36" s="133"/>
      <c r="S36" s="478"/>
      <c r="T36" s="479"/>
      <c r="U36" s="479"/>
      <c r="V36" s="479"/>
      <c r="W36" s="479"/>
      <c r="X36" s="479"/>
      <c r="Y36" s="479"/>
      <c r="Z36" s="479"/>
      <c r="AA36" s="479"/>
      <c r="AB36" s="479"/>
      <c r="AC36" s="480"/>
      <c r="AD36" s="139"/>
      <c r="AE36" s="125"/>
      <c r="AF36" s="470" t="str">
        <f>IF(Roster!$M$7=0&amp;"+","",Roster!$M$7)</f>
        <v>4+</v>
      </c>
      <c r="AG36" s="133"/>
      <c r="AH36" s="478"/>
      <c r="AI36" s="479"/>
      <c r="AJ36" s="479"/>
      <c r="AK36" s="479"/>
      <c r="AL36" s="479"/>
      <c r="AM36" s="479"/>
      <c r="AN36" s="479"/>
      <c r="AO36" s="479"/>
      <c r="AP36" s="479"/>
      <c r="AQ36" s="479"/>
      <c r="AR36" s="480"/>
      <c r="AS36" s="139"/>
      <c r="AT36" s="125"/>
      <c r="AU36" s="470" t="str">
        <f>IF(Roster!$M$8=0&amp;"+","",Roster!$M$8)</f>
        <v>4+</v>
      </c>
      <c r="AV36" s="133"/>
      <c r="AW36" s="478"/>
      <c r="AX36" s="479"/>
      <c r="AY36" s="479"/>
      <c r="AZ36" s="479"/>
      <c r="BA36" s="479"/>
      <c r="BB36" s="479"/>
      <c r="BC36" s="479"/>
      <c r="BD36" s="479"/>
      <c r="BE36" s="479"/>
      <c r="BF36" s="479"/>
      <c r="BG36" s="480"/>
      <c r="BH36" s="139"/>
    </row>
    <row r="37" spans="1:60" ht="4.5" customHeight="1">
      <c r="A37" s="125"/>
      <c r="B37" s="471"/>
      <c r="C37" s="131"/>
      <c r="D37" s="125"/>
      <c r="E37" s="138"/>
      <c r="F37" s="125"/>
      <c r="G37" s="138"/>
      <c r="H37" s="125"/>
      <c r="I37" s="138"/>
      <c r="J37" s="125"/>
      <c r="K37" s="138"/>
      <c r="L37" s="125"/>
      <c r="M37" s="138"/>
      <c r="N37" s="125"/>
      <c r="O37" s="139"/>
      <c r="P37" s="125"/>
      <c r="Q37" s="471"/>
      <c r="R37" s="131"/>
      <c r="S37" s="125"/>
      <c r="T37" s="138"/>
      <c r="U37" s="125"/>
      <c r="V37" s="138"/>
      <c r="W37" s="125"/>
      <c r="X37" s="138"/>
      <c r="Y37" s="125"/>
      <c r="Z37" s="138"/>
      <c r="AA37" s="125"/>
      <c r="AB37" s="138"/>
      <c r="AC37" s="125"/>
      <c r="AD37" s="139"/>
      <c r="AE37" s="125"/>
      <c r="AF37" s="471"/>
      <c r="AG37" s="131"/>
      <c r="AH37" s="125"/>
      <c r="AI37" s="138"/>
      <c r="AJ37" s="125"/>
      <c r="AK37" s="138"/>
      <c r="AL37" s="125"/>
      <c r="AM37" s="138"/>
      <c r="AN37" s="125"/>
      <c r="AO37" s="138"/>
      <c r="AP37" s="125"/>
      <c r="AQ37" s="138"/>
      <c r="AR37" s="125"/>
      <c r="AS37" s="139"/>
      <c r="AT37" s="125"/>
      <c r="AU37" s="471"/>
      <c r="AV37" s="131"/>
      <c r="AW37" s="125"/>
      <c r="AX37" s="138"/>
      <c r="AY37" s="125"/>
      <c r="AZ37" s="138"/>
      <c r="BA37" s="125"/>
      <c r="BB37" s="138"/>
      <c r="BC37" s="125"/>
      <c r="BD37" s="138"/>
      <c r="BE37" s="125"/>
      <c r="BF37" s="138"/>
      <c r="BG37" s="125"/>
      <c r="BH37" s="139"/>
    </row>
    <row r="38" spans="1:60" ht="11.25" customHeight="1">
      <c r="A38" s="125"/>
      <c r="B38" s="471"/>
      <c r="C38" s="131"/>
      <c r="D38" s="481" t="str">
        <f>IF(Roster!$J$24="Italiano","ABILITÀ &amp; TRATTI",(IF(Roster!$J$24="Español","HABILIDADES Y RASGOS","SKILLS &amp; TRAITS")))</f>
        <v>SKILLS &amp; TRAITS</v>
      </c>
      <c r="E38" s="482"/>
      <c r="F38" s="482"/>
      <c r="G38" s="482"/>
      <c r="H38" s="482"/>
      <c r="I38" s="482"/>
      <c r="J38" s="482"/>
      <c r="K38" s="482"/>
      <c r="L38" s="482"/>
      <c r="M38" s="482"/>
      <c r="N38" s="483"/>
      <c r="O38" s="139"/>
      <c r="P38" s="125"/>
      <c r="Q38" s="471"/>
      <c r="R38" s="131"/>
      <c r="S38" s="481" t="str">
        <f>IF(Roster!$J$24="Italiano","ABILITÀ &amp; TRATTI",(IF(Roster!$J$24="Español","HABILIDADES Y RASGOS","SKILLS &amp; TRAITS")))</f>
        <v>SKILLS &amp; TRAITS</v>
      </c>
      <c r="T38" s="482"/>
      <c r="U38" s="482"/>
      <c r="V38" s="482"/>
      <c r="W38" s="482"/>
      <c r="X38" s="482"/>
      <c r="Y38" s="482"/>
      <c r="Z38" s="482"/>
      <c r="AA38" s="482"/>
      <c r="AB38" s="482"/>
      <c r="AC38" s="483"/>
      <c r="AD38" s="139"/>
      <c r="AE38" s="125"/>
      <c r="AF38" s="471"/>
      <c r="AG38" s="131"/>
      <c r="AH38" s="481" t="str">
        <f>IF(Roster!$J$24="Italiano","ABILITÀ &amp; TRATTI",(IF(Roster!$J$24="Español","HABILIDADES Y RASGOS","SKILLS &amp; TRAITS")))</f>
        <v>SKILLS &amp; TRAITS</v>
      </c>
      <c r="AI38" s="482"/>
      <c r="AJ38" s="482"/>
      <c r="AK38" s="482"/>
      <c r="AL38" s="482"/>
      <c r="AM38" s="482"/>
      <c r="AN38" s="482"/>
      <c r="AO38" s="482"/>
      <c r="AP38" s="482"/>
      <c r="AQ38" s="482"/>
      <c r="AR38" s="483"/>
      <c r="AS38" s="139"/>
      <c r="AT38" s="125"/>
      <c r="AU38" s="471"/>
      <c r="AV38" s="131"/>
      <c r="AW38" s="481" t="str">
        <f>IF(Roster!$J$24="Italiano","ABILITÀ &amp; TRATTI",(IF(Roster!$J$24="Español","HABILIDADES Y RASGOS","SKILLS &amp; TRAITS")))</f>
        <v>SKILLS &amp; TRAITS</v>
      </c>
      <c r="AX38" s="482"/>
      <c r="AY38" s="482"/>
      <c r="AZ38" s="482"/>
      <c r="BA38" s="482"/>
      <c r="BB38" s="482"/>
      <c r="BC38" s="482"/>
      <c r="BD38" s="482"/>
      <c r="BE38" s="482"/>
      <c r="BF38" s="482"/>
      <c r="BG38" s="483"/>
      <c r="BH38" s="139"/>
    </row>
    <row r="39" spans="1:60" ht="15" customHeight="1">
      <c r="A39" s="125"/>
      <c r="B39" s="471"/>
      <c r="C39" s="134"/>
      <c r="D39" s="484" t="str">
        <f>IF(Roster!$O$5=0,"",Roster!$O$5&amp;Roster!BF5)</f>
        <v>Block, Foul Appearance, No Hands, Regeneration, Side Step</v>
      </c>
      <c r="E39" s="448"/>
      <c r="F39" s="448"/>
      <c r="G39" s="448"/>
      <c r="H39" s="448"/>
      <c r="I39" s="448"/>
      <c r="J39" s="448"/>
      <c r="K39" s="448"/>
      <c r="L39" s="448"/>
      <c r="M39" s="448"/>
      <c r="N39" s="485"/>
      <c r="O39" s="139"/>
      <c r="P39" s="125"/>
      <c r="Q39" s="471"/>
      <c r="R39" s="134"/>
      <c r="S39" s="484" t="str">
        <f>IF(Roster!$O$6=0,"",Roster!$O$6&amp;Roster!BF6)</f>
        <v>Claws, Frenzy, Regeneration, Block</v>
      </c>
      <c r="T39" s="448"/>
      <c r="U39" s="448"/>
      <c r="V39" s="448"/>
      <c r="W39" s="448"/>
      <c r="X39" s="448"/>
      <c r="Y39" s="448"/>
      <c r="Z39" s="448"/>
      <c r="AA39" s="448"/>
      <c r="AB39" s="448"/>
      <c r="AC39" s="485"/>
      <c r="AD39" s="139"/>
      <c r="AE39" s="125"/>
      <c r="AF39" s="471"/>
      <c r="AG39" s="134"/>
      <c r="AH39" s="484" t="str">
        <f>IF(Roster!$O$7=0,"",Roster!$O$7&amp;Roster!BF7)</f>
        <v>Claws, Frenzy, Regeneration, Block</v>
      </c>
      <c r="AI39" s="448"/>
      <c r="AJ39" s="448"/>
      <c r="AK39" s="448"/>
      <c r="AL39" s="448"/>
      <c r="AM39" s="448"/>
      <c r="AN39" s="448"/>
      <c r="AO39" s="448"/>
      <c r="AP39" s="448"/>
      <c r="AQ39" s="448"/>
      <c r="AR39" s="485"/>
      <c r="AS39" s="139"/>
      <c r="AT39" s="125"/>
      <c r="AU39" s="471"/>
      <c r="AV39" s="134"/>
      <c r="AW39" s="484" t="str">
        <f>IF(Roster!$O$8=0,"",Roster!$O$8&amp;Roster!BF8)</f>
        <v>Dodge, Block</v>
      </c>
      <c r="AX39" s="448"/>
      <c r="AY39" s="448"/>
      <c r="AZ39" s="448"/>
      <c r="BA39" s="448"/>
      <c r="BB39" s="448"/>
      <c r="BC39" s="448"/>
      <c r="BD39" s="448"/>
      <c r="BE39" s="448"/>
      <c r="BF39" s="448"/>
      <c r="BG39" s="485"/>
      <c r="BH39" s="139"/>
    </row>
    <row r="40" spans="1:60" ht="4.5" customHeight="1">
      <c r="A40" s="125"/>
      <c r="B40" s="472"/>
      <c r="C40" s="134"/>
      <c r="D40" s="476"/>
      <c r="E40" s="357"/>
      <c r="F40" s="357"/>
      <c r="G40" s="357"/>
      <c r="H40" s="357"/>
      <c r="I40" s="357"/>
      <c r="J40" s="357"/>
      <c r="K40" s="357"/>
      <c r="L40" s="357"/>
      <c r="M40" s="357"/>
      <c r="N40" s="477"/>
      <c r="O40" s="139"/>
      <c r="P40" s="125"/>
      <c r="Q40" s="472"/>
      <c r="R40" s="134"/>
      <c r="S40" s="476"/>
      <c r="T40" s="357"/>
      <c r="U40" s="357"/>
      <c r="V40" s="357"/>
      <c r="W40" s="357"/>
      <c r="X40" s="357"/>
      <c r="Y40" s="357"/>
      <c r="Z40" s="357"/>
      <c r="AA40" s="357"/>
      <c r="AB40" s="357"/>
      <c r="AC40" s="477"/>
      <c r="AD40" s="139"/>
      <c r="AE40" s="125"/>
      <c r="AF40" s="472"/>
      <c r="AG40" s="134"/>
      <c r="AH40" s="476"/>
      <c r="AI40" s="357"/>
      <c r="AJ40" s="357"/>
      <c r="AK40" s="357"/>
      <c r="AL40" s="357"/>
      <c r="AM40" s="357"/>
      <c r="AN40" s="357"/>
      <c r="AO40" s="357"/>
      <c r="AP40" s="357"/>
      <c r="AQ40" s="357"/>
      <c r="AR40" s="477"/>
      <c r="AS40" s="139"/>
      <c r="AT40" s="125"/>
      <c r="AU40" s="472"/>
      <c r="AV40" s="134"/>
      <c r="AW40" s="476"/>
      <c r="AX40" s="357"/>
      <c r="AY40" s="357"/>
      <c r="AZ40" s="357"/>
      <c r="BA40" s="357"/>
      <c r="BB40" s="357"/>
      <c r="BC40" s="357"/>
      <c r="BD40" s="357"/>
      <c r="BE40" s="357"/>
      <c r="BF40" s="357"/>
      <c r="BG40" s="477"/>
      <c r="BH40" s="139"/>
    </row>
    <row r="41" spans="1:60" ht="11.25" customHeight="1">
      <c r="A41" s="125"/>
      <c r="B41" s="132" t="str">
        <f>IF(Roster!$N$1=0,"",Roster!$N$1)</f>
        <v>AV</v>
      </c>
      <c r="C41" s="133"/>
      <c r="D41" s="476"/>
      <c r="E41" s="357"/>
      <c r="F41" s="357"/>
      <c r="G41" s="357"/>
      <c r="H41" s="357"/>
      <c r="I41" s="357"/>
      <c r="J41" s="357"/>
      <c r="K41" s="357"/>
      <c r="L41" s="357"/>
      <c r="M41" s="357"/>
      <c r="N41" s="477"/>
      <c r="O41" s="128"/>
      <c r="P41" s="125"/>
      <c r="Q41" s="132" t="str">
        <f>IF(Roster!$N$1=0,"",Roster!$N$1)</f>
        <v>AV</v>
      </c>
      <c r="R41" s="133"/>
      <c r="S41" s="476"/>
      <c r="T41" s="357"/>
      <c r="U41" s="357"/>
      <c r="V41" s="357"/>
      <c r="W41" s="357"/>
      <c r="X41" s="357"/>
      <c r="Y41" s="357"/>
      <c r="Z41" s="357"/>
      <c r="AA41" s="357"/>
      <c r="AB41" s="357"/>
      <c r="AC41" s="477"/>
      <c r="AD41" s="128"/>
      <c r="AE41" s="125"/>
      <c r="AF41" s="132" t="str">
        <f>IF(Roster!$N$1=0,"",Roster!$N$1)</f>
        <v>AV</v>
      </c>
      <c r="AG41" s="133"/>
      <c r="AH41" s="476"/>
      <c r="AI41" s="357"/>
      <c r="AJ41" s="357"/>
      <c r="AK41" s="357"/>
      <c r="AL41" s="357"/>
      <c r="AM41" s="357"/>
      <c r="AN41" s="357"/>
      <c r="AO41" s="357"/>
      <c r="AP41" s="357"/>
      <c r="AQ41" s="357"/>
      <c r="AR41" s="477"/>
      <c r="AS41" s="128"/>
      <c r="AT41" s="125"/>
      <c r="AU41" s="132" t="str">
        <f>IF(Roster!$N$1=0,"",Roster!$N$1)</f>
        <v>AV</v>
      </c>
      <c r="AV41" s="133"/>
      <c r="AW41" s="476"/>
      <c r="AX41" s="357"/>
      <c r="AY41" s="357"/>
      <c r="AZ41" s="357"/>
      <c r="BA41" s="357"/>
      <c r="BB41" s="357"/>
      <c r="BC41" s="357"/>
      <c r="BD41" s="357"/>
      <c r="BE41" s="357"/>
      <c r="BF41" s="357"/>
      <c r="BG41" s="477"/>
      <c r="BH41" s="128"/>
    </row>
    <row r="42" spans="1:60" ht="15" customHeight="1">
      <c r="A42" s="125"/>
      <c r="B42" s="470" t="str">
        <f>IF(Roster!$N$5=0&amp;"+","",Roster!$N$5)</f>
        <v>9+</v>
      </c>
      <c r="C42" s="134"/>
      <c r="D42" s="476"/>
      <c r="E42" s="357"/>
      <c r="F42" s="357"/>
      <c r="G42" s="357"/>
      <c r="H42" s="357"/>
      <c r="I42" s="357"/>
      <c r="J42" s="357"/>
      <c r="K42" s="357"/>
      <c r="L42" s="357"/>
      <c r="M42" s="357"/>
      <c r="N42" s="477"/>
      <c r="O42" s="140"/>
      <c r="P42" s="125"/>
      <c r="Q42" s="470" t="str">
        <f>IF(Roster!$N$6=0&amp;"+","",Roster!$N$6)</f>
        <v>9+</v>
      </c>
      <c r="R42" s="134"/>
      <c r="S42" s="476"/>
      <c r="T42" s="357"/>
      <c r="U42" s="357"/>
      <c r="V42" s="357"/>
      <c r="W42" s="357"/>
      <c r="X42" s="357"/>
      <c r="Y42" s="357"/>
      <c r="Z42" s="357"/>
      <c r="AA42" s="357"/>
      <c r="AB42" s="357"/>
      <c r="AC42" s="477"/>
      <c r="AD42" s="140"/>
      <c r="AE42" s="125"/>
      <c r="AF42" s="470" t="str">
        <f>IF(Roster!$N$7=0&amp;"+","",Roster!$N$7)</f>
        <v>9+</v>
      </c>
      <c r="AG42" s="134"/>
      <c r="AH42" s="476"/>
      <c r="AI42" s="357"/>
      <c r="AJ42" s="357"/>
      <c r="AK42" s="357"/>
      <c r="AL42" s="357"/>
      <c r="AM42" s="357"/>
      <c r="AN42" s="357"/>
      <c r="AO42" s="357"/>
      <c r="AP42" s="357"/>
      <c r="AQ42" s="357"/>
      <c r="AR42" s="477"/>
      <c r="AS42" s="140"/>
      <c r="AT42" s="125"/>
      <c r="AU42" s="470" t="str">
        <f>IF(Roster!$N$8=0&amp;"+","",Roster!$N$8)</f>
        <v>8+</v>
      </c>
      <c r="AV42" s="134"/>
      <c r="AW42" s="476"/>
      <c r="AX42" s="357"/>
      <c r="AY42" s="357"/>
      <c r="AZ42" s="357"/>
      <c r="BA42" s="357"/>
      <c r="BB42" s="357"/>
      <c r="BC42" s="357"/>
      <c r="BD42" s="357"/>
      <c r="BE42" s="357"/>
      <c r="BF42" s="357"/>
      <c r="BG42" s="477"/>
      <c r="BH42" s="140"/>
    </row>
    <row r="43" spans="1:60" ht="4.5" customHeight="1">
      <c r="A43" s="125"/>
      <c r="B43" s="471"/>
      <c r="C43" s="134"/>
      <c r="D43" s="476"/>
      <c r="E43" s="357"/>
      <c r="F43" s="357"/>
      <c r="G43" s="357"/>
      <c r="H43" s="357"/>
      <c r="I43" s="357"/>
      <c r="J43" s="357"/>
      <c r="K43" s="357"/>
      <c r="L43" s="357"/>
      <c r="M43" s="357"/>
      <c r="N43" s="477"/>
      <c r="O43" s="140"/>
      <c r="P43" s="125"/>
      <c r="Q43" s="471"/>
      <c r="R43" s="134"/>
      <c r="S43" s="476"/>
      <c r="T43" s="357"/>
      <c r="U43" s="357"/>
      <c r="V43" s="357"/>
      <c r="W43" s="357"/>
      <c r="X43" s="357"/>
      <c r="Y43" s="357"/>
      <c r="Z43" s="357"/>
      <c r="AA43" s="357"/>
      <c r="AB43" s="357"/>
      <c r="AC43" s="477"/>
      <c r="AD43" s="140"/>
      <c r="AE43" s="125"/>
      <c r="AF43" s="471"/>
      <c r="AG43" s="134"/>
      <c r="AH43" s="476"/>
      <c r="AI43" s="357"/>
      <c r="AJ43" s="357"/>
      <c r="AK43" s="357"/>
      <c r="AL43" s="357"/>
      <c r="AM43" s="357"/>
      <c r="AN43" s="357"/>
      <c r="AO43" s="357"/>
      <c r="AP43" s="357"/>
      <c r="AQ43" s="357"/>
      <c r="AR43" s="477"/>
      <c r="AS43" s="140"/>
      <c r="AT43" s="125"/>
      <c r="AU43" s="471"/>
      <c r="AV43" s="134"/>
      <c r="AW43" s="476"/>
      <c r="AX43" s="357"/>
      <c r="AY43" s="357"/>
      <c r="AZ43" s="357"/>
      <c r="BA43" s="357"/>
      <c r="BB43" s="357"/>
      <c r="BC43" s="357"/>
      <c r="BD43" s="357"/>
      <c r="BE43" s="357"/>
      <c r="BF43" s="357"/>
      <c r="BG43" s="477"/>
      <c r="BH43" s="140"/>
    </row>
    <row r="44" spans="1:60" ht="11.25" customHeight="1">
      <c r="A44" s="125"/>
      <c r="B44" s="471"/>
      <c r="C44" s="134"/>
      <c r="D44" s="476"/>
      <c r="E44" s="357"/>
      <c r="F44" s="357"/>
      <c r="G44" s="357"/>
      <c r="H44" s="357"/>
      <c r="I44" s="357"/>
      <c r="J44" s="357"/>
      <c r="K44" s="357"/>
      <c r="L44" s="357"/>
      <c r="M44" s="357"/>
      <c r="N44" s="477"/>
      <c r="O44" s="140"/>
      <c r="P44" s="125"/>
      <c r="Q44" s="471"/>
      <c r="R44" s="134"/>
      <c r="S44" s="476"/>
      <c r="T44" s="357"/>
      <c r="U44" s="357"/>
      <c r="V44" s="357"/>
      <c r="W44" s="357"/>
      <c r="X44" s="357"/>
      <c r="Y44" s="357"/>
      <c r="Z44" s="357"/>
      <c r="AA44" s="357"/>
      <c r="AB44" s="357"/>
      <c r="AC44" s="477"/>
      <c r="AD44" s="140"/>
      <c r="AE44" s="125"/>
      <c r="AF44" s="471"/>
      <c r="AG44" s="134"/>
      <c r="AH44" s="476"/>
      <c r="AI44" s="357"/>
      <c r="AJ44" s="357"/>
      <c r="AK44" s="357"/>
      <c r="AL44" s="357"/>
      <c r="AM44" s="357"/>
      <c r="AN44" s="357"/>
      <c r="AO44" s="357"/>
      <c r="AP44" s="357"/>
      <c r="AQ44" s="357"/>
      <c r="AR44" s="477"/>
      <c r="AS44" s="140"/>
      <c r="AT44" s="125"/>
      <c r="AU44" s="471"/>
      <c r="AV44" s="134"/>
      <c r="AW44" s="476"/>
      <c r="AX44" s="357"/>
      <c r="AY44" s="357"/>
      <c r="AZ44" s="357"/>
      <c r="BA44" s="357"/>
      <c r="BB44" s="357"/>
      <c r="BC44" s="357"/>
      <c r="BD44" s="357"/>
      <c r="BE44" s="357"/>
      <c r="BF44" s="357"/>
      <c r="BG44" s="477"/>
      <c r="BH44" s="140"/>
    </row>
    <row r="45" spans="1:60" ht="6.75" customHeight="1">
      <c r="A45" s="125"/>
      <c r="B45" s="472"/>
      <c r="C45" s="134"/>
      <c r="D45" s="476"/>
      <c r="E45" s="357"/>
      <c r="F45" s="357"/>
      <c r="G45" s="357"/>
      <c r="H45" s="357"/>
      <c r="I45" s="357"/>
      <c r="J45" s="357"/>
      <c r="K45" s="357"/>
      <c r="L45" s="357"/>
      <c r="M45" s="357"/>
      <c r="N45" s="477"/>
      <c r="O45" s="140"/>
      <c r="P45" s="125"/>
      <c r="Q45" s="472"/>
      <c r="R45" s="134"/>
      <c r="S45" s="476"/>
      <c r="T45" s="357"/>
      <c r="U45" s="357"/>
      <c r="V45" s="357"/>
      <c r="W45" s="357"/>
      <c r="X45" s="357"/>
      <c r="Y45" s="357"/>
      <c r="Z45" s="357"/>
      <c r="AA45" s="357"/>
      <c r="AB45" s="357"/>
      <c r="AC45" s="477"/>
      <c r="AD45" s="140"/>
      <c r="AE45" s="125"/>
      <c r="AF45" s="472"/>
      <c r="AG45" s="134"/>
      <c r="AH45" s="476"/>
      <c r="AI45" s="357"/>
      <c r="AJ45" s="357"/>
      <c r="AK45" s="357"/>
      <c r="AL45" s="357"/>
      <c r="AM45" s="357"/>
      <c r="AN45" s="357"/>
      <c r="AO45" s="357"/>
      <c r="AP45" s="357"/>
      <c r="AQ45" s="357"/>
      <c r="AR45" s="477"/>
      <c r="AS45" s="140"/>
      <c r="AT45" s="125"/>
      <c r="AU45" s="472"/>
      <c r="AV45" s="134"/>
      <c r="AW45" s="476"/>
      <c r="AX45" s="357"/>
      <c r="AY45" s="357"/>
      <c r="AZ45" s="357"/>
      <c r="BA45" s="357"/>
      <c r="BB45" s="357"/>
      <c r="BC45" s="357"/>
      <c r="BD45" s="357"/>
      <c r="BE45" s="357"/>
      <c r="BF45" s="357"/>
      <c r="BG45" s="477"/>
      <c r="BH45" s="140"/>
    </row>
    <row r="46" spans="1:60" ht="11.25" customHeight="1">
      <c r="A46" s="125"/>
      <c r="B46" s="132" t="str">
        <f>IF(Roster!$AN$1=0,"",Roster!$AN$1)</f>
        <v>COST</v>
      </c>
      <c r="C46" s="133"/>
      <c r="D46" s="476"/>
      <c r="E46" s="357"/>
      <c r="F46" s="357"/>
      <c r="G46" s="357"/>
      <c r="H46" s="357"/>
      <c r="I46" s="357"/>
      <c r="J46" s="357"/>
      <c r="K46" s="357"/>
      <c r="L46" s="357"/>
      <c r="M46" s="357"/>
      <c r="N46" s="477"/>
      <c r="O46" s="143"/>
      <c r="P46" s="125"/>
      <c r="Q46" s="132" t="str">
        <f>IF(Roster!$AN$1=0,"",Roster!$AN$1)</f>
        <v>COST</v>
      </c>
      <c r="R46" s="133"/>
      <c r="S46" s="476"/>
      <c r="T46" s="357"/>
      <c r="U46" s="357"/>
      <c r="V46" s="357"/>
      <c r="W46" s="357"/>
      <c r="X46" s="357"/>
      <c r="Y46" s="357"/>
      <c r="Z46" s="357"/>
      <c r="AA46" s="357"/>
      <c r="AB46" s="357"/>
      <c r="AC46" s="477"/>
      <c r="AD46" s="143"/>
      <c r="AE46" s="125"/>
      <c r="AF46" s="132" t="str">
        <f>IF(Roster!$AN$1=0,"",Roster!$AN$1)</f>
        <v>COST</v>
      </c>
      <c r="AG46" s="133"/>
      <c r="AH46" s="476"/>
      <c r="AI46" s="357"/>
      <c r="AJ46" s="357"/>
      <c r="AK46" s="357"/>
      <c r="AL46" s="357"/>
      <c r="AM46" s="357"/>
      <c r="AN46" s="357"/>
      <c r="AO46" s="357"/>
      <c r="AP46" s="357"/>
      <c r="AQ46" s="357"/>
      <c r="AR46" s="477"/>
      <c r="AS46" s="143"/>
      <c r="AT46" s="125"/>
      <c r="AU46" s="132" t="str">
        <f>IF(Roster!$AN$1=0,"",Roster!$AN$1)</f>
        <v>COST</v>
      </c>
      <c r="AV46" s="133"/>
      <c r="AW46" s="476"/>
      <c r="AX46" s="357"/>
      <c r="AY46" s="357"/>
      <c r="AZ46" s="357"/>
      <c r="BA46" s="357"/>
      <c r="BB46" s="357"/>
      <c r="BC46" s="357"/>
      <c r="BD46" s="357"/>
      <c r="BE46" s="357"/>
      <c r="BF46" s="357"/>
      <c r="BG46" s="477"/>
      <c r="BH46" s="143"/>
    </row>
    <row r="47" spans="1:60" ht="34.5" customHeight="1">
      <c r="A47" s="125"/>
      <c r="B47" s="145">
        <f>IF(Roster!$AN$5=0,"",Roster!$AN$5)</f>
        <v>95000</v>
      </c>
      <c r="C47" s="146"/>
      <c r="D47" s="478"/>
      <c r="E47" s="479"/>
      <c r="F47" s="479"/>
      <c r="G47" s="479"/>
      <c r="H47" s="479"/>
      <c r="I47" s="479"/>
      <c r="J47" s="479"/>
      <c r="K47" s="479"/>
      <c r="L47" s="479"/>
      <c r="M47" s="479"/>
      <c r="N47" s="480"/>
      <c r="O47" s="143"/>
      <c r="P47" s="125"/>
      <c r="Q47" s="145">
        <f>IF(Roster!$AN$6=0,"",Roster!$AN$6)</f>
        <v>125000</v>
      </c>
      <c r="R47" s="146"/>
      <c r="S47" s="478"/>
      <c r="T47" s="479"/>
      <c r="U47" s="479"/>
      <c r="V47" s="479"/>
      <c r="W47" s="479"/>
      <c r="X47" s="479"/>
      <c r="Y47" s="479"/>
      <c r="Z47" s="479"/>
      <c r="AA47" s="479"/>
      <c r="AB47" s="479"/>
      <c r="AC47" s="480"/>
      <c r="AD47" s="143"/>
      <c r="AE47" s="125"/>
      <c r="AF47" s="145">
        <f>IF(Roster!$AN$7=0,"",Roster!$AN$7)</f>
        <v>125000</v>
      </c>
      <c r="AG47" s="146"/>
      <c r="AH47" s="478"/>
      <c r="AI47" s="479"/>
      <c r="AJ47" s="479"/>
      <c r="AK47" s="479"/>
      <c r="AL47" s="479"/>
      <c r="AM47" s="479"/>
      <c r="AN47" s="479"/>
      <c r="AO47" s="479"/>
      <c r="AP47" s="479"/>
      <c r="AQ47" s="479"/>
      <c r="AR47" s="480"/>
      <c r="AS47" s="143"/>
      <c r="AT47" s="125"/>
      <c r="AU47" s="145">
        <f>IF(Roster!$AN$8=0,"",Roster!$AN$8)</f>
        <v>75000</v>
      </c>
      <c r="AV47" s="146"/>
      <c r="AW47" s="478"/>
      <c r="AX47" s="479"/>
      <c r="AY47" s="479"/>
      <c r="AZ47" s="479"/>
      <c r="BA47" s="479"/>
      <c r="BB47" s="479"/>
      <c r="BC47" s="479"/>
      <c r="BD47" s="479"/>
      <c r="BE47" s="479"/>
      <c r="BF47" s="479"/>
      <c r="BG47" s="480"/>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90" t="str">
        <f>IF(Roster!$A$9=0,"","#"&amp;Roster!$A$9)</f>
        <v>#8</v>
      </c>
      <c r="C50" s="126"/>
      <c r="D50" s="126"/>
      <c r="E50" s="126"/>
      <c r="F50" s="126"/>
      <c r="G50" s="126"/>
      <c r="H50" s="126"/>
      <c r="I50" s="126"/>
      <c r="J50" s="126"/>
      <c r="K50" s="126"/>
      <c r="L50" s="126"/>
      <c r="M50" s="126"/>
      <c r="N50" s="126"/>
      <c r="O50" s="127"/>
      <c r="P50" s="125"/>
      <c r="Q50" s="490" t="str">
        <f>IF(Roster!$A$10=0,"","#"&amp;Roster!$A$10)</f>
        <v>#9</v>
      </c>
      <c r="R50" s="126"/>
      <c r="S50" s="126"/>
      <c r="T50" s="126"/>
      <c r="U50" s="126"/>
      <c r="V50" s="126"/>
      <c r="W50" s="126"/>
      <c r="X50" s="126"/>
      <c r="Y50" s="126"/>
      <c r="Z50" s="126"/>
      <c r="AA50" s="126"/>
      <c r="AB50" s="126"/>
      <c r="AC50" s="126"/>
      <c r="AD50" s="127"/>
      <c r="AE50" s="125"/>
      <c r="AF50" s="490" t="str">
        <f>IF(Roster!$A$11=0,"","#"&amp;Roster!$A$11)</f>
        <v>#10</v>
      </c>
      <c r="AG50" s="126"/>
      <c r="AH50" s="126"/>
      <c r="AI50" s="126"/>
      <c r="AJ50" s="126"/>
      <c r="AK50" s="126"/>
      <c r="AL50" s="126"/>
      <c r="AM50" s="126"/>
      <c r="AN50" s="126"/>
      <c r="AO50" s="126"/>
      <c r="AP50" s="126"/>
      <c r="AQ50" s="126"/>
      <c r="AR50" s="126"/>
      <c r="AS50" s="127"/>
      <c r="AT50" s="125"/>
      <c r="AU50" s="490" t="str">
        <f>IF(Roster!$A$12=0,"","#"&amp;Roster!$A$12)</f>
        <v>#11</v>
      </c>
      <c r="AV50" s="126"/>
      <c r="AW50" s="126"/>
      <c r="AX50" s="126"/>
      <c r="AY50" s="126"/>
      <c r="AZ50" s="126"/>
      <c r="BA50" s="126"/>
      <c r="BB50" s="126"/>
      <c r="BC50" s="126"/>
      <c r="BD50" s="126"/>
      <c r="BE50" s="126"/>
      <c r="BF50" s="126"/>
      <c r="BG50" s="126"/>
      <c r="BH50" s="127"/>
    </row>
    <row r="51" spans="1:60" ht="15" customHeight="1">
      <c r="A51" s="125"/>
      <c r="B51" s="491"/>
      <c r="C51" s="473" t="str">
        <f>IF(Roster!$B$9=0,"",Roster!$B$9)</f>
        <v>Bangkok</v>
      </c>
      <c r="D51" s="395"/>
      <c r="E51" s="395"/>
      <c r="F51" s="395"/>
      <c r="G51" s="395"/>
      <c r="H51" s="395"/>
      <c r="I51" s="395"/>
      <c r="J51" s="395"/>
      <c r="K51" s="395"/>
      <c r="L51" s="395"/>
      <c r="M51" s="395"/>
      <c r="N51" s="396"/>
      <c r="O51" s="128"/>
      <c r="P51" s="125"/>
      <c r="Q51" s="491"/>
      <c r="R51" s="473" t="str">
        <f>IF(Roster!$B$10=0,"",Roster!$B$10)</f>
        <v>Ghidora Rubote</v>
      </c>
      <c r="S51" s="395"/>
      <c r="T51" s="395"/>
      <c r="U51" s="395"/>
      <c r="V51" s="395"/>
      <c r="W51" s="395"/>
      <c r="X51" s="395"/>
      <c r="Y51" s="395"/>
      <c r="Z51" s="395"/>
      <c r="AA51" s="395"/>
      <c r="AB51" s="395"/>
      <c r="AC51" s="396"/>
      <c r="AD51" s="128"/>
      <c r="AE51" s="125"/>
      <c r="AF51" s="491"/>
      <c r="AG51" s="473" t="e">
        <f>IF(Roster!#REF!=0,"",Roster!#REF!)</f>
        <v>#REF!</v>
      </c>
      <c r="AH51" s="395"/>
      <c r="AI51" s="395"/>
      <c r="AJ51" s="395"/>
      <c r="AK51" s="395"/>
      <c r="AL51" s="395"/>
      <c r="AM51" s="395"/>
      <c r="AN51" s="395"/>
      <c r="AO51" s="395"/>
      <c r="AP51" s="395"/>
      <c r="AQ51" s="395"/>
      <c r="AR51" s="396"/>
      <c r="AS51" s="128"/>
      <c r="AT51" s="125"/>
      <c r="AU51" s="491"/>
      <c r="AV51" s="473" t="str">
        <f>IF(Roster!$B$12=0,"",Roster!$B$12)</f>
        <v>Skara Bokyo</v>
      </c>
      <c r="AW51" s="395"/>
      <c r="AX51" s="395"/>
      <c r="AY51" s="395"/>
      <c r="AZ51" s="395"/>
      <c r="BA51" s="395"/>
      <c r="BB51" s="395"/>
      <c r="BC51" s="395"/>
      <c r="BD51" s="395"/>
      <c r="BE51" s="395"/>
      <c r="BF51" s="395"/>
      <c r="BG51" s="396"/>
      <c r="BH51" s="128"/>
    </row>
    <row r="52" spans="1:60" ht="11.25" customHeight="1">
      <c r="A52" s="125"/>
      <c r="B52" s="492"/>
      <c r="C52" s="474" t="str">
        <f>IF(Roster!$C$9=0,"",Roster!$C$9)</f>
        <v>Ghoul</v>
      </c>
      <c r="D52" s="395"/>
      <c r="E52" s="395"/>
      <c r="F52" s="395"/>
      <c r="G52" s="395"/>
      <c r="H52" s="395"/>
      <c r="I52" s="395"/>
      <c r="J52" s="395"/>
      <c r="K52" s="395"/>
      <c r="L52" s="395"/>
      <c r="M52" s="395"/>
      <c r="N52" s="396"/>
      <c r="O52" s="129"/>
      <c r="P52" s="125"/>
      <c r="Q52" s="492"/>
      <c r="R52" s="474" t="str">
        <f>IF(Roster!$C$10=0,"",Roster!$C$10)</f>
        <v>Zombie</v>
      </c>
      <c r="S52" s="395"/>
      <c r="T52" s="395"/>
      <c r="U52" s="395"/>
      <c r="V52" s="395"/>
      <c r="W52" s="395"/>
      <c r="X52" s="395"/>
      <c r="Y52" s="395"/>
      <c r="Z52" s="395"/>
      <c r="AA52" s="395"/>
      <c r="AB52" s="395"/>
      <c r="AC52" s="396"/>
      <c r="AD52" s="129"/>
      <c r="AE52" s="125"/>
      <c r="AF52" s="492"/>
      <c r="AG52" s="474" t="str">
        <f>IF(Roster!$C$11=0,"",Roster!$C$11)</f>
        <v>Zombie</v>
      </c>
      <c r="AH52" s="395"/>
      <c r="AI52" s="395"/>
      <c r="AJ52" s="395"/>
      <c r="AK52" s="395"/>
      <c r="AL52" s="395"/>
      <c r="AM52" s="395"/>
      <c r="AN52" s="395"/>
      <c r="AO52" s="395"/>
      <c r="AP52" s="395"/>
      <c r="AQ52" s="395"/>
      <c r="AR52" s="396"/>
      <c r="AS52" s="129"/>
      <c r="AT52" s="125"/>
      <c r="AU52" s="492"/>
      <c r="AV52" s="474" t="str">
        <f>IF(Roster!$C$12=0,"",Roster!$C$12)</f>
        <v>Zombie</v>
      </c>
      <c r="AW52" s="395"/>
      <c r="AX52" s="395"/>
      <c r="AY52" s="395"/>
      <c r="AZ52" s="395"/>
      <c r="BA52" s="395"/>
      <c r="BB52" s="395"/>
      <c r="BC52" s="395"/>
      <c r="BD52" s="395"/>
      <c r="BE52" s="395"/>
      <c r="BF52" s="395"/>
      <c r="BG52" s="396"/>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f>IF(Roster!$J$9=0,"",Roster!$J$9)</f>
        <v>7</v>
      </c>
      <c r="C54" s="133"/>
      <c r="D54" s="475"/>
      <c r="E54" s="308"/>
      <c r="F54" s="308"/>
      <c r="G54" s="308"/>
      <c r="H54" s="308"/>
      <c r="I54" s="308"/>
      <c r="J54" s="308"/>
      <c r="K54" s="308"/>
      <c r="L54" s="308"/>
      <c r="M54" s="308"/>
      <c r="N54" s="309"/>
      <c r="O54" s="128"/>
      <c r="P54" s="125"/>
      <c r="Q54" s="135">
        <f>IF(Roster!$J$10=0,"",Roster!$J$10)</f>
        <v>4</v>
      </c>
      <c r="R54" s="133"/>
      <c r="S54" s="475"/>
      <c r="T54" s="308"/>
      <c r="U54" s="308"/>
      <c r="V54" s="308"/>
      <c r="W54" s="308"/>
      <c r="X54" s="308"/>
      <c r="Y54" s="308"/>
      <c r="Z54" s="308"/>
      <c r="AA54" s="308"/>
      <c r="AB54" s="308"/>
      <c r="AC54" s="309"/>
      <c r="AD54" s="128"/>
      <c r="AE54" s="125"/>
      <c r="AF54" s="135">
        <f>IF(Roster!$J$11=0,"",Roster!$J$11)</f>
        <v>4</v>
      </c>
      <c r="AG54" s="133"/>
      <c r="AH54" s="475"/>
      <c r="AI54" s="308"/>
      <c r="AJ54" s="308"/>
      <c r="AK54" s="308"/>
      <c r="AL54" s="308"/>
      <c r="AM54" s="308"/>
      <c r="AN54" s="308"/>
      <c r="AO54" s="308"/>
      <c r="AP54" s="308"/>
      <c r="AQ54" s="308"/>
      <c r="AR54" s="309"/>
      <c r="AS54" s="128"/>
      <c r="AT54" s="125"/>
      <c r="AU54" s="135">
        <f>IF(Roster!$J$12=0,"",Roster!$J$12)</f>
        <v>4</v>
      </c>
      <c r="AV54" s="133"/>
      <c r="AW54" s="475"/>
      <c r="AX54" s="308"/>
      <c r="AY54" s="308"/>
      <c r="AZ54" s="308"/>
      <c r="BA54" s="308"/>
      <c r="BB54" s="308"/>
      <c r="BC54" s="308"/>
      <c r="BD54" s="308"/>
      <c r="BE54" s="308"/>
      <c r="BF54" s="308"/>
      <c r="BG54" s="309"/>
      <c r="BH54" s="128"/>
    </row>
    <row r="55" spans="1:60" ht="11.25" customHeight="1">
      <c r="A55" s="125"/>
      <c r="B55" s="132" t="str">
        <f>IF(Roster!$K$1=0,"",Roster!$K$1)</f>
        <v>ST</v>
      </c>
      <c r="C55" s="133"/>
      <c r="D55" s="476"/>
      <c r="E55" s="357"/>
      <c r="F55" s="357"/>
      <c r="G55" s="357"/>
      <c r="H55" s="357"/>
      <c r="I55" s="357"/>
      <c r="J55" s="357"/>
      <c r="K55" s="357"/>
      <c r="L55" s="357"/>
      <c r="M55" s="357"/>
      <c r="N55" s="477"/>
      <c r="O55" s="128"/>
      <c r="P55" s="125"/>
      <c r="Q55" s="132" t="str">
        <f>IF(Roster!$K$1=0,"",Roster!$K$1)</f>
        <v>ST</v>
      </c>
      <c r="R55" s="133"/>
      <c r="S55" s="476"/>
      <c r="T55" s="357"/>
      <c r="U55" s="357"/>
      <c r="V55" s="357"/>
      <c r="W55" s="357"/>
      <c r="X55" s="357"/>
      <c r="Y55" s="357"/>
      <c r="Z55" s="357"/>
      <c r="AA55" s="357"/>
      <c r="AB55" s="357"/>
      <c r="AC55" s="477"/>
      <c r="AD55" s="128"/>
      <c r="AE55" s="125"/>
      <c r="AF55" s="132" t="str">
        <f>IF(Roster!$K$1=0,"",Roster!$K$1)</f>
        <v>ST</v>
      </c>
      <c r="AG55" s="133"/>
      <c r="AH55" s="476"/>
      <c r="AI55" s="357"/>
      <c r="AJ55" s="357"/>
      <c r="AK55" s="357"/>
      <c r="AL55" s="357"/>
      <c r="AM55" s="357"/>
      <c r="AN55" s="357"/>
      <c r="AO55" s="357"/>
      <c r="AP55" s="357"/>
      <c r="AQ55" s="357"/>
      <c r="AR55" s="477"/>
      <c r="AS55" s="128"/>
      <c r="AT55" s="125"/>
      <c r="AU55" s="132" t="str">
        <f>IF(Roster!$K$1=0,"",Roster!$K$1)</f>
        <v>ST</v>
      </c>
      <c r="AV55" s="133"/>
      <c r="AW55" s="476"/>
      <c r="AX55" s="357"/>
      <c r="AY55" s="357"/>
      <c r="AZ55" s="357"/>
      <c r="BA55" s="357"/>
      <c r="BB55" s="357"/>
      <c r="BC55" s="357"/>
      <c r="BD55" s="357"/>
      <c r="BE55" s="357"/>
      <c r="BF55" s="357"/>
      <c r="BG55" s="477"/>
      <c r="BH55" s="128"/>
    </row>
    <row r="56" spans="1:60" ht="37.5" customHeight="1">
      <c r="A56" s="125"/>
      <c r="B56" s="135">
        <f>IF(Roster!$K$9=0,"",Roster!$K$9)</f>
        <v>3</v>
      </c>
      <c r="C56" s="133"/>
      <c r="D56" s="476"/>
      <c r="E56" s="357"/>
      <c r="F56" s="357"/>
      <c r="G56" s="357"/>
      <c r="H56" s="357"/>
      <c r="I56" s="357"/>
      <c r="J56" s="357"/>
      <c r="K56" s="357"/>
      <c r="L56" s="357"/>
      <c r="M56" s="357"/>
      <c r="N56" s="477"/>
      <c r="O56" s="128"/>
      <c r="P56" s="125"/>
      <c r="Q56" s="135">
        <f>IF(Roster!$K$10=0,"",Roster!$K$10)</f>
        <v>3</v>
      </c>
      <c r="R56" s="133"/>
      <c r="S56" s="476"/>
      <c r="T56" s="357"/>
      <c r="U56" s="357"/>
      <c r="V56" s="357"/>
      <c r="W56" s="357"/>
      <c r="X56" s="357"/>
      <c r="Y56" s="357"/>
      <c r="Z56" s="357"/>
      <c r="AA56" s="357"/>
      <c r="AB56" s="357"/>
      <c r="AC56" s="477"/>
      <c r="AD56" s="128"/>
      <c r="AE56" s="125"/>
      <c r="AF56" s="135">
        <f>IF(Roster!$K$11=0,"",Roster!$K$11)</f>
        <v>3</v>
      </c>
      <c r="AG56" s="133"/>
      <c r="AH56" s="476"/>
      <c r="AI56" s="357"/>
      <c r="AJ56" s="357"/>
      <c r="AK56" s="357"/>
      <c r="AL56" s="357"/>
      <c r="AM56" s="357"/>
      <c r="AN56" s="357"/>
      <c r="AO56" s="357"/>
      <c r="AP56" s="357"/>
      <c r="AQ56" s="357"/>
      <c r="AR56" s="477"/>
      <c r="AS56" s="128"/>
      <c r="AT56" s="125"/>
      <c r="AU56" s="135">
        <f>IF(Roster!$K$12=0,"",Roster!$K$12)</f>
        <v>3</v>
      </c>
      <c r="AV56" s="133"/>
      <c r="AW56" s="476"/>
      <c r="AX56" s="357"/>
      <c r="AY56" s="357"/>
      <c r="AZ56" s="357"/>
      <c r="BA56" s="357"/>
      <c r="BB56" s="357"/>
      <c r="BC56" s="357"/>
      <c r="BD56" s="357"/>
      <c r="BE56" s="357"/>
      <c r="BF56" s="357"/>
      <c r="BG56" s="477"/>
      <c r="BH56" s="128"/>
    </row>
    <row r="57" spans="1:60" ht="11.25" customHeight="1">
      <c r="A57" s="125"/>
      <c r="B57" s="132" t="str">
        <f>IF(Roster!$L$1=0,"",Roster!$L$1)</f>
        <v>AG</v>
      </c>
      <c r="C57" s="133"/>
      <c r="D57" s="476"/>
      <c r="E57" s="357"/>
      <c r="F57" s="357"/>
      <c r="G57" s="357"/>
      <c r="H57" s="357"/>
      <c r="I57" s="357"/>
      <c r="J57" s="357"/>
      <c r="K57" s="357"/>
      <c r="L57" s="357"/>
      <c r="M57" s="357"/>
      <c r="N57" s="477"/>
      <c r="O57" s="128"/>
      <c r="P57" s="125"/>
      <c r="Q57" s="132" t="str">
        <f>IF(Roster!$L$1=0,"",Roster!$L$1)</f>
        <v>AG</v>
      </c>
      <c r="R57" s="133"/>
      <c r="S57" s="476"/>
      <c r="T57" s="357"/>
      <c r="U57" s="357"/>
      <c r="V57" s="357"/>
      <c r="W57" s="357"/>
      <c r="X57" s="357"/>
      <c r="Y57" s="357"/>
      <c r="Z57" s="357"/>
      <c r="AA57" s="357"/>
      <c r="AB57" s="357"/>
      <c r="AC57" s="477"/>
      <c r="AD57" s="128"/>
      <c r="AE57" s="125"/>
      <c r="AF57" s="132" t="str">
        <f>IF(Roster!$L$1=0,"",Roster!$L$1)</f>
        <v>AG</v>
      </c>
      <c r="AG57" s="133"/>
      <c r="AH57" s="476"/>
      <c r="AI57" s="357"/>
      <c r="AJ57" s="357"/>
      <c r="AK57" s="357"/>
      <c r="AL57" s="357"/>
      <c r="AM57" s="357"/>
      <c r="AN57" s="357"/>
      <c r="AO57" s="357"/>
      <c r="AP57" s="357"/>
      <c r="AQ57" s="357"/>
      <c r="AR57" s="477"/>
      <c r="AS57" s="128"/>
      <c r="AT57" s="125"/>
      <c r="AU57" s="132" t="str">
        <f>IF(Roster!$L$1=0,"",Roster!$L$1)</f>
        <v>AG</v>
      </c>
      <c r="AV57" s="133"/>
      <c r="AW57" s="476"/>
      <c r="AX57" s="357"/>
      <c r="AY57" s="357"/>
      <c r="AZ57" s="357"/>
      <c r="BA57" s="357"/>
      <c r="BB57" s="357"/>
      <c r="BC57" s="357"/>
      <c r="BD57" s="357"/>
      <c r="BE57" s="357"/>
      <c r="BF57" s="357"/>
      <c r="BG57" s="477"/>
      <c r="BH57" s="128"/>
    </row>
    <row r="58" spans="1:60" ht="37.5" customHeight="1">
      <c r="A58" s="125"/>
      <c r="B58" s="135" t="str">
        <f>IF(Roster!$L$9=0&amp;"+","",Roster!$L$9)</f>
        <v>3+</v>
      </c>
      <c r="C58" s="133"/>
      <c r="D58" s="476"/>
      <c r="E58" s="357"/>
      <c r="F58" s="357"/>
      <c r="G58" s="357"/>
      <c r="H58" s="357"/>
      <c r="I58" s="357"/>
      <c r="J58" s="357"/>
      <c r="K58" s="357"/>
      <c r="L58" s="357"/>
      <c r="M58" s="357"/>
      <c r="N58" s="477"/>
      <c r="O58" s="128"/>
      <c r="P58" s="125"/>
      <c r="Q58" s="135" t="str">
        <f>IF(Roster!$L$10=0&amp;"+","",Roster!$L$10)</f>
        <v>4+</v>
      </c>
      <c r="R58" s="133"/>
      <c r="S58" s="476"/>
      <c r="T58" s="357"/>
      <c r="U58" s="357"/>
      <c r="V58" s="357"/>
      <c r="W58" s="357"/>
      <c r="X58" s="357"/>
      <c r="Y58" s="357"/>
      <c r="Z58" s="357"/>
      <c r="AA58" s="357"/>
      <c r="AB58" s="357"/>
      <c r="AC58" s="477"/>
      <c r="AD58" s="128"/>
      <c r="AE58" s="125"/>
      <c r="AF58" s="135" t="str">
        <f>IF(Roster!$L$11=0&amp;"+","",Roster!$L$11)</f>
        <v>4+</v>
      </c>
      <c r="AG58" s="133"/>
      <c r="AH58" s="476"/>
      <c r="AI58" s="357"/>
      <c r="AJ58" s="357"/>
      <c r="AK58" s="357"/>
      <c r="AL58" s="357"/>
      <c r="AM58" s="357"/>
      <c r="AN58" s="357"/>
      <c r="AO58" s="357"/>
      <c r="AP58" s="357"/>
      <c r="AQ58" s="357"/>
      <c r="AR58" s="477"/>
      <c r="AS58" s="128"/>
      <c r="AT58" s="125"/>
      <c r="AU58" s="135" t="str">
        <f>IF(Roster!$L$12=0&amp;"+","",Roster!$L$12)</f>
        <v>4+</v>
      </c>
      <c r="AV58" s="133"/>
      <c r="AW58" s="476"/>
      <c r="AX58" s="357"/>
      <c r="AY58" s="357"/>
      <c r="AZ58" s="357"/>
      <c r="BA58" s="357"/>
      <c r="BB58" s="357"/>
      <c r="BC58" s="357"/>
      <c r="BD58" s="357"/>
      <c r="BE58" s="357"/>
      <c r="BF58" s="357"/>
      <c r="BG58" s="477"/>
      <c r="BH58" s="128"/>
    </row>
    <row r="59" spans="1:60" ht="11.25" customHeight="1">
      <c r="A59" s="125"/>
      <c r="B59" s="132" t="str">
        <f>IF(Roster!$M$1=0,"",Roster!$M$1)</f>
        <v>PA</v>
      </c>
      <c r="C59" s="133"/>
      <c r="D59" s="476"/>
      <c r="E59" s="357"/>
      <c r="F59" s="357"/>
      <c r="G59" s="357"/>
      <c r="H59" s="357"/>
      <c r="I59" s="357"/>
      <c r="J59" s="357"/>
      <c r="K59" s="357"/>
      <c r="L59" s="357"/>
      <c r="M59" s="357"/>
      <c r="N59" s="477"/>
      <c r="O59" s="137"/>
      <c r="P59" s="125"/>
      <c r="Q59" s="132" t="str">
        <f>IF(Roster!$M$1=0,"",Roster!$M$1)</f>
        <v>PA</v>
      </c>
      <c r="R59" s="133"/>
      <c r="S59" s="476"/>
      <c r="T59" s="357"/>
      <c r="U59" s="357"/>
      <c r="V59" s="357"/>
      <c r="W59" s="357"/>
      <c r="X59" s="357"/>
      <c r="Y59" s="357"/>
      <c r="Z59" s="357"/>
      <c r="AA59" s="357"/>
      <c r="AB59" s="357"/>
      <c r="AC59" s="477"/>
      <c r="AD59" s="137"/>
      <c r="AE59" s="125"/>
      <c r="AF59" s="132" t="str">
        <f>IF(Roster!$M$1=0,"",Roster!$M$1)</f>
        <v>PA</v>
      </c>
      <c r="AG59" s="133"/>
      <c r="AH59" s="476"/>
      <c r="AI59" s="357"/>
      <c r="AJ59" s="357"/>
      <c r="AK59" s="357"/>
      <c r="AL59" s="357"/>
      <c r="AM59" s="357"/>
      <c r="AN59" s="357"/>
      <c r="AO59" s="357"/>
      <c r="AP59" s="357"/>
      <c r="AQ59" s="357"/>
      <c r="AR59" s="477"/>
      <c r="AS59" s="137"/>
      <c r="AT59" s="125"/>
      <c r="AU59" s="132" t="str">
        <f>IF(Roster!$M$1=0,"",Roster!$M$1)</f>
        <v>PA</v>
      </c>
      <c r="AV59" s="133"/>
      <c r="AW59" s="476"/>
      <c r="AX59" s="357"/>
      <c r="AY59" s="357"/>
      <c r="AZ59" s="357"/>
      <c r="BA59" s="357"/>
      <c r="BB59" s="357"/>
      <c r="BC59" s="357"/>
      <c r="BD59" s="357"/>
      <c r="BE59" s="357"/>
      <c r="BF59" s="357"/>
      <c r="BG59" s="477"/>
      <c r="BH59" s="137"/>
    </row>
    <row r="60" spans="1:60" ht="6" customHeight="1">
      <c r="A60" s="125"/>
      <c r="B60" s="470" t="str">
        <f>IF(Roster!$M$9=0&amp;"+","",Roster!$M$9)</f>
        <v>4+</v>
      </c>
      <c r="C60" s="133"/>
      <c r="D60" s="478"/>
      <c r="E60" s="479"/>
      <c r="F60" s="479"/>
      <c r="G60" s="479"/>
      <c r="H60" s="479"/>
      <c r="I60" s="479"/>
      <c r="J60" s="479"/>
      <c r="K60" s="479"/>
      <c r="L60" s="479"/>
      <c r="M60" s="479"/>
      <c r="N60" s="480"/>
      <c r="O60" s="139"/>
      <c r="P60" s="125"/>
      <c r="Q60" s="470" t="str">
        <f>IF(Roster!$M$10=0&amp;"+","",Roster!$M$10)</f>
        <v/>
      </c>
      <c r="R60" s="133"/>
      <c r="S60" s="478"/>
      <c r="T60" s="479"/>
      <c r="U60" s="479"/>
      <c r="V60" s="479"/>
      <c r="W60" s="479"/>
      <c r="X60" s="479"/>
      <c r="Y60" s="479"/>
      <c r="Z60" s="479"/>
      <c r="AA60" s="479"/>
      <c r="AB60" s="479"/>
      <c r="AC60" s="480"/>
      <c r="AD60" s="139"/>
      <c r="AE60" s="125"/>
      <c r="AF60" s="470" t="str">
        <f>IF(Roster!$M$11=0&amp;"+","",Roster!$M$11)</f>
        <v/>
      </c>
      <c r="AG60" s="133"/>
      <c r="AH60" s="478"/>
      <c r="AI60" s="479"/>
      <c r="AJ60" s="479"/>
      <c r="AK60" s="479"/>
      <c r="AL60" s="479"/>
      <c r="AM60" s="479"/>
      <c r="AN60" s="479"/>
      <c r="AO60" s="479"/>
      <c r="AP60" s="479"/>
      <c r="AQ60" s="479"/>
      <c r="AR60" s="480"/>
      <c r="AS60" s="139"/>
      <c r="AT60" s="125"/>
      <c r="AU60" s="470" t="str">
        <f>IF(Roster!$M$12=0&amp;"+","",Roster!$M$12)</f>
        <v/>
      </c>
      <c r="AV60" s="133"/>
      <c r="AW60" s="478"/>
      <c r="AX60" s="479"/>
      <c r="AY60" s="479"/>
      <c r="AZ60" s="479"/>
      <c r="BA60" s="479"/>
      <c r="BB60" s="479"/>
      <c r="BC60" s="479"/>
      <c r="BD60" s="479"/>
      <c r="BE60" s="479"/>
      <c r="BF60" s="479"/>
      <c r="BG60" s="480"/>
      <c r="BH60" s="139"/>
    </row>
    <row r="61" spans="1:60" ht="4.5" customHeight="1">
      <c r="A61" s="125"/>
      <c r="B61" s="471"/>
      <c r="C61" s="131"/>
      <c r="D61" s="125"/>
      <c r="E61" s="138"/>
      <c r="F61" s="125"/>
      <c r="G61" s="138"/>
      <c r="H61" s="125"/>
      <c r="I61" s="138"/>
      <c r="J61" s="125"/>
      <c r="K61" s="138"/>
      <c r="L61" s="125"/>
      <c r="M61" s="138"/>
      <c r="N61" s="125"/>
      <c r="O61" s="139"/>
      <c r="P61" s="125"/>
      <c r="Q61" s="471"/>
      <c r="R61" s="131"/>
      <c r="S61" s="125"/>
      <c r="T61" s="138"/>
      <c r="U61" s="125"/>
      <c r="V61" s="138"/>
      <c r="W61" s="125"/>
      <c r="X61" s="138"/>
      <c r="Y61" s="125"/>
      <c r="Z61" s="138"/>
      <c r="AA61" s="125"/>
      <c r="AB61" s="138"/>
      <c r="AC61" s="125"/>
      <c r="AD61" s="139"/>
      <c r="AE61" s="125"/>
      <c r="AF61" s="471"/>
      <c r="AG61" s="131"/>
      <c r="AH61" s="125"/>
      <c r="AI61" s="138"/>
      <c r="AJ61" s="125"/>
      <c r="AK61" s="138"/>
      <c r="AL61" s="125"/>
      <c r="AM61" s="138"/>
      <c r="AN61" s="125"/>
      <c r="AO61" s="138"/>
      <c r="AP61" s="125"/>
      <c r="AQ61" s="138"/>
      <c r="AR61" s="125"/>
      <c r="AS61" s="139"/>
      <c r="AT61" s="125"/>
      <c r="AU61" s="471"/>
      <c r="AV61" s="131"/>
      <c r="AW61" s="125"/>
      <c r="AX61" s="138"/>
      <c r="AY61" s="125"/>
      <c r="AZ61" s="138"/>
      <c r="BA61" s="125"/>
      <c r="BB61" s="138"/>
      <c r="BC61" s="125"/>
      <c r="BD61" s="138"/>
      <c r="BE61" s="125"/>
      <c r="BF61" s="138"/>
      <c r="BG61" s="125"/>
      <c r="BH61" s="139"/>
    </row>
    <row r="62" spans="1:60" ht="11.25" customHeight="1">
      <c r="A62" s="125"/>
      <c r="B62" s="471"/>
      <c r="C62" s="131"/>
      <c r="D62" s="481" t="str">
        <f>IF(Roster!$J$24="Italiano","ABILITÀ &amp; TRATTI",(IF(Roster!$J$24="Español","HABILIDADES Y RASGOS","SKILLS &amp; TRAITS")))</f>
        <v>SKILLS &amp; TRAITS</v>
      </c>
      <c r="E62" s="482"/>
      <c r="F62" s="482"/>
      <c r="G62" s="482"/>
      <c r="H62" s="482"/>
      <c r="I62" s="482"/>
      <c r="J62" s="482"/>
      <c r="K62" s="482"/>
      <c r="L62" s="482"/>
      <c r="M62" s="482"/>
      <c r="N62" s="483"/>
      <c r="O62" s="139"/>
      <c r="P62" s="125"/>
      <c r="Q62" s="471"/>
      <c r="R62" s="131"/>
      <c r="S62" s="481" t="str">
        <f>IF(Roster!$J$24="Italiano","ABILITÀ &amp; TRATTI",(IF(Roster!$J$24="Español","HABILIDADES Y RASGOS","SKILLS &amp; TRAITS")))</f>
        <v>SKILLS &amp; TRAITS</v>
      </c>
      <c r="T62" s="482"/>
      <c r="U62" s="482"/>
      <c r="V62" s="482"/>
      <c r="W62" s="482"/>
      <c r="X62" s="482"/>
      <c r="Y62" s="482"/>
      <c r="Z62" s="482"/>
      <c r="AA62" s="482"/>
      <c r="AB62" s="482"/>
      <c r="AC62" s="483"/>
      <c r="AD62" s="139"/>
      <c r="AE62" s="125"/>
      <c r="AF62" s="471"/>
      <c r="AG62" s="131"/>
      <c r="AH62" s="481" t="str">
        <f>IF(Roster!$J$24="Italiano","ABILITÀ &amp; TRATTI",(IF(Roster!$J$24="Español","HABILIDADES Y RASGOS","SKILLS &amp; TRAITS")))</f>
        <v>SKILLS &amp; TRAITS</v>
      </c>
      <c r="AI62" s="482"/>
      <c r="AJ62" s="482"/>
      <c r="AK62" s="482"/>
      <c r="AL62" s="482"/>
      <c r="AM62" s="482"/>
      <c r="AN62" s="482"/>
      <c r="AO62" s="482"/>
      <c r="AP62" s="482"/>
      <c r="AQ62" s="482"/>
      <c r="AR62" s="483"/>
      <c r="AS62" s="139"/>
      <c r="AT62" s="125"/>
      <c r="AU62" s="471"/>
      <c r="AV62" s="131"/>
      <c r="AW62" s="481" t="str">
        <f>IF(Roster!$J$24="Italiano","ABILITÀ &amp; TRATTI",(IF(Roster!$J$24="Español","HABILIDADES Y RASGOS","SKILLS &amp; TRAITS")))</f>
        <v>SKILLS &amp; TRAITS</v>
      </c>
      <c r="AX62" s="482"/>
      <c r="AY62" s="482"/>
      <c r="AZ62" s="482"/>
      <c r="BA62" s="482"/>
      <c r="BB62" s="482"/>
      <c r="BC62" s="482"/>
      <c r="BD62" s="482"/>
      <c r="BE62" s="482"/>
      <c r="BF62" s="482"/>
      <c r="BG62" s="483"/>
      <c r="BH62" s="139"/>
    </row>
    <row r="63" spans="1:60" ht="15" customHeight="1">
      <c r="A63" s="125"/>
      <c r="B63" s="471"/>
      <c r="C63" s="134"/>
      <c r="D63" s="484" t="str">
        <f>IF(Roster!$O$9=0,"",Roster!$O$9&amp;Roster!BF9)</f>
        <v>Dodge</v>
      </c>
      <c r="E63" s="448"/>
      <c r="F63" s="448"/>
      <c r="G63" s="448"/>
      <c r="H63" s="448"/>
      <c r="I63" s="448"/>
      <c r="J63" s="448"/>
      <c r="K63" s="448"/>
      <c r="L63" s="448"/>
      <c r="M63" s="448"/>
      <c r="N63" s="485"/>
      <c r="O63" s="139"/>
      <c r="P63" s="125"/>
      <c r="Q63" s="471"/>
      <c r="R63" s="134"/>
      <c r="S63" s="484" t="str">
        <f>IF(Roster!$O$10=0,"",Roster!$O$10&amp;Roster!BF10)</f>
        <v>Regeneration</v>
      </c>
      <c r="T63" s="448"/>
      <c r="U63" s="448"/>
      <c r="V63" s="448"/>
      <c r="W63" s="448"/>
      <c r="X63" s="448"/>
      <c r="Y63" s="448"/>
      <c r="Z63" s="448"/>
      <c r="AA63" s="448"/>
      <c r="AB63" s="448"/>
      <c r="AC63" s="485"/>
      <c r="AD63" s="139"/>
      <c r="AE63" s="125"/>
      <c r="AF63" s="471"/>
      <c r="AG63" s="134"/>
      <c r="AH63" s="484" t="str">
        <f>IF(Roster!$O$11=0,"",Roster!$O$11&amp;Roster!BF11)</f>
        <v>Regeneration</v>
      </c>
      <c r="AI63" s="448"/>
      <c r="AJ63" s="448"/>
      <c r="AK63" s="448"/>
      <c r="AL63" s="448"/>
      <c r="AM63" s="448"/>
      <c r="AN63" s="448"/>
      <c r="AO63" s="448"/>
      <c r="AP63" s="448"/>
      <c r="AQ63" s="448"/>
      <c r="AR63" s="485"/>
      <c r="AS63" s="139"/>
      <c r="AT63" s="125"/>
      <c r="AU63" s="471"/>
      <c r="AV63" s="134"/>
      <c r="AW63" s="484" t="str">
        <f>IF(Roster!$O$12=0,"",Roster!$O$12&amp;Roster!BF12)</f>
        <v>Regeneration</v>
      </c>
      <c r="AX63" s="448"/>
      <c r="AY63" s="448"/>
      <c r="AZ63" s="448"/>
      <c r="BA63" s="448"/>
      <c r="BB63" s="448"/>
      <c r="BC63" s="448"/>
      <c r="BD63" s="448"/>
      <c r="BE63" s="448"/>
      <c r="BF63" s="448"/>
      <c r="BG63" s="485"/>
      <c r="BH63" s="139"/>
    </row>
    <row r="64" spans="1:60" ht="4.5" customHeight="1">
      <c r="A64" s="125"/>
      <c r="B64" s="472"/>
      <c r="C64" s="134"/>
      <c r="D64" s="476"/>
      <c r="E64" s="357"/>
      <c r="F64" s="357"/>
      <c r="G64" s="357"/>
      <c r="H64" s="357"/>
      <c r="I64" s="357"/>
      <c r="J64" s="357"/>
      <c r="K64" s="357"/>
      <c r="L64" s="357"/>
      <c r="M64" s="357"/>
      <c r="N64" s="477"/>
      <c r="O64" s="139"/>
      <c r="P64" s="125"/>
      <c r="Q64" s="472"/>
      <c r="R64" s="134"/>
      <c r="S64" s="476"/>
      <c r="T64" s="357"/>
      <c r="U64" s="357"/>
      <c r="V64" s="357"/>
      <c r="W64" s="357"/>
      <c r="X64" s="357"/>
      <c r="Y64" s="357"/>
      <c r="Z64" s="357"/>
      <c r="AA64" s="357"/>
      <c r="AB64" s="357"/>
      <c r="AC64" s="477"/>
      <c r="AD64" s="139"/>
      <c r="AE64" s="125"/>
      <c r="AF64" s="472"/>
      <c r="AG64" s="134"/>
      <c r="AH64" s="476"/>
      <c r="AI64" s="357"/>
      <c r="AJ64" s="357"/>
      <c r="AK64" s="357"/>
      <c r="AL64" s="357"/>
      <c r="AM64" s="357"/>
      <c r="AN64" s="357"/>
      <c r="AO64" s="357"/>
      <c r="AP64" s="357"/>
      <c r="AQ64" s="357"/>
      <c r="AR64" s="477"/>
      <c r="AS64" s="139"/>
      <c r="AT64" s="125"/>
      <c r="AU64" s="472"/>
      <c r="AV64" s="134"/>
      <c r="AW64" s="476"/>
      <c r="AX64" s="357"/>
      <c r="AY64" s="357"/>
      <c r="AZ64" s="357"/>
      <c r="BA64" s="357"/>
      <c r="BB64" s="357"/>
      <c r="BC64" s="357"/>
      <c r="BD64" s="357"/>
      <c r="BE64" s="357"/>
      <c r="BF64" s="357"/>
      <c r="BG64" s="477"/>
      <c r="BH64" s="139"/>
    </row>
    <row r="65" spans="1:60" ht="11.25" customHeight="1">
      <c r="A65" s="125"/>
      <c r="B65" s="132" t="str">
        <f>IF(Roster!$N$1=0,"",Roster!$N$1)</f>
        <v>AV</v>
      </c>
      <c r="C65" s="133"/>
      <c r="D65" s="476"/>
      <c r="E65" s="357"/>
      <c r="F65" s="357"/>
      <c r="G65" s="357"/>
      <c r="H65" s="357"/>
      <c r="I65" s="357"/>
      <c r="J65" s="357"/>
      <c r="K65" s="357"/>
      <c r="L65" s="357"/>
      <c r="M65" s="357"/>
      <c r="N65" s="477"/>
      <c r="O65" s="128"/>
      <c r="P65" s="125"/>
      <c r="Q65" s="132" t="str">
        <f>IF(Roster!$N$1=0,"",Roster!$N$1)</f>
        <v>AV</v>
      </c>
      <c r="R65" s="133"/>
      <c r="S65" s="476"/>
      <c r="T65" s="357"/>
      <c r="U65" s="357"/>
      <c r="V65" s="357"/>
      <c r="W65" s="357"/>
      <c r="X65" s="357"/>
      <c r="Y65" s="357"/>
      <c r="Z65" s="357"/>
      <c r="AA65" s="357"/>
      <c r="AB65" s="357"/>
      <c r="AC65" s="477"/>
      <c r="AD65" s="128"/>
      <c r="AE65" s="125"/>
      <c r="AF65" s="132" t="str">
        <f>IF(Roster!$N$1=0,"",Roster!$N$1)</f>
        <v>AV</v>
      </c>
      <c r="AG65" s="133"/>
      <c r="AH65" s="476"/>
      <c r="AI65" s="357"/>
      <c r="AJ65" s="357"/>
      <c r="AK65" s="357"/>
      <c r="AL65" s="357"/>
      <c r="AM65" s="357"/>
      <c r="AN65" s="357"/>
      <c r="AO65" s="357"/>
      <c r="AP65" s="357"/>
      <c r="AQ65" s="357"/>
      <c r="AR65" s="477"/>
      <c r="AS65" s="128"/>
      <c r="AT65" s="125"/>
      <c r="AU65" s="132" t="str">
        <f>IF(Roster!$N$1=0,"",Roster!$N$1)</f>
        <v>AV</v>
      </c>
      <c r="AV65" s="133"/>
      <c r="AW65" s="476"/>
      <c r="AX65" s="357"/>
      <c r="AY65" s="357"/>
      <c r="AZ65" s="357"/>
      <c r="BA65" s="357"/>
      <c r="BB65" s="357"/>
      <c r="BC65" s="357"/>
      <c r="BD65" s="357"/>
      <c r="BE65" s="357"/>
      <c r="BF65" s="357"/>
      <c r="BG65" s="477"/>
      <c r="BH65" s="128"/>
    </row>
    <row r="66" spans="1:60" ht="15" customHeight="1">
      <c r="A66" s="125"/>
      <c r="B66" s="470" t="str">
        <f>IF(Roster!$N$9=0&amp;"+","",Roster!$N$9)</f>
        <v>8+</v>
      </c>
      <c r="C66" s="134"/>
      <c r="D66" s="476"/>
      <c r="E66" s="357"/>
      <c r="F66" s="357"/>
      <c r="G66" s="357"/>
      <c r="H66" s="357"/>
      <c r="I66" s="357"/>
      <c r="J66" s="357"/>
      <c r="K66" s="357"/>
      <c r="L66" s="357"/>
      <c r="M66" s="357"/>
      <c r="N66" s="477"/>
      <c r="O66" s="140"/>
      <c r="P66" s="125"/>
      <c r="Q66" s="470" t="str">
        <f>IF(Roster!$N$10=0&amp;"+","",Roster!$N$10)</f>
        <v>9+</v>
      </c>
      <c r="R66" s="134"/>
      <c r="S66" s="476"/>
      <c r="T66" s="357"/>
      <c r="U66" s="357"/>
      <c r="V66" s="357"/>
      <c r="W66" s="357"/>
      <c r="X66" s="357"/>
      <c r="Y66" s="357"/>
      <c r="Z66" s="357"/>
      <c r="AA66" s="357"/>
      <c r="AB66" s="357"/>
      <c r="AC66" s="477"/>
      <c r="AD66" s="140"/>
      <c r="AE66" s="125"/>
      <c r="AF66" s="470" t="str">
        <f>IF(Roster!$N$11=0&amp;"+","",Roster!$N$11)</f>
        <v>9+</v>
      </c>
      <c r="AG66" s="134"/>
      <c r="AH66" s="476"/>
      <c r="AI66" s="357"/>
      <c r="AJ66" s="357"/>
      <c r="AK66" s="357"/>
      <c r="AL66" s="357"/>
      <c r="AM66" s="357"/>
      <c r="AN66" s="357"/>
      <c r="AO66" s="357"/>
      <c r="AP66" s="357"/>
      <c r="AQ66" s="357"/>
      <c r="AR66" s="477"/>
      <c r="AS66" s="140"/>
      <c r="AT66" s="125"/>
      <c r="AU66" s="470" t="str">
        <f>IF(Roster!$N$12=0&amp;"+","",Roster!$N$12)</f>
        <v>9+</v>
      </c>
      <c r="AV66" s="134"/>
      <c r="AW66" s="476"/>
      <c r="AX66" s="357"/>
      <c r="AY66" s="357"/>
      <c r="AZ66" s="357"/>
      <c r="BA66" s="357"/>
      <c r="BB66" s="357"/>
      <c r="BC66" s="357"/>
      <c r="BD66" s="357"/>
      <c r="BE66" s="357"/>
      <c r="BF66" s="357"/>
      <c r="BG66" s="477"/>
      <c r="BH66" s="140"/>
    </row>
    <row r="67" spans="1:60" ht="4.5" customHeight="1">
      <c r="A67" s="125"/>
      <c r="B67" s="471"/>
      <c r="C67" s="134"/>
      <c r="D67" s="476"/>
      <c r="E67" s="357"/>
      <c r="F67" s="357"/>
      <c r="G67" s="357"/>
      <c r="H67" s="357"/>
      <c r="I67" s="357"/>
      <c r="J67" s="357"/>
      <c r="K67" s="357"/>
      <c r="L67" s="357"/>
      <c r="M67" s="357"/>
      <c r="N67" s="477"/>
      <c r="O67" s="140"/>
      <c r="P67" s="125"/>
      <c r="Q67" s="471"/>
      <c r="R67" s="134"/>
      <c r="S67" s="476"/>
      <c r="T67" s="357"/>
      <c r="U67" s="357"/>
      <c r="V67" s="357"/>
      <c r="W67" s="357"/>
      <c r="X67" s="357"/>
      <c r="Y67" s="357"/>
      <c r="Z67" s="357"/>
      <c r="AA67" s="357"/>
      <c r="AB67" s="357"/>
      <c r="AC67" s="477"/>
      <c r="AD67" s="140"/>
      <c r="AE67" s="125"/>
      <c r="AF67" s="471"/>
      <c r="AG67" s="134"/>
      <c r="AH67" s="476"/>
      <c r="AI67" s="357"/>
      <c r="AJ67" s="357"/>
      <c r="AK67" s="357"/>
      <c r="AL67" s="357"/>
      <c r="AM67" s="357"/>
      <c r="AN67" s="357"/>
      <c r="AO67" s="357"/>
      <c r="AP67" s="357"/>
      <c r="AQ67" s="357"/>
      <c r="AR67" s="477"/>
      <c r="AS67" s="140"/>
      <c r="AT67" s="125"/>
      <c r="AU67" s="471"/>
      <c r="AV67" s="134"/>
      <c r="AW67" s="476"/>
      <c r="AX67" s="357"/>
      <c r="AY67" s="357"/>
      <c r="AZ67" s="357"/>
      <c r="BA67" s="357"/>
      <c r="BB67" s="357"/>
      <c r="BC67" s="357"/>
      <c r="BD67" s="357"/>
      <c r="BE67" s="357"/>
      <c r="BF67" s="357"/>
      <c r="BG67" s="477"/>
      <c r="BH67" s="140"/>
    </row>
    <row r="68" spans="1:60" ht="11.25" customHeight="1">
      <c r="A68" s="125"/>
      <c r="B68" s="471"/>
      <c r="C68" s="134"/>
      <c r="D68" s="476"/>
      <c r="E68" s="357"/>
      <c r="F68" s="357"/>
      <c r="G68" s="357"/>
      <c r="H68" s="357"/>
      <c r="I68" s="357"/>
      <c r="J68" s="357"/>
      <c r="K68" s="357"/>
      <c r="L68" s="357"/>
      <c r="M68" s="357"/>
      <c r="N68" s="477"/>
      <c r="O68" s="140"/>
      <c r="P68" s="125"/>
      <c r="Q68" s="471"/>
      <c r="R68" s="134"/>
      <c r="S68" s="476"/>
      <c r="T68" s="357"/>
      <c r="U68" s="357"/>
      <c r="V68" s="357"/>
      <c r="W68" s="357"/>
      <c r="X68" s="357"/>
      <c r="Y68" s="357"/>
      <c r="Z68" s="357"/>
      <c r="AA68" s="357"/>
      <c r="AB68" s="357"/>
      <c r="AC68" s="477"/>
      <c r="AD68" s="140"/>
      <c r="AE68" s="125"/>
      <c r="AF68" s="471"/>
      <c r="AG68" s="134"/>
      <c r="AH68" s="476"/>
      <c r="AI68" s="357"/>
      <c r="AJ68" s="357"/>
      <c r="AK68" s="357"/>
      <c r="AL68" s="357"/>
      <c r="AM68" s="357"/>
      <c r="AN68" s="357"/>
      <c r="AO68" s="357"/>
      <c r="AP68" s="357"/>
      <c r="AQ68" s="357"/>
      <c r="AR68" s="477"/>
      <c r="AS68" s="140"/>
      <c r="AT68" s="125"/>
      <c r="AU68" s="471"/>
      <c r="AV68" s="134"/>
      <c r="AW68" s="476"/>
      <c r="AX68" s="357"/>
      <c r="AY68" s="357"/>
      <c r="AZ68" s="357"/>
      <c r="BA68" s="357"/>
      <c r="BB68" s="357"/>
      <c r="BC68" s="357"/>
      <c r="BD68" s="357"/>
      <c r="BE68" s="357"/>
      <c r="BF68" s="357"/>
      <c r="BG68" s="477"/>
      <c r="BH68" s="140"/>
    </row>
    <row r="69" spans="1:60" ht="6.75" customHeight="1">
      <c r="A69" s="125"/>
      <c r="B69" s="472"/>
      <c r="C69" s="134"/>
      <c r="D69" s="476"/>
      <c r="E69" s="357"/>
      <c r="F69" s="357"/>
      <c r="G69" s="357"/>
      <c r="H69" s="357"/>
      <c r="I69" s="357"/>
      <c r="J69" s="357"/>
      <c r="K69" s="357"/>
      <c r="L69" s="357"/>
      <c r="M69" s="357"/>
      <c r="N69" s="477"/>
      <c r="O69" s="140"/>
      <c r="P69" s="125"/>
      <c r="Q69" s="472"/>
      <c r="R69" s="134"/>
      <c r="S69" s="476"/>
      <c r="T69" s="357"/>
      <c r="U69" s="357"/>
      <c r="V69" s="357"/>
      <c r="W69" s="357"/>
      <c r="X69" s="357"/>
      <c r="Y69" s="357"/>
      <c r="Z69" s="357"/>
      <c r="AA69" s="357"/>
      <c r="AB69" s="357"/>
      <c r="AC69" s="477"/>
      <c r="AD69" s="140"/>
      <c r="AE69" s="125"/>
      <c r="AF69" s="472"/>
      <c r="AG69" s="134"/>
      <c r="AH69" s="476"/>
      <c r="AI69" s="357"/>
      <c r="AJ69" s="357"/>
      <c r="AK69" s="357"/>
      <c r="AL69" s="357"/>
      <c r="AM69" s="357"/>
      <c r="AN69" s="357"/>
      <c r="AO69" s="357"/>
      <c r="AP69" s="357"/>
      <c r="AQ69" s="357"/>
      <c r="AR69" s="477"/>
      <c r="AS69" s="140"/>
      <c r="AT69" s="125"/>
      <c r="AU69" s="472"/>
      <c r="AV69" s="134"/>
      <c r="AW69" s="476"/>
      <c r="AX69" s="357"/>
      <c r="AY69" s="357"/>
      <c r="AZ69" s="357"/>
      <c r="BA69" s="357"/>
      <c r="BB69" s="357"/>
      <c r="BC69" s="357"/>
      <c r="BD69" s="357"/>
      <c r="BE69" s="357"/>
      <c r="BF69" s="357"/>
      <c r="BG69" s="477"/>
      <c r="BH69" s="140"/>
    </row>
    <row r="70" spans="1:60" ht="11.25" customHeight="1">
      <c r="A70" s="125"/>
      <c r="B70" s="132" t="str">
        <f>IF(Roster!$AN$1=0,"",Roster!$AN$1)</f>
        <v>COST</v>
      </c>
      <c r="C70" s="133"/>
      <c r="D70" s="476"/>
      <c r="E70" s="357"/>
      <c r="F70" s="357"/>
      <c r="G70" s="357"/>
      <c r="H70" s="357"/>
      <c r="I70" s="357"/>
      <c r="J70" s="357"/>
      <c r="K70" s="357"/>
      <c r="L70" s="357"/>
      <c r="M70" s="357"/>
      <c r="N70" s="477"/>
      <c r="O70" s="143"/>
      <c r="P70" s="125"/>
      <c r="Q70" s="132" t="str">
        <f>IF(Roster!$AN$1=0,"",Roster!$AN$1)</f>
        <v>COST</v>
      </c>
      <c r="R70" s="133"/>
      <c r="S70" s="476"/>
      <c r="T70" s="357"/>
      <c r="U70" s="357"/>
      <c r="V70" s="357"/>
      <c r="W70" s="357"/>
      <c r="X70" s="357"/>
      <c r="Y70" s="357"/>
      <c r="Z70" s="357"/>
      <c r="AA70" s="357"/>
      <c r="AB70" s="357"/>
      <c r="AC70" s="477"/>
      <c r="AD70" s="143"/>
      <c r="AE70" s="125"/>
      <c r="AF70" s="132" t="str">
        <f>IF(Roster!$AN$1=0,"",Roster!$AN$1)</f>
        <v>COST</v>
      </c>
      <c r="AG70" s="133"/>
      <c r="AH70" s="476"/>
      <c r="AI70" s="357"/>
      <c r="AJ70" s="357"/>
      <c r="AK70" s="357"/>
      <c r="AL70" s="357"/>
      <c r="AM70" s="357"/>
      <c r="AN70" s="357"/>
      <c r="AO70" s="357"/>
      <c r="AP70" s="357"/>
      <c r="AQ70" s="357"/>
      <c r="AR70" s="477"/>
      <c r="AS70" s="143"/>
      <c r="AT70" s="125"/>
      <c r="AU70" s="132" t="str">
        <f>IF(Roster!$AN$1=0,"",Roster!$AN$1)</f>
        <v>COST</v>
      </c>
      <c r="AV70" s="133"/>
      <c r="AW70" s="476"/>
      <c r="AX70" s="357"/>
      <c r="AY70" s="357"/>
      <c r="AZ70" s="357"/>
      <c r="BA70" s="357"/>
      <c r="BB70" s="357"/>
      <c r="BC70" s="357"/>
      <c r="BD70" s="357"/>
      <c r="BE70" s="357"/>
      <c r="BF70" s="357"/>
      <c r="BG70" s="477"/>
      <c r="BH70" s="143"/>
    </row>
    <row r="71" spans="1:60" ht="34.5" customHeight="1">
      <c r="A71" s="125"/>
      <c r="B71" s="145">
        <f>IF(Roster!$AN$9=0,"",Roster!$AN$9)</f>
        <v>75000</v>
      </c>
      <c r="C71" s="146"/>
      <c r="D71" s="478"/>
      <c r="E71" s="479"/>
      <c r="F71" s="479"/>
      <c r="G71" s="479"/>
      <c r="H71" s="479"/>
      <c r="I71" s="479"/>
      <c r="J71" s="479"/>
      <c r="K71" s="479"/>
      <c r="L71" s="479"/>
      <c r="M71" s="479"/>
      <c r="N71" s="480"/>
      <c r="O71" s="143"/>
      <c r="P71" s="125"/>
      <c r="Q71" s="145">
        <f>IF(Roster!$AN$10=0,"",Roster!$AN$10)</f>
        <v>40000</v>
      </c>
      <c r="R71" s="146"/>
      <c r="S71" s="478"/>
      <c r="T71" s="479"/>
      <c r="U71" s="479"/>
      <c r="V71" s="479"/>
      <c r="W71" s="479"/>
      <c r="X71" s="479"/>
      <c r="Y71" s="479"/>
      <c r="Z71" s="479"/>
      <c r="AA71" s="479"/>
      <c r="AB71" s="479"/>
      <c r="AC71" s="480"/>
      <c r="AD71" s="143"/>
      <c r="AE71" s="125"/>
      <c r="AF71" s="145">
        <f>IF(Roster!$AN$11=0,"",Roster!$AN$11)</f>
        <v>40000</v>
      </c>
      <c r="AG71" s="146"/>
      <c r="AH71" s="478"/>
      <c r="AI71" s="479"/>
      <c r="AJ71" s="479"/>
      <c r="AK71" s="479"/>
      <c r="AL71" s="479"/>
      <c r="AM71" s="479"/>
      <c r="AN71" s="479"/>
      <c r="AO71" s="479"/>
      <c r="AP71" s="479"/>
      <c r="AQ71" s="479"/>
      <c r="AR71" s="480"/>
      <c r="AS71" s="143"/>
      <c r="AT71" s="125"/>
      <c r="AU71" s="145">
        <f>IF(Roster!$AN$12=0,"",Roster!$AN$12)</f>
        <v>40000</v>
      </c>
      <c r="AV71" s="146"/>
      <c r="AW71" s="478"/>
      <c r="AX71" s="479"/>
      <c r="AY71" s="479"/>
      <c r="AZ71" s="479"/>
      <c r="BA71" s="479"/>
      <c r="BB71" s="479"/>
      <c r="BC71" s="479"/>
      <c r="BD71" s="479"/>
      <c r="BE71" s="479"/>
      <c r="BF71" s="479"/>
      <c r="BG71" s="480"/>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90" t="str">
        <f>IF(Roster!$A$13=0,"","#"&amp;Roster!$A$13)</f>
        <v>#12</v>
      </c>
      <c r="C74" s="126"/>
      <c r="D74" s="126"/>
      <c r="E74" s="126"/>
      <c r="F74" s="126"/>
      <c r="G74" s="126"/>
      <c r="H74" s="126"/>
      <c r="I74" s="126"/>
      <c r="J74" s="126"/>
      <c r="K74" s="126"/>
      <c r="L74" s="126"/>
      <c r="M74" s="126"/>
      <c r="N74" s="126"/>
      <c r="O74" s="127"/>
      <c r="P74" s="125"/>
      <c r="Q74" s="490" t="str">
        <f>IF(Roster!$A$14=0,"","#"&amp;Roster!$A$14)</f>
        <v>#13</v>
      </c>
      <c r="R74" s="126"/>
      <c r="S74" s="126"/>
      <c r="T74" s="126"/>
      <c r="U74" s="126"/>
      <c r="V74" s="126"/>
      <c r="W74" s="126"/>
      <c r="X74" s="126"/>
      <c r="Y74" s="126"/>
      <c r="Z74" s="126"/>
      <c r="AA74" s="126"/>
      <c r="AB74" s="126"/>
      <c r="AC74" s="126"/>
      <c r="AD74" s="127"/>
      <c r="AE74" s="125"/>
      <c r="AF74" s="490" t="str">
        <f>IF(Roster!$A$15=0,"","#"&amp;Roster!$A$15)</f>
        <v>#14</v>
      </c>
      <c r="AG74" s="126"/>
      <c r="AH74" s="126"/>
      <c r="AI74" s="126"/>
      <c r="AJ74" s="126"/>
      <c r="AK74" s="126"/>
      <c r="AL74" s="126"/>
      <c r="AM74" s="126"/>
      <c r="AN74" s="126"/>
      <c r="AO74" s="126"/>
      <c r="AP74" s="126"/>
      <c r="AQ74" s="126"/>
      <c r="AR74" s="126"/>
      <c r="AS74" s="127"/>
      <c r="AT74" s="125"/>
      <c r="AU74" s="490" t="str">
        <f>IF(Roster!$A$16=0,"","#"&amp;Roster!$A$16)</f>
        <v>#15</v>
      </c>
      <c r="AV74" s="126"/>
      <c r="AW74" s="126"/>
      <c r="AX74" s="126"/>
      <c r="AY74" s="126"/>
      <c r="AZ74" s="126"/>
      <c r="BA74" s="126"/>
      <c r="BB74" s="126"/>
      <c r="BC74" s="126"/>
      <c r="BD74" s="126"/>
      <c r="BE74" s="126"/>
      <c r="BF74" s="126"/>
      <c r="BG74" s="126"/>
      <c r="BH74" s="127"/>
    </row>
    <row r="75" spans="1:60" ht="15" customHeight="1">
      <c r="A75" s="125"/>
      <c r="B75" s="491"/>
      <c r="C75" s="473" t="str">
        <f>IF(Roster!$B$11=0,"",Roster!$B$11)</f>
        <v>Shem "The Slam" Skreaker</v>
      </c>
      <c r="D75" s="395"/>
      <c r="E75" s="395"/>
      <c r="F75" s="395"/>
      <c r="G75" s="395"/>
      <c r="H75" s="395"/>
      <c r="I75" s="395"/>
      <c r="J75" s="395"/>
      <c r="K75" s="395"/>
      <c r="L75" s="395"/>
      <c r="M75" s="395"/>
      <c r="N75" s="396"/>
      <c r="O75" s="128"/>
      <c r="P75" s="125"/>
      <c r="Q75" s="491"/>
      <c r="R75" s="473" t="str">
        <f>IF(Roster!$B$13=0,"",Roster!$B$13)</f>
        <v>Gabriel Antigonus</v>
      </c>
      <c r="S75" s="395"/>
      <c r="T75" s="395"/>
      <c r="U75" s="395"/>
      <c r="V75" s="395"/>
      <c r="W75" s="395"/>
      <c r="X75" s="395"/>
      <c r="Y75" s="395"/>
      <c r="Z75" s="395"/>
      <c r="AA75" s="395"/>
      <c r="AB75" s="395"/>
      <c r="AC75" s="396"/>
      <c r="AD75" s="128"/>
      <c r="AE75" s="125"/>
      <c r="AF75" s="491"/>
      <c r="AG75" s="473" t="str">
        <f>IF(Roster!$B$15=0,"",Roster!$B$15)</f>
        <v/>
      </c>
      <c r="AH75" s="395"/>
      <c r="AI75" s="395"/>
      <c r="AJ75" s="395"/>
      <c r="AK75" s="395"/>
      <c r="AL75" s="395"/>
      <c r="AM75" s="395"/>
      <c r="AN75" s="395"/>
      <c r="AO75" s="395"/>
      <c r="AP75" s="395"/>
      <c r="AQ75" s="395"/>
      <c r="AR75" s="396"/>
      <c r="AS75" s="128"/>
      <c r="AT75" s="125"/>
      <c r="AU75" s="491"/>
      <c r="AV75" s="473" t="str">
        <f>IF(Roster!$B$16=0,"",Roster!$B$16)</f>
        <v/>
      </c>
      <c r="AW75" s="395"/>
      <c r="AX75" s="395"/>
      <c r="AY75" s="395"/>
      <c r="AZ75" s="395"/>
      <c r="BA75" s="395"/>
      <c r="BB75" s="395"/>
      <c r="BC75" s="395"/>
      <c r="BD75" s="395"/>
      <c r="BE75" s="395"/>
      <c r="BF75" s="395"/>
      <c r="BG75" s="396"/>
      <c r="BH75" s="128"/>
    </row>
    <row r="76" spans="1:60" ht="11.25" customHeight="1">
      <c r="A76" s="125"/>
      <c r="B76" s="492"/>
      <c r="C76" s="474" t="str">
        <f>IF(Roster!$C$13=0,"",Roster!$C$13)</f>
        <v>Zombie</v>
      </c>
      <c r="D76" s="395"/>
      <c r="E76" s="395"/>
      <c r="F76" s="395"/>
      <c r="G76" s="395"/>
      <c r="H76" s="395"/>
      <c r="I76" s="395"/>
      <c r="J76" s="395"/>
      <c r="K76" s="395"/>
      <c r="L76" s="395"/>
      <c r="M76" s="395"/>
      <c r="N76" s="396"/>
      <c r="O76" s="129"/>
      <c r="P76" s="125"/>
      <c r="Q76" s="492"/>
      <c r="R76" s="474" t="str">
        <f>IF(Roster!$C$14=0,"",Roster!$C$14)</f>
        <v/>
      </c>
      <c r="S76" s="395"/>
      <c r="T76" s="395"/>
      <c r="U76" s="395"/>
      <c r="V76" s="395"/>
      <c r="W76" s="395"/>
      <c r="X76" s="395"/>
      <c r="Y76" s="395"/>
      <c r="Z76" s="395"/>
      <c r="AA76" s="395"/>
      <c r="AB76" s="395"/>
      <c r="AC76" s="396"/>
      <c r="AD76" s="129"/>
      <c r="AE76" s="125"/>
      <c r="AF76" s="492"/>
      <c r="AG76" s="474" t="str">
        <f>IF(Roster!$C$15=0,"",Roster!$C$15)</f>
        <v/>
      </c>
      <c r="AH76" s="395"/>
      <c r="AI76" s="395"/>
      <c r="AJ76" s="395"/>
      <c r="AK76" s="395"/>
      <c r="AL76" s="395"/>
      <c r="AM76" s="395"/>
      <c r="AN76" s="395"/>
      <c r="AO76" s="395"/>
      <c r="AP76" s="395"/>
      <c r="AQ76" s="395"/>
      <c r="AR76" s="396"/>
      <c r="AS76" s="129"/>
      <c r="AT76" s="125"/>
      <c r="AU76" s="492"/>
      <c r="AV76" s="474" t="str">
        <f>IF(Roster!$C$16=0,"",Roster!$C$16)</f>
        <v/>
      </c>
      <c r="AW76" s="395"/>
      <c r="AX76" s="395"/>
      <c r="AY76" s="395"/>
      <c r="AZ76" s="395"/>
      <c r="BA76" s="395"/>
      <c r="BB76" s="395"/>
      <c r="BC76" s="395"/>
      <c r="BD76" s="395"/>
      <c r="BE76" s="395"/>
      <c r="BF76" s="395"/>
      <c r="BG76" s="396"/>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f>IF(Roster!$J$13=0,"",Roster!$J$13)</f>
        <v>4</v>
      </c>
      <c r="C78" s="133"/>
      <c r="D78" s="475"/>
      <c r="E78" s="308"/>
      <c r="F78" s="308"/>
      <c r="G78" s="308"/>
      <c r="H78" s="308"/>
      <c r="I78" s="308"/>
      <c r="J78" s="308"/>
      <c r="K78" s="308"/>
      <c r="L78" s="308"/>
      <c r="M78" s="308"/>
      <c r="N78" s="309"/>
      <c r="O78" s="128"/>
      <c r="P78" s="125"/>
      <c r="Q78" s="135" t="str">
        <f>IF(Roster!$J$14=0,"",Roster!$J$14)</f>
        <v/>
      </c>
      <c r="R78" s="133"/>
      <c r="S78" s="475"/>
      <c r="T78" s="308"/>
      <c r="U78" s="308"/>
      <c r="V78" s="308"/>
      <c r="W78" s="308"/>
      <c r="X78" s="308"/>
      <c r="Y78" s="308"/>
      <c r="Z78" s="308"/>
      <c r="AA78" s="308"/>
      <c r="AB78" s="308"/>
      <c r="AC78" s="309"/>
      <c r="AD78" s="128"/>
      <c r="AE78" s="125"/>
      <c r="AF78" s="135" t="str">
        <f>IF(Roster!$J$15=0,"",Roster!$J$15)</f>
        <v/>
      </c>
      <c r="AG78" s="133"/>
      <c r="AH78" s="475"/>
      <c r="AI78" s="308"/>
      <c r="AJ78" s="308"/>
      <c r="AK78" s="308"/>
      <c r="AL78" s="308"/>
      <c r="AM78" s="308"/>
      <c r="AN78" s="308"/>
      <c r="AO78" s="308"/>
      <c r="AP78" s="308"/>
      <c r="AQ78" s="308"/>
      <c r="AR78" s="309"/>
      <c r="AS78" s="128"/>
      <c r="AT78" s="125"/>
      <c r="AU78" s="135" t="str">
        <f>IF(Roster!$J$16=0,"",Roster!$J$16)</f>
        <v/>
      </c>
      <c r="AV78" s="133"/>
      <c r="AW78" s="475"/>
      <c r="AX78" s="308"/>
      <c r="AY78" s="308"/>
      <c r="AZ78" s="308"/>
      <c r="BA78" s="308"/>
      <c r="BB78" s="308"/>
      <c r="BC78" s="308"/>
      <c r="BD78" s="308"/>
      <c r="BE78" s="308"/>
      <c r="BF78" s="308"/>
      <c r="BG78" s="309"/>
      <c r="BH78" s="128"/>
    </row>
    <row r="79" spans="1:60" ht="11.25" customHeight="1">
      <c r="A79" s="125"/>
      <c r="B79" s="132" t="str">
        <f>IF(Roster!$K$1=0,"",Roster!$K$1)</f>
        <v>ST</v>
      </c>
      <c r="C79" s="133"/>
      <c r="D79" s="476"/>
      <c r="E79" s="357"/>
      <c r="F79" s="357"/>
      <c r="G79" s="357"/>
      <c r="H79" s="357"/>
      <c r="I79" s="357"/>
      <c r="J79" s="357"/>
      <c r="K79" s="357"/>
      <c r="L79" s="357"/>
      <c r="M79" s="357"/>
      <c r="N79" s="477"/>
      <c r="O79" s="128"/>
      <c r="P79" s="125"/>
      <c r="Q79" s="132" t="str">
        <f>IF(Roster!$K$1=0,"",Roster!$K$1)</f>
        <v>ST</v>
      </c>
      <c r="R79" s="133"/>
      <c r="S79" s="476"/>
      <c r="T79" s="357"/>
      <c r="U79" s="357"/>
      <c r="V79" s="357"/>
      <c r="W79" s="357"/>
      <c r="X79" s="357"/>
      <c r="Y79" s="357"/>
      <c r="Z79" s="357"/>
      <c r="AA79" s="357"/>
      <c r="AB79" s="357"/>
      <c r="AC79" s="477"/>
      <c r="AD79" s="128"/>
      <c r="AE79" s="125"/>
      <c r="AF79" s="132" t="str">
        <f>IF(Roster!$K$1=0,"",Roster!$K$1)</f>
        <v>ST</v>
      </c>
      <c r="AG79" s="133"/>
      <c r="AH79" s="476"/>
      <c r="AI79" s="357"/>
      <c r="AJ79" s="357"/>
      <c r="AK79" s="357"/>
      <c r="AL79" s="357"/>
      <c r="AM79" s="357"/>
      <c r="AN79" s="357"/>
      <c r="AO79" s="357"/>
      <c r="AP79" s="357"/>
      <c r="AQ79" s="357"/>
      <c r="AR79" s="477"/>
      <c r="AS79" s="128"/>
      <c r="AT79" s="125"/>
      <c r="AU79" s="132" t="str">
        <f>IF(Roster!$K$1=0,"",Roster!$K$1)</f>
        <v>ST</v>
      </c>
      <c r="AV79" s="133"/>
      <c r="AW79" s="476"/>
      <c r="AX79" s="357"/>
      <c r="AY79" s="357"/>
      <c r="AZ79" s="357"/>
      <c r="BA79" s="357"/>
      <c r="BB79" s="357"/>
      <c r="BC79" s="357"/>
      <c r="BD79" s="357"/>
      <c r="BE79" s="357"/>
      <c r="BF79" s="357"/>
      <c r="BG79" s="477"/>
      <c r="BH79" s="128"/>
    </row>
    <row r="80" spans="1:60" ht="37.5" customHeight="1">
      <c r="A80" s="125"/>
      <c r="B80" s="135">
        <f>IF(Roster!$K$13=0,"",Roster!$K$13)</f>
        <v>3</v>
      </c>
      <c r="C80" s="133"/>
      <c r="D80" s="476"/>
      <c r="E80" s="357"/>
      <c r="F80" s="357"/>
      <c r="G80" s="357"/>
      <c r="H80" s="357"/>
      <c r="I80" s="357"/>
      <c r="J80" s="357"/>
      <c r="K80" s="357"/>
      <c r="L80" s="357"/>
      <c r="M80" s="357"/>
      <c r="N80" s="477"/>
      <c r="O80" s="128"/>
      <c r="P80" s="125"/>
      <c r="Q80" s="135" t="str">
        <f>IF(Roster!$K$14=0,"",Roster!$K$14)</f>
        <v/>
      </c>
      <c r="R80" s="133"/>
      <c r="S80" s="476"/>
      <c r="T80" s="357"/>
      <c r="U80" s="357"/>
      <c r="V80" s="357"/>
      <c r="W80" s="357"/>
      <c r="X80" s="357"/>
      <c r="Y80" s="357"/>
      <c r="Z80" s="357"/>
      <c r="AA80" s="357"/>
      <c r="AB80" s="357"/>
      <c r="AC80" s="477"/>
      <c r="AD80" s="128"/>
      <c r="AE80" s="125"/>
      <c r="AF80" s="135" t="str">
        <f>IF(Roster!$K$15=0,"",Roster!$K$15)</f>
        <v/>
      </c>
      <c r="AG80" s="133"/>
      <c r="AH80" s="476"/>
      <c r="AI80" s="357"/>
      <c r="AJ80" s="357"/>
      <c r="AK80" s="357"/>
      <c r="AL80" s="357"/>
      <c r="AM80" s="357"/>
      <c r="AN80" s="357"/>
      <c r="AO80" s="357"/>
      <c r="AP80" s="357"/>
      <c r="AQ80" s="357"/>
      <c r="AR80" s="477"/>
      <c r="AS80" s="128"/>
      <c r="AT80" s="125"/>
      <c r="AU80" s="135" t="str">
        <f>IF(Roster!$K$16=0,"",Roster!$K$16)</f>
        <v/>
      </c>
      <c r="AV80" s="133"/>
      <c r="AW80" s="476"/>
      <c r="AX80" s="357"/>
      <c r="AY80" s="357"/>
      <c r="AZ80" s="357"/>
      <c r="BA80" s="357"/>
      <c r="BB80" s="357"/>
      <c r="BC80" s="357"/>
      <c r="BD80" s="357"/>
      <c r="BE80" s="357"/>
      <c r="BF80" s="357"/>
      <c r="BG80" s="477"/>
      <c r="BH80" s="128"/>
    </row>
    <row r="81" spans="1:60" ht="11.25" customHeight="1">
      <c r="A81" s="125"/>
      <c r="B81" s="132" t="str">
        <f>IF(Roster!$L$1=0,"",Roster!$L$1)</f>
        <v>AG</v>
      </c>
      <c r="C81" s="133"/>
      <c r="D81" s="476"/>
      <c r="E81" s="357"/>
      <c r="F81" s="357"/>
      <c r="G81" s="357"/>
      <c r="H81" s="357"/>
      <c r="I81" s="357"/>
      <c r="J81" s="357"/>
      <c r="K81" s="357"/>
      <c r="L81" s="357"/>
      <c r="M81" s="357"/>
      <c r="N81" s="477"/>
      <c r="O81" s="128"/>
      <c r="P81" s="125"/>
      <c r="Q81" s="132" t="str">
        <f>IF(Roster!$L$1=0,"",Roster!$L$1)</f>
        <v>AG</v>
      </c>
      <c r="R81" s="133"/>
      <c r="S81" s="476"/>
      <c r="T81" s="357"/>
      <c r="U81" s="357"/>
      <c r="V81" s="357"/>
      <c r="W81" s="357"/>
      <c r="X81" s="357"/>
      <c r="Y81" s="357"/>
      <c r="Z81" s="357"/>
      <c r="AA81" s="357"/>
      <c r="AB81" s="357"/>
      <c r="AC81" s="477"/>
      <c r="AD81" s="128"/>
      <c r="AE81" s="125"/>
      <c r="AF81" s="132" t="str">
        <f>IF(Roster!$L$1=0,"",Roster!$L$1)</f>
        <v>AG</v>
      </c>
      <c r="AG81" s="133"/>
      <c r="AH81" s="476"/>
      <c r="AI81" s="357"/>
      <c r="AJ81" s="357"/>
      <c r="AK81" s="357"/>
      <c r="AL81" s="357"/>
      <c r="AM81" s="357"/>
      <c r="AN81" s="357"/>
      <c r="AO81" s="357"/>
      <c r="AP81" s="357"/>
      <c r="AQ81" s="357"/>
      <c r="AR81" s="477"/>
      <c r="AS81" s="128"/>
      <c r="AT81" s="125"/>
      <c r="AU81" s="132" t="str">
        <f>IF(Roster!$L$1=0,"",Roster!$L$1)</f>
        <v>AG</v>
      </c>
      <c r="AV81" s="133"/>
      <c r="AW81" s="476"/>
      <c r="AX81" s="357"/>
      <c r="AY81" s="357"/>
      <c r="AZ81" s="357"/>
      <c r="BA81" s="357"/>
      <c r="BB81" s="357"/>
      <c r="BC81" s="357"/>
      <c r="BD81" s="357"/>
      <c r="BE81" s="357"/>
      <c r="BF81" s="357"/>
      <c r="BG81" s="477"/>
      <c r="BH81" s="128"/>
    </row>
    <row r="82" spans="1:60" ht="37.5" customHeight="1">
      <c r="A82" s="125"/>
      <c r="B82" s="135" t="str">
        <f>IF(Roster!$L$13=0&amp;"+","",Roster!$L$13)</f>
        <v>4+</v>
      </c>
      <c r="C82" s="133"/>
      <c r="D82" s="476"/>
      <c r="E82" s="357"/>
      <c r="F82" s="357"/>
      <c r="G82" s="357"/>
      <c r="H82" s="357"/>
      <c r="I82" s="357"/>
      <c r="J82" s="357"/>
      <c r="K82" s="357"/>
      <c r="L82" s="357"/>
      <c r="M82" s="357"/>
      <c r="N82" s="477"/>
      <c r="O82" s="128"/>
      <c r="P82" s="125"/>
      <c r="Q82" s="135" t="str">
        <f>IF(Roster!$L$14=0&amp;"+","",Roster!$L$14)</f>
        <v/>
      </c>
      <c r="R82" s="133"/>
      <c r="S82" s="476"/>
      <c r="T82" s="357"/>
      <c r="U82" s="357"/>
      <c r="V82" s="357"/>
      <c r="W82" s="357"/>
      <c r="X82" s="357"/>
      <c r="Y82" s="357"/>
      <c r="Z82" s="357"/>
      <c r="AA82" s="357"/>
      <c r="AB82" s="357"/>
      <c r="AC82" s="477"/>
      <c r="AD82" s="128"/>
      <c r="AE82" s="125"/>
      <c r="AF82" s="135" t="str">
        <f>IF(Roster!$L$15=0&amp;"+","",Roster!$L$15)</f>
        <v/>
      </c>
      <c r="AG82" s="133"/>
      <c r="AH82" s="476"/>
      <c r="AI82" s="357"/>
      <c r="AJ82" s="357"/>
      <c r="AK82" s="357"/>
      <c r="AL82" s="357"/>
      <c r="AM82" s="357"/>
      <c r="AN82" s="357"/>
      <c r="AO82" s="357"/>
      <c r="AP82" s="357"/>
      <c r="AQ82" s="357"/>
      <c r="AR82" s="477"/>
      <c r="AS82" s="128"/>
      <c r="AT82" s="125"/>
      <c r="AU82" s="135" t="str">
        <f>IF(Roster!$L$16=0&amp;"+","",Roster!$L$16)</f>
        <v/>
      </c>
      <c r="AV82" s="133"/>
      <c r="AW82" s="476"/>
      <c r="AX82" s="357"/>
      <c r="AY82" s="357"/>
      <c r="AZ82" s="357"/>
      <c r="BA82" s="357"/>
      <c r="BB82" s="357"/>
      <c r="BC82" s="357"/>
      <c r="BD82" s="357"/>
      <c r="BE82" s="357"/>
      <c r="BF82" s="357"/>
      <c r="BG82" s="477"/>
      <c r="BH82" s="128"/>
    </row>
    <row r="83" spans="1:60" ht="11.25" customHeight="1">
      <c r="A83" s="125"/>
      <c r="B83" s="132" t="str">
        <f>IF(Roster!$M$1=0,"",Roster!$M$1)</f>
        <v>PA</v>
      </c>
      <c r="C83" s="133"/>
      <c r="D83" s="476"/>
      <c r="E83" s="357"/>
      <c r="F83" s="357"/>
      <c r="G83" s="357"/>
      <c r="H83" s="357"/>
      <c r="I83" s="357"/>
      <c r="J83" s="357"/>
      <c r="K83" s="357"/>
      <c r="L83" s="357"/>
      <c r="M83" s="357"/>
      <c r="N83" s="477"/>
      <c r="O83" s="137"/>
      <c r="P83" s="125"/>
      <c r="Q83" s="132" t="str">
        <f>IF(Roster!$M$1=0,"",Roster!$M$1)</f>
        <v>PA</v>
      </c>
      <c r="R83" s="133"/>
      <c r="S83" s="476"/>
      <c r="T83" s="357"/>
      <c r="U83" s="357"/>
      <c r="V83" s="357"/>
      <c r="W83" s="357"/>
      <c r="X83" s="357"/>
      <c r="Y83" s="357"/>
      <c r="Z83" s="357"/>
      <c r="AA83" s="357"/>
      <c r="AB83" s="357"/>
      <c r="AC83" s="477"/>
      <c r="AD83" s="137"/>
      <c r="AE83" s="125"/>
      <c r="AF83" s="132" t="str">
        <f>IF(Roster!$M$1=0,"",Roster!$M$1)</f>
        <v>PA</v>
      </c>
      <c r="AG83" s="133"/>
      <c r="AH83" s="476"/>
      <c r="AI83" s="357"/>
      <c r="AJ83" s="357"/>
      <c r="AK83" s="357"/>
      <c r="AL83" s="357"/>
      <c r="AM83" s="357"/>
      <c r="AN83" s="357"/>
      <c r="AO83" s="357"/>
      <c r="AP83" s="357"/>
      <c r="AQ83" s="357"/>
      <c r="AR83" s="477"/>
      <c r="AS83" s="137"/>
      <c r="AT83" s="125"/>
      <c r="AU83" s="132" t="str">
        <f>IF(Roster!$M$1=0,"",Roster!$M$1)</f>
        <v>PA</v>
      </c>
      <c r="AV83" s="133"/>
      <c r="AW83" s="476"/>
      <c r="AX83" s="357"/>
      <c r="AY83" s="357"/>
      <c r="AZ83" s="357"/>
      <c r="BA83" s="357"/>
      <c r="BB83" s="357"/>
      <c r="BC83" s="357"/>
      <c r="BD83" s="357"/>
      <c r="BE83" s="357"/>
      <c r="BF83" s="357"/>
      <c r="BG83" s="477"/>
      <c r="BH83" s="137"/>
    </row>
    <row r="84" spans="1:60" ht="6" customHeight="1">
      <c r="A84" s="125"/>
      <c r="B84" s="470" t="str">
        <f>IF(Roster!$M$13=0&amp;"+","",Roster!$M$13)</f>
        <v/>
      </c>
      <c r="C84" s="133"/>
      <c r="D84" s="478"/>
      <c r="E84" s="479"/>
      <c r="F84" s="479"/>
      <c r="G84" s="479"/>
      <c r="H84" s="479"/>
      <c r="I84" s="479"/>
      <c r="J84" s="479"/>
      <c r="K84" s="479"/>
      <c r="L84" s="479"/>
      <c r="M84" s="479"/>
      <c r="N84" s="480"/>
      <c r="O84" s="139"/>
      <c r="P84" s="125"/>
      <c r="Q84" s="470" t="str">
        <f>IF(Roster!$M$14=0&amp;"+","",Roster!$M$14)</f>
        <v/>
      </c>
      <c r="R84" s="133"/>
      <c r="S84" s="478"/>
      <c r="T84" s="479"/>
      <c r="U84" s="479"/>
      <c r="V84" s="479"/>
      <c r="W84" s="479"/>
      <c r="X84" s="479"/>
      <c r="Y84" s="479"/>
      <c r="Z84" s="479"/>
      <c r="AA84" s="479"/>
      <c r="AB84" s="479"/>
      <c r="AC84" s="480"/>
      <c r="AD84" s="139"/>
      <c r="AE84" s="125"/>
      <c r="AF84" s="470" t="str">
        <f>IF(Roster!$M$15=0&amp;"+","",Roster!$M$15)</f>
        <v/>
      </c>
      <c r="AG84" s="133"/>
      <c r="AH84" s="478"/>
      <c r="AI84" s="479"/>
      <c r="AJ84" s="479"/>
      <c r="AK84" s="479"/>
      <c r="AL84" s="479"/>
      <c r="AM84" s="479"/>
      <c r="AN84" s="479"/>
      <c r="AO84" s="479"/>
      <c r="AP84" s="479"/>
      <c r="AQ84" s="479"/>
      <c r="AR84" s="480"/>
      <c r="AS84" s="139"/>
      <c r="AT84" s="125"/>
      <c r="AU84" s="470" t="str">
        <f>IF(Roster!$M$16=0&amp;"+","",Roster!$M$16)</f>
        <v/>
      </c>
      <c r="AV84" s="133"/>
      <c r="AW84" s="478"/>
      <c r="AX84" s="479"/>
      <c r="AY84" s="479"/>
      <c r="AZ84" s="479"/>
      <c r="BA84" s="479"/>
      <c r="BB84" s="479"/>
      <c r="BC84" s="479"/>
      <c r="BD84" s="479"/>
      <c r="BE84" s="479"/>
      <c r="BF84" s="479"/>
      <c r="BG84" s="480"/>
      <c r="BH84" s="139"/>
    </row>
    <row r="85" spans="1:60" ht="4.5" customHeight="1">
      <c r="A85" s="125"/>
      <c r="B85" s="471"/>
      <c r="C85" s="131"/>
      <c r="D85" s="125"/>
      <c r="E85" s="138"/>
      <c r="F85" s="125"/>
      <c r="G85" s="138"/>
      <c r="H85" s="125"/>
      <c r="I85" s="138"/>
      <c r="J85" s="125"/>
      <c r="K85" s="138"/>
      <c r="L85" s="125"/>
      <c r="M85" s="138"/>
      <c r="N85" s="125"/>
      <c r="O85" s="139"/>
      <c r="P85" s="125"/>
      <c r="Q85" s="471"/>
      <c r="R85" s="131"/>
      <c r="S85" s="125"/>
      <c r="T85" s="138"/>
      <c r="U85" s="125"/>
      <c r="V85" s="138"/>
      <c r="W85" s="125"/>
      <c r="X85" s="138"/>
      <c r="Y85" s="125"/>
      <c r="Z85" s="138"/>
      <c r="AA85" s="125"/>
      <c r="AB85" s="138"/>
      <c r="AC85" s="125"/>
      <c r="AD85" s="139"/>
      <c r="AE85" s="125"/>
      <c r="AF85" s="471"/>
      <c r="AG85" s="131"/>
      <c r="AH85" s="125"/>
      <c r="AI85" s="138"/>
      <c r="AJ85" s="125"/>
      <c r="AK85" s="138"/>
      <c r="AL85" s="125"/>
      <c r="AM85" s="138"/>
      <c r="AN85" s="125"/>
      <c r="AO85" s="138"/>
      <c r="AP85" s="125"/>
      <c r="AQ85" s="138"/>
      <c r="AR85" s="125"/>
      <c r="AS85" s="139"/>
      <c r="AT85" s="125"/>
      <c r="AU85" s="471"/>
      <c r="AV85" s="131"/>
      <c r="AW85" s="125"/>
      <c r="AX85" s="138"/>
      <c r="AY85" s="125"/>
      <c r="AZ85" s="138"/>
      <c r="BA85" s="125"/>
      <c r="BB85" s="138"/>
      <c r="BC85" s="125"/>
      <c r="BD85" s="138"/>
      <c r="BE85" s="125"/>
      <c r="BF85" s="138"/>
      <c r="BG85" s="125"/>
      <c r="BH85" s="139"/>
    </row>
    <row r="86" spans="1:60" ht="11.25" customHeight="1">
      <c r="A86" s="125"/>
      <c r="B86" s="471"/>
      <c r="C86" s="131"/>
      <c r="D86" s="481" t="str">
        <f>IF(Roster!$J$24="Italiano","ABILITÀ &amp; TRATTI",(IF(Roster!$J$24="Español","HABILIDADES Y RASGOS","SKILLS &amp; TRAITS")))</f>
        <v>SKILLS &amp; TRAITS</v>
      </c>
      <c r="E86" s="482"/>
      <c r="F86" s="482"/>
      <c r="G86" s="482"/>
      <c r="H86" s="482"/>
      <c r="I86" s="482"/>
      <c r="J86" s="482"/>
      <c r="K86" s="482"/>
      <c r="L86" s="482"/>
      <c r="M86" s="482"/>
      <c r="N86" s="483"/>
      <c r="O86" s="139"/>
      <c r="P86" s="125"/>
      <c r="Q86" s="471"/>
      <c r="R86" s="131"/>
      <c r="S86" s="481" t="str">
        <f>IF(Roster!$J$24="Italiano","ABILITÀ &amp; TRATTI",(IF(Roster!$J$24="Español","HABILIDADES Y RASGOS","SKILLS &amp; TRAITS")))</f>
        <v>SKILLS &amp; TRAITS</v>
      </c>
      <c r="T86" s="482"/>
      <c r="U86" s="482"/>
      <c r="V86" s="482"/>
      <c r="W86" s="482"/>
      <c r="X86" s="482"/>
      <c r="Y86" s="482"/>
      <c r="Z86" s="482"/>
      <c r="AA86" s="482"/>
      <c r="AB86" s="482"/>
      <c r="AC86" s="483"/>
      <c r="AD86" s="139"/>
      <c r="AE86" s="125"/>
      <c r="AF86" s="471"/>
      <c r="AG86" s="131"/>
      <c r="AH86" s="481" t="str">
        <f>IF(Roster!$J$24="Italiano","ABILITÀ &amp; TRATTI",(IF(Roster!$J$24="Español","HABILIDADES Y RASGOS","SKILLS &amp; TRAITS")))</f>
        <v>SKILLS &amp; TRAITS</v>
      </c>
      <c r="AI86" s="482"/>
      <c r="AJ86" s="482"/>
      <c r="AK86" s="482"/>
      <c r="AL86" s="482"/>
      <c r="AM86" s="482"/>
      <c r="AN86" s="482"/>
      <c r="AO86" s="482"/>
      <c r="AP86" s="482"/>
      <c r="AQ86" s="482"/>
      <c r="AR86" s="483"/>
      <c r="AS86" s="139"/>
      <c r="AT86" s="125"/>
      <c r="AU86" s="471"/>
      <c r="AV86" s="131"/>
      <c r="AW86" s="481" t="str">
        <f>IF(Roster!$J$24="Italiano","ABILITÀ &amp; TRATTI",(IF(Roster!$J$24="Español","HABILIDADES Y RASGOS","SKILLS &amp; TRAITS")))</f>
        <v>SKILLS &amp; TRAITS</v>
      </c>
      <c r="AX86" s="482"/>
      <c r="AY86" s="482"/>
      <c r="AZ86" s="482"/>
      <c r="BA86" s="482"/>
      <c r="BB86" s="482"/>
      <c r="BC86" s="482"/>
      <c r="BD86" s="482"/>
      <c r="BE86" s="482"/>
      <c r="BF86" s="482"/>
      <c r="BG86" s="483"/>
      <c r="BH86" s="139"/>
    </row>
    <row r="87" spans="1:60" ht="15" customHeight="1">
      <c r="A87" s="125"/>
      <c r="B87" s="471"/>
      <c r="C87" s="134"/>
      <c r="D87" s="484" t="str">
        <f>IF(Roster!$O$13=0,"",Roster!$O$13&amp;Roster!BF13)</f>
        <v>Regeneration</v>
      </c>
      <c r="E87" s="448"/>
      <c r="F87" s="448"/>
      <c r="G87" s="448"/>
      <c r="H87" s="448"/>
      <c r="I87" s="448"/>
      <c r="J87" s="448"/>
      <c r="K87" s="448"/>
      <c r="L87" s="448"/>
      <c r="M87" s="448"/>
      <c r="N87" s="485"/>
      <c r="O87" s="139"/>
      <c r="P87" s="125"/>
      <c r="Q87" s="471"/>
      <c r="R87" s="134"/>
      <c r="S87" s="484" t="str">
        <f>IF(Roster!$O$14=0,"",Roster!$O$14&amp;Roster!BF14)</f>
        <v/>
      </c>
      <c r="T87" s="448"/>
      <c r="U87" s="448"/>
      <c r="V87" s="448"/>
      <c r="W87" s="448"/>
      <c r="X87" s="448"/>
      <c r="Y87" s="448"/>
      <c r="Z87" s="448"/>
      <c r="AA87" s="448"/>
      <c r="AB87" s="448"/>
      <c r="AC87" s="485"/>
      <c r="AD87" s="139"/>
      <c r="AE87" s="125"/>
      <c r="AF87" s="471"/>
      <c r="AG87" s="134"/>
      <c r="AH87" s="484" t="str">
        <f>IF(Roster!$O$15=0,"",Roster!$O$15&amp;Roster!BF15)</f>
        <v/>
      </c>
      <c r="AI87" s="448"/>
      <c r="AJ87" s="448"/>
      <c r="AK87" s="448"/>
      <c r="AL87" s="448"/>
      <c r="AM87" s="448"/>
      <c r="AN87" s="448"/>
      <c r="AO87" s="448"/>
      <c r="AP87" s="448"/>
      <c r="AQ87" s="448"/>
      <c r="AR87" s="485"/>
      <c r="AS87" s="139"/>
      <c r="AT87" s="125"/>
      <c r="AU87" s="471"/>
      <c r="AV87" s="134"/>
      <c r="AW87" s="484" t="str">
        <f>IF(Roster!$O$16=0,"",Roster!$O$16&amp;Roster!BF16)</f>
        <v/>
      </c>
      <c r="AX87" s="448"/>
      <c r="AY87" s="448"/>
      <c r="AZ87" s="448"/>
      <c r="BA87" s="448"/>
      <c r="BB87" s="448"/>
      <c r="BC87" s="448"/>
      <c r="BD87" s="448"/>
      <c r="BE87" s="448"/>
      <c r="BF87" s="448"/>
      <c r="BG87" s="485"/>
      <c r="BH87" s="139"/>
    </row>
    <row r="88" spans="1:60" ht="4.5" customHeight="1">
      <c r="A88" s="125"/>
      <c r="B88" s="472"/>
      <c r="C88" s="134"/>
      <c r="D88" s="476"/>
      <c r="E88" s="357"/>
      <c r="F88" s="357"/>
      <c r="G88" s="357"/>
      <c r="H88" s="357"/>
      <c r="I88" s="357"/>
      <c r="J88" s="357"/>
      <c r="K88" s="357"/>
      <c r="L88" s="357"/>
      <c r="M88" s="357"/>
      <c r="N88" s="477"/>
      <c r="O88" s="139"/>
      <c r="P88" s="125"/>
      <c r="Q88" s="472"/>
      <c r="R88" s="134"/>
      <c r="S88" s="476"/>
      <c r="T88" s="357"/>
      <c r="U88" s="357"/>
      <c r="V88" s="357"/>
      <c r="W88" s="357"/>
      <c r="X88" s="357"/>
      <c r="Y88" s="357"/>
      <c r="Z88" s="357"/>
      <c r="AA88" s="357"/>
      <c r="AB88" s="357"/>
      <c r="AC88" s="477"/>
      <c r="AD88" s="139"/>
      <c r="AE88" s="125"/>
      <c r="AF88" s="472"/>
      <c r="AG88" s="134"/>
      <c r="AH88" s="476"/>
      <c r="AI88" s="357"/>
      <c r="AJ88" s="357"/>
      <c r="AK88" s="357"/>
      <c r="AL88" s="357"/>
      <c r="AM88" s="357"/>
      <c r="AN88" s="357"/>
      <c r="AO88" s="357"/>
      <c r="AP88" s="357"/>
      <c r="AQ88" s="357"/>
      <c r="AR88" s="477"/>
      <c r="AS88" s="139"/>
      <c r="AT88" s="125"/>
      <c r="AU88" s="472"/>
      <c r="AV88" s="134"/>
      <c r="AW88" s="476"/>
      <c r="AX88" s="357"/>
      <c r="AY88" s="357"/>
      <c r="AZ88" s="357"/>
      <c r="BA88" s="357"/>
      <c r="BB88" s="357"/>
      <c r="BC88" s="357"/>
      <c r="BD88" s="357"/>
      <c r="BE88" s="357"/>
      <c r="BF88" s="357"/>
      <c r="BG88" s="477"/>
      <c r="BH88" s="139"/>
    </row>
    <row r="89" spans="1:60" ht="11.25" customHeight="1">
      <c r="A89" s="125"/>
      <c r="B89" s="132" t="str">
        <f>IF(Roster!$N$1=0,"",Roster!$N$1)</f>
        <v>AV</v>
      </c>
      <c r="C89" s="133"/>
      <c r="D89" s="476"/>
      <c r="E89" s="357"/>
      <c r="F89" s="357"/>
      <c r="G89" s="357"/>
      <c r="H89" s="357"/>
      <c r="I89" s="357"/>
      <c r="J89" s="357"/>
      <c r="K89" s="357"/>
      <c r="L89" s="357"/>
      <c r="M89" s="357"/>
      <c r="N89" s="477"/>
      <c r="O89" s="128"/>
      <c r="P89" s="125"/>
      <c r="Q89" s="132" t="str">
        <f>IF(Roster!$N$1=0,"",Roster!$N$1)</f>
        <v>AV</v>
      </c>
      <c r="R89" s="133"/>
      <c r="S89" s="476"/>
      <c r="T89" s="357"/>
      <c r="U89" s="357"/>
      <c r="V89" s="357"/>
      <c r="W89" s="357"/>
      <c r="X89" s="357"/>
      <c r="Y89" s="357"/>
      <c r="Z89" s="357"/>
      <c r="AA89" s="357"/>
      <c r="AB89" s="357"/>
      <c r="AC89" s="477"/>
      <c r="AD89" s="128"/>
      <c r="AE89" s="125"/>
      <c r="AF89" s="132" t="str">
        <f>IF(Roster!$N$1=0,"",Roster!$N$1)</f>
        <v>AV</v>
      </c>
      <c r="AG89" s="133"/>
      <c r="AH89" s="476"/>
      <c r="AI89" s="357"/>
      <c r="AJ89" s="357"/>
      <c r="AK89" s="357"/>
      <c r="AL89" s="357"/>
      <c r="AM89" s="357"/>
      <c r="AN89" s="357"/>
      <c r="AO89" s="357"/>
      <c r="AP89" s="357"/>
      <c r="AQ89" s="357"/>
      <c r="AR89" s="477"/>
      <c r="AS89" s="128"/>
      <c r="AT89" s="125"/>
      <c r="AU89" s="132" t="str">
        <f>IF(Roster!$N$1=0,"",Roster!$N$1)</f>
        <v>AV</v>
      </c>
      <c r="AV89" s="133"/>
      <c r="AW89" s="476"/>
      <c r="AX89" s="357"/>
      <c r="AY89" s="357"/>
      <c r="AZ89" s="357"/>
      <c r="BA89" s="357"/>
      <c r="BB89" s="357"/>
      <c r="BC89" s="357"/>
      <c r="BD89" s="357"/>
      <c r="BE89" s="357"/>
      <c r="BF89" s="357"/>
      <c r="BG89" s="477"/>
      <c r="BH89" s="128"/>
    </row>
    <row r="90" spans="1:60" ht="15" customHeight="1">
      <c r="A90" s="125"/>
      <c r="B90" s="470" t="str">
        <f>IF(Roster!$N$13=0&amp;"+","",Roster!$N$13)</f>
        <v>9+</v>
      </c>
      <c r="C90" s="134"/>
      <c r="D90" s="476"/>
      <c r="E90" s="357"/>
      <c r="F90" s="357"/>
      <c r="G90" s="357"/>
      <c r="H90" s="357"/>
      <c r="I90" s="357"/>
      <c r="J90" s="357"/>
      <c r="K90" s="357"/>
      <c r="L90" s="357"/>
      <c r="M90" s="357"/>
      <c r="N90" s="477"/>
      <c r="O90" s="140"/>
      <c r="P90" s="125"/>
      <c r="Q90" s="470" t="str">
        <f>IF(Roster!$N$14=0&amp;"+","",Roster!$N$14)</f>
        <v/>
      </c>
      <c r="R90" s="134"/>
      <c r="S90" s="476"/>
      <c r="T90" s="357"/>
      <c r="U90" s="357"/>
      <c r="V90" s="357"/>
      <c r="W90" s="357"/>
      <c r="X90" s="357"/>
      <c r="Y90" s="357"/>
      <c r="Z90" s="357"/>
      <c r="AA90" s="357"/>
      <c r="AB90" s="357"/>
      <c r="AC90" s="477"/>
      <c r="AD90" s="140"/>
      <c r="AE90" s="125"/>
      <c r="AF90" s="470" t="str">
        <f>IF(Roster!$N$15=0&amp;"+","",Roster!$N$15)</f>
        <v/>
      </c>
      <c r="AG90" s="134"/>
      <c r="AH90" s="476"/>
      <c r="AI90" s="357"/>
      <c r="AJ90" s="357"/>
      <c r="AK90" s="357"/>
      <c r="AL90" s="357"/>
      <c r="AM90" s="357"/>
      <c r="AN90" s="357"/>
      <c r="AO90" s="357"/>
      <c r="AP90" s="357"/>
      <c r="AQ90" s="357"/>
      <c r="AR90" s="477"/>
      <c r="AS90" s="140"/>
      <c r="AT90" s="125"/>
      <c r="AU90" s="470" t="str">
        <f>IF(Roster!$N$16=0&amp;"+","",Roster!$N$16)</f>
        <v/>
      </c>
      <c r="AV90" s="134"/>
      <c r="AW90" s="476"/>
      <c r="AX90" s="357"/>
      <c r="AY90" s="357"/>
      <c r="AZ90" s="357"/>
      <c r="BA90" s="357"/>
      <c r="BB90" s="357"/>
      <c r="BC90" s="357"/>
      <c r="BD90" s="357"/>
      <c r="BE90" s="357"/>
      <c r="BF90" s="357"/>
      <c r="BG90" s="477"/>
      <c r="BH90" s="140"/>
    </row>
    <row r="91" spans="1:60" ht="4.5" customHeight="1">
      <c r="A91" s="125"/>
      <c r="B91" s="471"/>
      <c r="C91" s="134"/>
      <c r="D91" s="476"/>
      <c r="E91" s="357"/>
      <c r="F91" s="357"/>
      <c r="G91" s="357"/>
      <c r="H91" s="357"/>
      <c r="I91" s="357"/>
      <c r="J91" s="357"/>
      <c r="K91" s="357"/>
      <c r="L91" s="357"/>
      <c r="M91" s="357"/>
      <c r="N91" s="477"/>
      <c r="O91" s="140"/>
      <c r="P91" s="125"/>
      <c r="Q91" s="471"/>
      <c r="R91" s="134"/>
      <c r="S91" s="476"/>
      <c r="T91" s="357"/>
      <c r="U91" s="357"/>
      <c r="V91" s="357"/>
      <c r="W91" s="357"/>
      <c r="X91" s="357"/>
      <c r="Y91" s="357"/>
      <c r="Z91" s="357"/>
      <c r="AA91" s="357"/>
      <c r="AB91" s="357"/>
      <c r="AC91" s="477"/>
      <c r="AD91" s="140"/>
      <c r="AE91" s="125"/>
      <c r="AF91" s="471"/>
      <c r="AG91" s="134"/>
      <c r="AH91" s="476"/>
      <c r="AI91" s="357"/>
      <c r="AJ91" s="357"/>
      <c r="AK91" s="357"/>
      <c r="AL91" s="357"/>
      <c r="AM91" s="357"/>
      <c r="AN91" s="357"/>
      <c r="AO91" s="357"/>
      <c r="AP91" s="357"/>
      <c r="AQ91" s="357"/>
      <c r="AR91" s="477"/>
      <c r="AS91" s="140"/>
      <c r="AT91" s="125"/>
      <c r="AU91" s="471"/>
      <c r="AV91" s="134"/>
      <c r="AW91" s="476"/>
      <c r="AX91" s="357"/>
      <c r="AY91" s="357"/>
      <c r="AZ91" s="357"/>
      <c r="BA91" s="357"/>
      <c r="BB91" s="357"/>
      <c r="BC91" s="357"/>
      <c r="BD91" s="357"/>
      <c r="BE91" s="357"/>
      <c r="BF91" s="357"/>
      <c r="BG91" s="477"/>
      <c r="BH91" s="140"/>
    </row>
    <row r="92" spans="1:60" ht="11.25" customHeight="1">
      <c r="A92" s="125"/>
      <c r="B92" s="471"/>
      <c r="C92" s="134"/>
      <c r="D92" s="476"/>
      <c r="E92" s="357"/>
      <c r="F92" s="357"/>
      <c r="G92" s="357"/>
      <c r="H92" s="357"/>
      <c r="I92" s="357"/>
      <c r="J92" s="357"/>
      <c r="K92" s="357"/>
      <c r="L92" s="357"/>
      <c r="M92" s="357"/>
      <c r="N92" s="477"/>
      <c r="O92" s="140"/>
      <c r="P92" s="125"/>
      <c r="Q92" s="471"/>
      <c r="R92" s="134"/>
      <c r="S92" s="476"/>
      <c r="T92" s="357"/>
      <c r="U92" s="357"/>
      <c r="V92" s="357"/>
      <c r="W92" s="357"/>
      <c r="X92" s="357"/>
      <c r="Y92" s="357"/>
      <c r="Z92" s="357"/>
      <c r="AA92" s="357"/>
      <c r="AB92" s="357"/>
      <c r="AC92" s="477"/>
      <c r="AD92" s="140"/>
      <c r="AE92" s="125"/>
      <c r="AF92" s="471"/>
      <c r="AG92" s="134"/>
      <c r="AH92" s="476"/>
      <c r="AI92" s="357"/>
      <c r="AJ92" s="357"/>
      <c r="AK92" s="357"/>
      <c r="AL92" s="357"/>
      <c r="AM92" s="357"/>
      <c r="AN92" s="357"/>
      <c r="AO92" s="357"/>
      <c r="AP92" s="357"/>
      <c r="AQ92" s="357"/>
      <c r="AR92" s="477"/>
      <c r="AS92" s="140"/>
      <c r="AT92" s="125"/>
      <c r="AU92" s="471"/>
      <c r="AV92" s="134"/>
      <c r="AW92" s="476"/>
      <c r="AX92" s="357"/>
      <c r="AY92" s="357"/>
      <c r="AZ92" s="357"/>
      <c r="BA92" s="357"/>
      <c r="BB92" s="357"/>
      <c r="BC92" s="357"/>
      <c r="BD92" s="357"/>
      <c r="BE92" s="357"/>
      <c r="BF92" s="357"/>
      <c r="BG92" s="477"/>
      <c r="BH92" s="140"/>
    </row>
    <row r="93" spans="1:60" ht="6.75" customHeight="1">
      <c r="A93" s="125"/>
      <c r="B93" s="472"/>
      <c r="C93" s="134"/>
      <c r="D93" s="476"/>
      <c r="E93" s="357"/>
      <c r="F93" s="357"/>
      <c r="G93" s="357"/>
      <c r="H93" s="357"/>
      <c r="I93" s="357"/>
      <c r="J93" s="357"/>
      <c r="K93" s="357"/>
      <c r="L93" s="357"/>
      <c r="M93" s="357"/>
      <c r="N93" s="477"/>
      <c r="O93" s="140"/>
      <c r="P93" s="125"/>
      <c r="Q93" s="472"/>
      <c r="R93" s="134"/>
      <c r="S93" s="476"/>
      <c r="T93" s="357"/>
      <c r="U93" s="357"/>
      <c r="V93" s="357"/>
      <c r="W93" s="357"/>
      <c r="X93" s="357"/>
      <c r="Y93" s="357"/>
      <c r="Z93" s="357"/>
      <c r="AA93" s="357"/>
      <c r="AB93" s="357"/>
      <c r="AC93" s="477"/>
      <c r="AD93" s="140"/>
      <c r="AE93" s="125"/>
      <c r="AF93" s="472"/>
      <c r="AG93" s="134"/>
      <c r="AH93" s="476"/>
      <c r="AI93" s="357"/>
      <c r="AJ93" s="357"/>
      <c r="AK93" s="357"/>
      <c r="AL93" s="357"/>
      <c r="AM93" s="357"/>
      <c r="AN93" s="357"/>
      <c r="AO93" s="357"/>
      <c r="AP93" s="357"/>
      <c r="AQ93" s="357"/>
      <c r="AR93" s="477"/>
      <c r="AS93" s="140"/>
      <c r="AT93" s="125"/>
      <c r="AU93" s="472"/>
      <c r="AV93" s="134"/>
      <c r="AW93" s="476"/>
      <c r="AX93" s="357"/>
      <c r="AY93" s="357"/>
      <c r="AZ93" s="357"/>
      <c r="BA93" s="357"/>
      <c r="BB93" s="357"/>
      <c r="BC93" s="357"/>
      <c r="BD93" s="357"/>
      <c r="BE93" s="357"/>
      <c r="BF93" s="357"/>
      <c r="BG93" s="477"/>
      <c r="BH93" s="140"/>
    </row>
    <row r="94" spans="1:60" ht="11.25" customHeight="1">
      <c r="A94" s="125"/>
      <c r="B94" s="132" t="str">
        <f>IF(Roster!$AN$1=0,"",Roster!$AN$1)</f>
        <v>COST</v>
      </c>
      <c r="C94" s="133"/>
      <c r="D94" s="476"/>
      <c r="E94" s="357"/>
      <c r="F94" s="357"/>
      <c r="G94" s="357"/>
      <c r="H94" s="357"/>
      <c r="I94" s="357"/>
      <c r="J94" s="357"/>
      <c r="K94" s="357"/>
      <c r="L94" s="357"/>
      <c r="M94" s="357"/>
      <c r="N94" s="477"/>
      <c r="O94" s="143"/>
      <c r="P94" s="125"/>
      <c r="Q94" s="132" t="str">
        <f>IF(Roster!$AN$1=0,"",Roster!$AN$1)</f>
        <v>COST</v>
      </c>
      <c r="R94" s="133"/>
      <c r="S94" s="476"/>
      <c r="T94" s="357"/>
      <c r="U94" s="357"/>
      <c r="V94" s="357"/>
      <c r="W94" s="357"/>
      <c r="X94" s="357"/>
      <c r="Y94" s="357"/>
      <c r="Z94" s="357"/>
      <c r="AA94" s="357"/>
      <c r="AB94" s="357"/>
      <c r="AC94" s="477"/>
      <c r="AD94" s="143"/>
      <c r="AE94" s="125"/>
      <c r="AF94" s="132" t="str">
        <f>IF(Roster!$AN$1=0,"",Roster!$AN$1)</f>
        <v>COST</v>
      </c>
      <c r="AG94" s="133"/>
      <c r="AH94" s="476"/>
      <c r="AI94" s="357"/>
      <c r="AJ94" s="357"/>
      <c r="AK94" s="357"/>
      <c r="AL94" s="357"/>
      <c r="AM94" s="357"/>
      <c r="AN94" s="357"/>
      <c r="AO94" s="357"/>
      <c r="AP94" s="357"/>
      <c r="AQ94" s="357"/>
      <c r="AR94" s="477"/>
      <c r="AS94" s="143"/>
      <c r="AT94" s="125"/>
      <c r="AU94" s="132" t="str">
        <f>IF(Roster!$AN$1=0,"",Roster!$AN$1)</f>
        <v>COST</v>
      </c>
      <c r="AV94" s="133"/>
      <c r="AW94" s="476"/>
      <c r="AX94" s="357"/>
      <c r="AY94" s="357"/>
      <c r="AZ94" s="357"/>
      <c r="BA94" s="357"/>
      <c r="BB94" s="357"/>
      <c r="BC94" s="357"/>
      <c r="BD94" s="357"/>
      <c r="BE94" s="357"/>
      <c r="BF94" s="357"/>
      <c r="BG94" s="477"/>
      <c r="BH94" s="143"/>
    </row>
    <row r="95" spans="1:60" ht="34.5" customHeight="1">
      <c r="A95" s="125"/>
      <c r="B95" s="145">
        <f>IF(Roster!$AN$13=0,"",Roster!$AN$13)</f>
        <v>40000</v>
      </c>
      <c r="C95" s="146"/>
      <c r="D95" s="478"/>
      <c r="E95" s="479"/>
      <c r="F95" s="479"/>
      <c r="G95" s="479"/>
      <c r="H95" s="479"/>
      <c r="I95" s="479"/>
      <c r="J95" s="479"/>
      <c r="K95" s="479"/>
      <c r="L95" s="479"/>
      <c r="M95" s="479"/>
      <c r="N95" s="480"/>
      <c r="O95" s="143"/>
      <c r="P95" s="125"/>
      <c r="Q95" s="145" t="str">
        <f>IF(Roster!$AN$14=0,"",Roster!$AN$14)</f>
        <v/>
      </c>
      <c r="R95" s="146"/>
      <c r="S95" s="478"/>
      <c r="T95" s="479"/>
      <c r="U95" s="479"/>
      <c r="V95" s="479"/>
      <c r="W95" s="479"/>
      <c r="X95" s="479"/>
      <c r="Y95" s="479"/>
      <c r="Z95" s="479"/>
      <c r="AA95" s="479"/>
      <c r="AB95" s="479"/>
      <c r="AC95" s="480"/>
      <c r="AD95" s="143"/>
      <c r="AE95" s="125"/>
      <c r="AF95" s="145" t="str">
        <f>IF(Roster!$AN$15=0,"",Roster!$AN$15)</f>
        <v/>
      </c>
      <c r="AG95" s="146"/>
      <c r="AH95" s="478"/>
      <c r="AI95" s="479"/>
      <c r="AJ95" s="479"/>
      <c r="AK95" s="479"/>
      <c r="AL95" s="479"/>
      <c r="AM95" s="479"/>
      <c r="AN95" s="479"/>
      <c r="AO95" s="479"/>
      <c r="AP95" s="479"/>
      <c r="AQ95" s="479"/>
      <c r="AR95" s="480"/>
      <c r="AS95" s="143"/>
      <c r="AT95" s="125"/>
      <c r="AU95" s="145" t="str">
        <f>IF(Roster!$AN$16=0,"",Roster!$AN$16)</f>
        <v/>
      </c>
      <c r="AV95" s="146"/>
      <c r="AW95" s="478"/>
      <c r="AX95" s="479"/>
      <c r="AY95" s="479"/>
      <c r="AZ95" s="479"/>
      <c r="BA95" s="479"/>
      <c r="BB95" s="479"/>
      <c r="BC95" s="479"/>
      <c r="BD95" s="479"/>
      <c r="BE95" s="479"/>
      <c r="BF95" s="479"/>
      <c r="BG95" s="480"/>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90" t="str">
        <f>IF(Roster!$A$17=0,"","#"&amp;Roster!$A$17)</f>
        <v>#16</v>
      </c>
      <c r="C98" s="126"/>
      <c r="D98" s="126"/>
      <c r="E98" s="126"/>
      <c r="F98" s="126"/>
      <c r="G98" s="126"/>
      <c r="H98" s="126"/>
      <c r="I98" s="126"/>
      <c r="J98" s="126"/>
      <c r="K98" s="126"/>
      <c r="L98" s="126"/>
      <c r="M98" s="126"/>
      <c r="N98" s="126"/>
      <c r="O98" s="127"/>
      <c r="P98" s="125"/>
      <c r="Q98" s="497"/>
      <c r="R98" s="126"/>
      <c r="S98" s="126"/>
      <c r="T98" s="126"/>
      <c r="U98" s="126"/>
      <c r="V98" s="126"/>
      <c r="W98" s="126"/>
      <c r="X98" s="126"/>
      <c r="Y98" s="126"/>
      <c r="Z98" s="126"/>
      <c r="AA98" s="126"/>
      <c r="AB98" s="126"/>
      <c r="AC98" s="126"/>
      <c r="AD98" s="127"/>
      <c r="AE98" s="125"/>
      <c r="AF98" s="497"/>
      <c r="AG98" s="126"/>
      <c r="AH98" s="126"/>
      <c r="AI98" s="126"/>
      <c r="AJ98" s="126"/>
      <c r="AK98" s="126"/>
      <c r="AL98" s="126"/>
      <c r="AM98" s="126"/>
      <c r="AN98" s="126"/>
      <c r="AO98" s="126"/>
      <c r="AP98" s="126"/>
      <c r="AQ98" s="126"/>
      <c r="AR98" s="126"/>
      <c r="AS98" s="127"/>
      <c r="AT98" s="125"/>
      <c r="AU98" s="497"/>
      <c r="AV98" s="126"/>
      <c r="AW98" s="126"/>
      <c r="AX98" s="126"/>
      <c r="AY98" s="126"/>
      <c r="AZ98" s="126"/>
      <c r="BA98" s="126"/>
      <c r="BB98" s="126"/>
      <c r="BC98" s="126"/>
      <c r="BD98" s="126"/>
      <c r="BE98" s="126"/>
      <c r="BF98" s="126"/>
      <c r="BG98" s="126"/>
      <c r="BH98" s="209"/>
    </row>
    <row r="99" spans="1:60" ht="15" customHeight="1">
      <c r="A99" s="125"/>
      <c r="B99" s="491"/>
      <c r="C99" s="473" t="str">
        <f>IF(Roster!$B$17=0,"",Roster!$B$17)</f>
        <v/>
      </c>
      <c r="D99" s="395"/>
      <c r="E99" s="395"/>
      <c r="F99" s="395"/>
      <c r="G99" s="395"/>
      <c r="H99" s="395"/>
      <c r="I99" s="395"/>
      <c r="J99" s="395"/>
      <c r="K99" s="395"/>
      <c r="L99" s="395"/>
      <c r="M99" s="395"/>
      <c r="N99" s="396"/>
      <c r="O99" s="128"/>
      <c r="P99" s="125"/>
      <c r="Q99" s="491"/>
      <c r="R99" s="474" t="str">
        <f>IF(Roster!$B$18=0,"","("&amp;Roster!$B$18&amp;")")</f>
        <v>(Star Player &amp; Mercenary)</v>
      </c>
      <c r="S99" s="395"/>
      <c r="T99" s="395"/>
      <c r="U99" s="395"/>
      <c r="V99" s="395"/>
      <c r="W99" s="395"/>
      <c r="X99" s="395"/>
      <c r="Y99" s="395"/>
      <c r="Z99" s="395"/>
      <c r="AA99" s="395"/>
      <c r="AB99" s="395"/>
      <c r="AC99" s="396"/>
      <c r="AD99" s="128"/>
      <c r="AE99" s="125"/>
      <c r="AF99" s="491"/>
      <c r="AG99" s="474" t="str">
        <f>IF(Roster!$B$19=0,"","("&amp;Roster!$B$19&amp;")")</f>
        <v>(Star Player &amp; Mercenary)</v>
      </c>
      <c r="AH99" s="395"/>
      <c r="AI99" s="395"/>
      <c r="AJ99" s="395"/>
      <c r="AK99" s="395"/>
      <c r="AL99" s="395"/>
      <c r="AM99" s="395"/>
      <c r="AN99" s="395"/>
      <c r="AO99" s="395"/>
      <c r="AP99" s="395"/>
      <c r="AQ99" s="395"/>
      <c r="AR99" s="396"/>
      <c r="AS99" s="128"/>
      <c r="AT99" s="125"/>
      <c r="AU99" s="491"/>
      <c r="AV99" s="474" t="str">
        <f>IF(Roster!$B$20=0,"","("&amp;Roster!$B$20&amp;")")</f>
        <v>(Mercenary)</v>
      </c>
      <c r="AW99" s="395"/>
      <c r="AX99" s="395"/>
      <c r="AY99" s="395"/>
      <c r="AZ99" s="395"/>
      <c r="BA99" s="395"/>
      <c r="BB99" s="395"/>
      <c r="BC99" s="395"/>
      <c r="BD99" s="395"/>
      <c r="BE99" s="395"/>
      <c r="BF99" s="395"/>
      <c r="BG99" s="396"/>
      <c r="BH99" s="210"/>
    </row>
    <row r="100" spans="1:60" ht="11.25" customHeight="1">
      <c r="A100" s="125"/>
      <c r="B100" s="492"/>
      <c r="C100" s="474" t="str">
        <f>IF(Roster!$C$17=0,"",Roster!$C$17)</f>
        <v/>
      </c>
      <c r="D100" s="395"/>
      <c r="E100" s="395"/>
      <c r="F100" s="395"/>
      <c r="G100" s="395"/>
      <c r="H100" s="395"/>
      <c r="I100" s="395"/>
      <c r="J100" s="395"/>
      <c r="K100" s="395"/>
      <c r="L100" s="395"/>
      <c r="M100" s="395"/>
      <c r="N100" s="396"/>
      <c r="O100" s="129"/>
      <c r="P100" s="125"/>
      <c r="Q100" s="492"/>
      <c r="R100" s="14"/>
      <c r="S100" s="498" t="str">
        <f>IF(Roster!$C$18=0,"",Roster!$C$18)</f>
        <v/>
      </c>
      <c r="T100" s="357"/>
      <c r="U100" s="357"/>
      <c r="V100" s="357"/>
      <c r="W100" s="357"/>
      <c r="X100" s="357"/>
      <c r="Y100" s="357"/>
      <c r="Z100" s="357"/>
      <c r="AA100" s="357"/>
      <c r="AB100" s="357"/>
      <c r="AC100" s="357"/>
      <c r="AD100" s="129"/>
      <c r="AE100" s="125"/>
      <c r="AF100" s="492"/>
      <c r="AG100" s="14"/>
      <c r="AH100" s="498" t="str">
        <f>IF(Roster!$C$19=0,"",Roster!$C$19)</f>
        <v/>
      </c>
      <c r="AI100" s="357"/>
      <c r="AJ100" s="357"/>
      <c r="AK100" s="357"/>
      <c r="AL100" s="357"/>
      <c r="AM100" s="357"/>
      <c r="AN100" s="357"/>
      <c r="AO100" s="357"/>
      <c r="AP100" s="357"/>
      <c r="AQ100" s="357"/>
      <c r="AR100" s="357"/>
      <c r="AS100" s="129"/>
      <c r="AT100" s="125"/>
      <c r="AU100" s="492"/>
      <c r="AV100" s="14"/>
      <c r="AW100" s="498" t="str">
        <f>IF(Roster!$C$20=0,"",Roster!$C$20)</f>
        <v/>
      </c>
      <c r="AX100" s="357"/>
      <c r="AY100" s="357"/>
      <c r="AZ100" s="357"/>
      <c r="BA100" s="357"/>
      <c r="BB100" s="357"/>
      <c r="BC100" s="357"/>
      <c r="BD100" s="357"/>
      <c r="BE100" s="357"/>
      <c r="BF100" s="357"/>
      <c r="BG100" s="357"/>
      <c r="BH100" s="210"/>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357"/>
      <c r="T101" s="357"/>
      <c r="U101" s="357"/>
      <c r="V101" s="357"/>
      <c r="W101" s="357"/>
      <c r="X101" s="357"/>
      <c r="Y101" s="357"/>
      <c r="Z101" s="357"/>
      <c r="AA101" s="357"/>
      <c r="AB101" s="357"/>
      <c r="AC101" s="357"/>
      <c r="AD101" s="128"/>
      <c r="AE101" s="125"/>
      <c r="AF101" s="132" t="str">
        <f>IF(Roster!$J$1=0,"",Roster!$J$1)</f>
        <v>MA</v>
      </c>
      <c r="AG101" s="133"/>
      <c r="AH101" s="357"/>
      <c r="AI101" s="357"/>
      <c r="AJ101" s="357"/>
      <c r="AK101" s="357"/>
      <c r="AL101" s="357"/>
      <c r="AM101" s="357"/>
      <c r="AN101" s="357"/>
      <c r="AO101" s="357"/>
      <c r="AP101" s="357"/>
      <c r="AQ101" s="357"/>
      <c r="AR101" s="357"/>
      <c r="AS101" s="128"/>
      <c r="AT101" s="125"/>
      <c r="AU101" s="132" t="str">
        <f>IF(Roster!$J$1=0,"",Roster!$J$1)</f>
        <v>MA</v>
      </c>
      <c r="AV101" s="133"/>
      <c r="AW101" s="357"/>
      <c r="AX101" s="357"/>
      <c r="AY101" s="357"/>
      <c r="AZ101" s="357"/>
      <c r="BA101" s="357"/>
      <c r="BB101" s="357"/>
      <c r="BC101" s="357"/>
      <c r="BD101" s="357"/>
      <c r="BE101" s="357"/>
      <c r="BF101" s="357"/>
      <c r="BG101" s="357"/>
      <c r="BH101" s="210"/>
    </row>
    <row r="102" spans="1:60" ht="37.5" customHeight="1">
      <c r="A102" s="125"/>
      <c r="B102" s="135" t="str">
        <f>IF(Roster!$J$17=0,"",Roster!$J$17)</f>
        <v/>
      </c>
      <c r="C102" s="133"/>
      <c r="D102" s="475"/>
      <c r="E102" s="308"/>
      <c r="F102" s="308"/>
      <c r="G102" s="308"/>
      <c r="H102" s="308"/>
      <c r="I102" s="308"/>
      <c r="J102" s="308"/>
      <c r="K102" s="308"/>
      <c r="L102" s="308"/>
      <c r="M102" s="308"/>
      <c r="N102" s="309"/>
      <c r="O102" s="128"/>
      <c r="P102" s="125"/>
      <c r="Q102" s="135" t="str">
        <f>IF(Roster!$J$18=0,"",Roster!$J$18)</f>
        <v/>
      </c>
      <c r="R102" s="14"/>
      <c r="S102" s="357"/>
      <c r="T102" s="357"/>
      <c r="U102" s="357"/>
      <c r="V102" s="357"/>
      <c r="W102" s="357"/>
      <c r="X102" s="357"/>
      <c r="Y102" s="357"/>
      <c r="Z102" s="357"/>
      <c r="AA102" s="357"/>
      <c r="AB102" s="357"/>
      <c r="AC102" s="357"/>
      <c r="AD102" s="128"/>
      <c r="AE102" s="125"/>
      <c r="AF102" s="135" t="str">
        <f>IF(Roster!$J$19=0,"",Roster!$J$19)</f>
        <v/>
      </c>
      <c r="AG102" s="133"/>
      <c r="AH102" s="357"/>
      <c r="AI102" s="357"/>
      <c r="AJ102" s="357"/>
      <c r="AK102" s="357"/>
      <c r="AL102" s="357"/>
      <c r="AM102" s="357"/>
      <c r="AN102" s="357"/>
      <c r="AO102" s="357"/>
      <c r="AP102" s="357"/>
      <c r="AQ102" s="357"/>
      <c r="AR102" s="357"/>
      <c r="AS102" s="128"/>
      <c r="AT102" s="125"/>
      <c r="AU102" s="135" t="str">
        <f>IF(Roster!$J$20=0,"",Roster!$J$20)</f>
        <v/>
      </c>
      <c r="AV102" s="133"/>
      <c r="AW102" s="357"/>
      <c r="AX102" s="357"/>
      <c r="AY102" s="357"/>
      <c r="AZ102" s="357"/>
      <c r="BA102" s="357"/>
      <c r="BB102" s="357"/>
      <c r="BC102" s="357"/>
      <c r="BD102" s="357"/>
      <c r="BE102" s="357"/>
      <c r="BF102" s="357"/>
      <c r="BG102" s="357"/>
      <c r="BH102" s="210"/>
    </row>
    <row r="103" spans="1:60" ht="11.25" customHeight="1">
      <c r="A103" s="125"/>
      <c r="B103" s="132" t="str">
        <f>IF(Roster!$K$1=0,"",Roster!$K$1)</f>
        <v>ST</v>
      </c>
      <c r="C103" s="133"/>
      <c r="D103" s="476"/>
      <c r="E103" s="357"/>
      <c r="F103" s="357"/>
      <c r="G103" s="357"/>
      <c r="H103" s="357"/>
      <c r="I103" s="357"/>
      <c r="J103" s="357"/>
      <c r="K103" s="357"/>
      <c r="L103" s="357"/>
      <c r="M103" s="357"/>
      <c r="N103" s="477"/>
      <c r="O103" s="128"/>
      <c r="P103" s="125"/>
      <c r="Q103" s="132" t="str">
        <f>IF(Roster!$K$1=0,"",Roster!$K$1)</f>
        <v>ST</v>
      </c>
      <c r="R103" s="133"/>
      <c r="S103" s="481" t="str">
        <f>IF(Roster!$J$24="Italiano","REGOLE SPECIALI",(IF(Roster!$J$24="Español","REGLA ESPECIAL","SPECIAL RULE")))</f>
        <v>SPECIAL RULE</v>
      </c>
      <c r="T103" s="482"/>
      <c r="U103" s="482"/>
      <c r="V103" s="482"/>
      <c r="W103" s="482"/>
      <c r="X103" s="482"/>
      <c r="Y103" s="482"/>
      <c r="Z103" s="482"/>
      <c r="AA103" s="482"/>
      <c r="AB103" s="482"/>
      <c r="AC103" s="483"/>
      <c r="AD103" s="128"/>
      <c r="AE103" s="125"/>
      <c r="AF103" s="132" t="str">
        <f>IF(Roster!$K$1=0,"",Roster!$K$1)</f>
        <v>ST</v>
      </c>
      <c r="AG103" s="133"/>
      <c r="AH103" s="481" t="str">
        <f>IF(Roster!$J$24="Italiano","REGOLE SPECIALI",(IF(Roster!$J$24="Español","REGLA ESPECIAL","SPECIAL RULE")))</f>
        <v>SPECIAL RULE</v>
      </c>
      <c r="AI103" s="482"/>
      <c r="AJ103" s="482"/>
      <c r="AK103" s="482"/>
      <c r="AL103" s="482"/>
      <c r="AM103" s="482"/>
      <c r="AN103" s="482"/>
      <c r="AO103" s="482"/>
      <c r="AP103" s="482"/>
      <c r="AQ103" s="482"/>
      <c r="AR103" s="483"/>
      <c r="AS103" s="128"/>
      <c r="AT103" s="125"/>
      <c r="AU103" s="132" t="str">
        <f>IF(Roster!$K$1=0,"",Roster!$K$1)</f>
        <v>ST</v>
      </c>
      <c r="AV103" s="133"/>
      <c r="AW103" s="481" t="str">
        <f>IF(Roster!$J$24="Italiano","REGOLE SPECIALI",(IF(Roster!$J$24="Español","REGLA ESPECIAL","SPECIAL RULE")))</f>
        <v>SPECIAL RULE</v>
      </c>
      <c r="AX103" s="482"/>
      <c r="AY103" s="482"/>
      <c r="AZ103" s="482"/>
      <c r="BA103" s="482"/>
      <c r="BB103" s="482"/>
      <c r="BC103" s="482"/>
      <c r="BD103" s="482"/>
      <c r="BE103" s="482"/>
      <c r="BF103" s="482"/>
      <c r="BG103" s="483"/>
      <c r="BH103" s="210"/>
    </row>
    <row r="104" spans="1:60" ht="37.5" customHeight="1">
      <c r="A104" s="125"/>
      <c r="B104" s="135" t="str">
        <f>IF(Roster!$K$17=0,"",Roster!$K$17)</f>
        <v/>
      </c>
      <c r="C104" s="133"/>
      <c r="D104" s="476"/>
      <c r="E104" s="357"/>
      <c r="F104" s="357"/>
      <c r="G104" s="357"/>
      <c r="H104" s="357"/>
      <c r="I104" s="357"/>
      <c r="J104" s="357"/>
      <c r="K104" s="357"/>
      <c r="L104" s="357"/>
      <c r="M104" s="357"/>
      <c r="N104" s="477"/>
      <c r="O104" s="128"/>
      <c r="P104" s="125"/>
      <c r="Q104" s="135" t="str">
        <f>IF(Roster!$K$18=0,"",Roster!$K$18)</f>
        <v/>
      </c>
      <c r="R104" s="133"/>
      <c r="S104" s="499" t="str">
        <f>IF(Roster!$AA$18=0,"",Roster!$AA$18)</f>
        <v/>
      </c>
      <c r="T104" s="448"/>
      <c r="U104" s="448"/>
      <c r="V104" s="448"/>
      <c r="W104" s="448"/>
      <c r="X104" s="448"/>
      <c r="Y104" s="448"/>
      <c r="Z104" s="448"/>
      <c r="AA104" s="448"/>
      <c r="AB104" s="448"/>
      <c r="AC104" s="485"/>
      <c r="AD104" s="128"/>
      <c r="AE104" s="125"/>
      <c r="AF104" s="135" t="str">
        <f>IF(Roster!$K$19=0,"",Roster!$K$19)</f>
        <v/>
      </c>
      <c r="AG104" s="133"/>
      <c r="AH104" s="499" t="str">
        <f>IF(Roster!$AA$19=0,"",Roster!$AA$19)</f>
        <v/>
      </c>
      <c r="AI104" s="448"/>
      <c r="AJ104" s="448"/>
      <c r="AK104" s="448"/>
      <c r="AL104" s="448"/>
      <c r="AM104" s="448"/>
      <c r="AN104" s="448"/>
      <c r="AO104" s="448"/>
      <c r="AP104" s="448"/>
      <c r="AQ104" s="448"/>
      <c r="AR104" s="485"/>
      <c r="AS104" s="128"/>
      <c r="AT104" s="125"/>
      <c r="AU104" s="135" t="str">
        <f>IF(Roster!$K$20=0,"",Roster!$K$20)</f>
        <v/>
      </c>
      <c r="AV104" s="133"/>
      <c r="AW104" s="499" t="str">
        <f>IF(Roster!$AA$20=0,"",Roster!$AA$20)</f>
        <v/>
      </c>
      <c r="AX104" s="448"/>
      <c r="AY104" s="448"/>
      <c r="AZ104" s="448"/>
      <c r="BA104" s="448"/>
      <c r="BB104" s="448"/>
      <c r="BC104" s="448"/>
      <c r="BD104" s="448"/>
      <c r="BE104" s="448"/>
      <c r="BF104" s="448"/>
      <c r="BG104" s="485"/>
      <c r="BH104" s="210"/>
    </row>
    <row r="105" spans="1:60" ht="11.25" customHeight="1">
      <c r="A105" s="125"/>
      <c r="B105" s="132" t="str">
        <f>IF(Roster!$L$1=0,"",Roster!$L$1)</f>
        <v>AG</v>
      </c>
      <c r="C105" s="133"/>
      <c r="D105" s="476"/>
      <c r="E105" s="357"/>
      <c r="F105" s="357"/>
      <c r="G105" s="357"/>
      <c r="H105" s="357"/>
      <c r="I105" s="357"/>
      <c r="J105" s="357"/>
      <c r="K105" s="357"/>
      <c r="L105" s="357"/>
      <c r="M105" s="357"/>
      <c r="N105" s="477"/>
      <c r="O105" s="128"/>
      <c r="P105" s="125"/>
      <c r="Q105" s="132" t="str">
        <f>IF(Roster!$L$1=0,"",Roster!$L$1)</f>
        <v>AG</v>
      </c>
      <c r="R105" s="133"/>
      <c r="S105" s="476"/>
      <c r="T105" s="357"/>
      <c r="U105" s="357"/>
      <c r="V105" s="357"/>
      <c r="W105" s="357"/>
      <c r="X105" s="357"/>
      <c r="Y105" s="357"/>
      <c r="Z105" s="357"/>
      <c r="AA105" s="357"/>
      <c r="AB105" s="357"/>
      <c r="AC105" s="477"/>
      <c r="AD105" s="128"/>
      <c r="AE105" s="125"/>
      <c r="AF105" s="132" t="str">
        <f>IF(Roster!$L$1=0,"",Roster!$L$1)</f>
        <v>AG</v>
      </c>
      <c r="AG105" s="133"/>
      <c r="AH105" s="476"/>
      <c r="AI105" s="357"/>
      <c r="AJ105" s="357"/>
      <c r="AK105" s="357"/>
      <c r="AL105" s="357"/>
      <c r="AM105" s="357"/>
      <c r="AN105" s="357"/>
      <c r="AO105" s="357"/>
      <c r="AP105" s="357"/>
      <c r="AQ105" s="357"/>
      <c r="AR105" s="477"/>
      <c r="AS105" s="128"/>
      <c r="AT105" s="125"/>
      <c r="AU105" s="132" t="str">
        <f>IF(Roster!$L$1=0,"",Roster!$L$1)</f>
        <v>AG</v>
      </c>
      <c r="AV105" s="133"/>
      <c r="AW105" s="476"/>
      <c r="AX105" s="357"/>
      <c r="AY105" s="357"/>
      <c r="AZ105" s="357"/>
      <c r="BA105" s="357"/>
      <c r="BB105" s="357"/>
      <c r="BC105" s="357"/>
      <c r="BD105" s="357"/>
      <c r="BE105" s="357"/>
      <c r="BF105" s="357"/>
      <c r="BG105" s="477"/>
      <c r="BH105" s="210"/>
    </row>
    <row r="106" spans="1:60" ht="37.5" customHeight="1">
      <c r="A106" s="125"/>
      <c r="B106" s="135" t="str">
        <f>IF(Roster!$L$17=0&amp;"+","",Roster!$L$17)</f>
        <v/>
      </c>
      <c r="C106" s="133"/>
      <c r="D106" s="476"/>
      <c r="E106" s="357"/>
      <c r="F106" s="357"/>
      <c r="G106" s="357"/>
      <c r="H106" s="357"/>
      <c r="I106" s="357"/>
      <c r="J106" s="357"/>
      <c r="K106" s="357"/>
      <c r="L106" s="357"/>
      <c r="M106" s="357"/>
      <c r="N106" s="477"/>
      <c r="O106" s="128"/>
      <c r="P106" s="125"/>
      <c r="Q106" s="135" t="str">
        <f>IF(Roster!$L$18=0,"",Roster!$L$18)</f>
        <v/>
      </c>
      <c r="R106" s="133"/>
      <c r="S106" s="476"/>
      <c r="T106" s="357"/>
      <c r="U106" s="357"/>
      <c r="V106" s="357"/>
      <c r="W106" s="357"/>
      <c r="X106" s="357"/>
      <c r="Y106" s="357"/>
      <c r="Z106" s="357"/>
      <c r="AA106" s="357"/>
      <c r="AB106" s="357"/>
      <c r="AC106" s="477"/>
      <c r="AD106" s="128"/>
      <c r="AE106" s="125"/>
      <c r="AF106" s="135" t="str">
        <f>IF(Roster!$L$19=0,"",Roster!$L$19)</f>
        <v/>
      </c>
      <c r="AG106" s="133"/>
      <c r="AH106" s="476"/>
      <c r="AI106" s="357"/>
      <c r="AJ106" s="357"/>
      <c r="AK106" s="357"/>
      <c r="AL106" s="357"/>
      <c r="AM106" s="357"/>
      <c r="AN106" s="357"/>
      <c r="AO106" s="357"/>
      <c r="AP106" s="357"/>
      <c r="AQ106" s="357"/>
      <c r="AR106" s="477"/>
      <c r="AS106" s="128"/>
      <c r="AT106" s="125"/>
      <c r="AU106" s="135" t="str">
        <f>IF(Roster!$L$20=0,"",Roster!$L$20)</f>
        <v/>
      </c>
      <c r="AV106" s="133"/>
      <c r="AW106" s="476"/>
      <c r="AX106" s="357"/>
      <c r="AY106" s="357"/>
      <c r="AZ106" s="357"/>
      <c r="BA106" s="357"/>
      <c r="BB106" s="357"/>
      <c r="BC106" s="357"/>
      <c r="BD106" s="357"/>
      <c r="BE106" s="357"/>
      <c r="BF106" s="357"/>
      <c r="BG106" s="477"/>
      <c r="BH106" s="210"/>
    </row>
    <row r="107" spans="1:60" ht="11.25" customHeight="1">
      <c r="A107" s="125"/>
      <c r="B107" s="132" t="str">
        <f>IF(Roster!$M$1=0,"",Roster!$M$1)</f>
        <v>PA</v>
      </c>
      <c r="C107" s="133"/>
      <c r="D107" s="476"/>
      <c r="E107" s="357"/>
      <c r="F107" s="357"/>
      <c r="G107" s="357"/>
      <c r="H107" s="357"/>
      <c r="I107" s="357"/>
      <c r="J107" s="357"/>
      <c r="K107" s="357"/>
      <c r="L107" s="357"/>
      <c r="M107" s="357"/>
      <c r="N107" s="477"/>
      <c r="O107" s="137"/>
      <c r="P107" s="125"/>
      <c r="Q107" s="132" t="str">
        <f>IF(Roster!$M$1=0,"",Roster!$M$1)</f>
        <v>PA</v>
      </c>
      <c r="R107" s="133"/>
      <c r="S107" s="476"/>
      <c r="T107" s="357"/>
      <c r="U107" s="357"/>
      <c r="V107" s="357"/>
      <c r="W107" s="357"/>
      <c r="X107" s="357"/>
      <c r="Y107" s="357"/>
      <c r="Z107" s="357"/>
      <c r="AA107" s="357"/>
      <c r="AB107" s="357"/>
      <c r="AC107" s="477"/>
      <c r="AD107" s="137"/>
      <c r="AE107" s="125"/>
      <c r="AF107" s="132" t="str">
        <f>IF(Roster!$M$1=0,"",Roster!$M$1)</f>
        <v>PA</v>
      </c>
      <c r="AG107" s="133"/>
      <c r="AH107" s="476"/>
      <c r="AI107" s="357"/>
      <c r="AJ107" s="357"/>
      <c r="AK107" s="357"/>
      <c r="AL107" s="357"/>
      <c r="AM107" s="357"/>
      <c r="AN107" s="357"/>
      <c r="AO107" s="357"/>
      <c r="AP107" s="357"/>
      <c r="AQ107" s="357"/>
      <c r="AR107" s="477"/>
      <c r="AS107" s="137"/>
      <c r="AT107" s="125"/>
      <c r="AU107" s="132" t="str">
        <f>IF(Roster!$M$1=0,"",Roster!$M$1)</f>
        <v>PA</v>
      </c>
      <c r="AV107" s="133"/>
      <c r="AW107" s="476"/>
      <c r="AX107" s="357"/>
      <c r="AY107" s="357"/>
      <c r="AZ107" s="357"/>
      <c r="BA107" s="357"/>
      <c r="BB107" s="357"/>
      <c r="BC107" s="357"/>
      <c r="BD107" s="357"/>
      <c r="BE107" s="357"/>
      <c r="BF107" s="357"/>
      <c r="BG107" s="477"/>
      <c r="BH107" s="210"/>
    </row>
    <row r="108" spans="1:60" ht="6" customHeight="1">
      <c r="A108" s="125"/>
      <c r="B108" s="470" t="str">
        <f>IF(Roster!$M$17=0&amp;"+","",Roster!$M$17)</f>
        <v/>
      </c>
      <c r="C108" s="133"/>
      <c r="D108" s="478"/>
      <c r="E108" s="479"/>
      <c r="F108" s="479"/>
      <c r="G108" s="479"/>
      <c r="H108" s="479"/>
      <c r="I108" s="479"/>
      <c r="J108" s="479"/>
      <c r="K108" s="479"/>
      <c r="L108" s="479"/>
      <c r="M108" s="479"/>
      <c r="N108" s="480"/>
      <c r="O108" s="139"/>
      <c r="P108" s="125"/>
      <c r="Q108" s="470" t="str">
        <f>IF(Roster!$M$18=0,"",Roster!$M$18)</f>
        <v/>
      </c>
      <c r="R108" s="133"/>
      <c r="S108" s="476"/>
      <c r="T108" s="357"/>
      <c r="U108" s="357"/>
      <c r="V108" s="357"/>
      <c r="W108" s="357"/>
      <c r="X108" s="357"/>
      <c r="Y108" s="357"/>
      <c r="Z108" s="357"/>
      <c r="AA108" s="357"/>
      <c r="AB108" s="357"/>
      <c r="AC108" s="477"/>
      <c r="AD108" s="139"/>
      <c r="AE108" s="125"/>
      <c r="AF108" s="470" t="str">
        <f>IF(Roster!$M$19=0,"",Roster!$M$19)</f>
        <v/>
      </c>
      <c r="AG108" s="133"/>
      <c r="AH108" s="476"/>
      <c r="AI108" s="357"/>
      <c r="AJ108" s="357"/>
      <c r="AK108" s="357"/>
      <c r="AL108" s="357"/>
      <c r="AM108" s="357"/>
      <c r="AN108" s="357"/>
      <c r="AO108" s="357"/>
      <c r="AP108" s="357"/>
      <c r="AQ108" s="357"/>
      <c r="AR108" s="477"/>
      <c r="AS108" s="139"/>
      <c r="AT108" s="125"/>
      <c r="AU108" s="470" t="str">
        <f>IF(Roster!$M$20=0,"",Roster!$M$20)</f>
        <v/>
      </c>
      <c r="AV108" s="133"/>
      <c r="AW108" s="476"/>
      <c r="AX108" s="357"/>
      <c r="AY108" s="357"/>
      <c r="AZ108" s="357"/>
      <c r="BA108" s="357"/>
      <c r="BB108" s="357"/>
      <c r="BC108" s="357"/>
      <c r="BD108" s="357"/>
      <c r="BE108" s="357"/>
      <c r="BF108" s="357"/>
      <c r="BG108" s="477"/>
      <c r="BH108" s="210"/>
    </row>
    <row r="109" spans="1:60" ht="4.5" customHeight="1">
      <c r="A109" s="125"/>
      <c r="B109" s="471"/>
      <c r="C109" s="131"/>
      <c r="D109" s="125"/>
      <c r="E109" s="138"/>
      <c r="F109" s="125"/>
      <c r="G109" s="138"/>
      <c r="H109" s="125"/>
      <c r="I109" s="138"/>
      <c r="J109" s="125"/>
      <c r="K109" s="138"/>
      <c r="L109" s="125"/>
      <c r="M109" s="138"/>
      <c r="N109" s="125"/>
      <c r="O109" s="139"/>
      <c r="P109" s="125"/>
      <c r="Q109" s="471"/>
      <c r="R109" s="134"/>
      <c r="S109" s="476"/>
      <c r="T109" s="357"/>
      <c r="U109" s="357"/>
      <c r="V109" s="357"/>
      <c r="W109" s="357"/>
      <c r="X109" s="357"/>
      <c r="Y109" s="357"/>
      <c r="Z109" s="357"/>
      <c r="AA109" s="357"/>
      <c r="AB109" s="357"/>
      <c r="AC109" s="477"/>
      <c r="AD109" s="139"/>
      <c r="AE109" s="125"/>
      <c r="AF109" s="471"/>
      <c r="AG109" s="134"/>
      <c r="AH109" s="476"/>
      <c r="AI109" s="357"/>
      <c r="AJ109" s="357"/>
      <c r="AK109" s="357"/>
      <c r="AL109" s="357"/>
      <c r="AM109" s="357"/>
      <c r="AN109" s="357"/>
      <c r="AO109" s="357"/>
      <c r="AP109" s="357"/>
      <c r="AQ109" s="357"/>
      <c r="AR109" s="477"/>
      <c r="AS109" s="139"/>
      <c r="AT109" s="125"/>
      <c r="AU109" s="471"/>
      <c r="AV109" s="134"/>
      <c r="AW109" s="476"/>
      <c r="AX109" s="357"/>
      <c r="AY109" s="357"/>
      <c r="AZ109" s="357"/>
      <c r="BA109" s="357"/>
      <c r="BB109" s="357"/>
      <c r="BC109" s="357"/>
      <c r="BD109" s="357"/>
      <c r="BE109" s="357"/>
      <c r="BF109" s="357"/>
      <c r="BG109" s="477"/>
      <c r="BH109" s="210"/>
    </row>
    <row r="110" spans="1:60" ht="11.25" customHeight="1">
      <c r="A110" s="125"/>
      <c r="B110" s="471"/>
      <c r="C110" s="131"/>
      <c r="D110" s="481" t="str">
        <f>IF(Roster!$J$24="Italiano","ABILITÀ &amp; TRATTI",(IF(Roster!$J$24="Español","HABILIDADES Y RASGOS","SKILLS &amp; TRAITS")))</f>
        <v>SKILLS &amp; TRAITS</v>
      </c>
      <c r="E110" s="482"/>
      <c r="F110" s="482"/>
      <c r="G110" s="482"/>
      <c r="H110" s="482"/>
      <c r="I110" s="482"/>
      <c r="J110" s="482"/>
      <c r="K110" s="482"/>
      <c r="L110" s="482"/>
      <c r="M110" s="482"/>
      <c r="N110" s="483"/>
      <c r="O110" s="139"/>
      <c r="P110" s="125"/>
      <c r="Q110" s="471"/>
      <c r="R110" s="134"/>
      <c r="S110" s="476"/>
      <c r="T110" s="357"/>
      <c r="U110" s="357"/>
      <c r="V110" s="357"/>
      <c r="W110" s="357"/>
      <c r="X110" s="357"/>
      <c r="Y110" s="357"/>
      <c r="Z110" s="357"/>
      <c r="AA110" s="357"/>
      <c r="AB110" s="357"/>
      <c r="AC110" s="477"/>
      <c r="AD110" s="139"/>
      <c r="AE110" s="125"/>
      <c r="AF110" s="471"/>
      <c r="AG110" s="134"/>
      <c r="AH110" s="476"/>
      <c r="AI110" s="357"/>
      <c r="AJ110" s="357"/>
      <c r="AK110" s="357"/>
      <c r="AL110" s="357"/>
      <c r="AM110" s="357"/>
      <c r="AN110" s="357"/>
      <c r="AO110" s="357"/>
      <c r="AP110" s="357"/>
      <c r="AQ110" s="357"/>
      <c r="AR110" s="477"/>
      <c r="AS110" s="139"/>
      <c r="AT110" s="125"/>
      <c r="AU110" s="471"/>
      <c r="AV110" s="134"/>
      <c r="AW110" s="476"/>
      <c r="AX110" s="357"/>
      <c r="AY110" s="357"/>
      <c r="AZ110" s="357"/>
      <c r="BA110" s="357"/>
      <c r="BB110" s="357"/>
      <c r="BC110" s="357"/>
      <c r="BD110" s="357"/>
      <c r="BE110" s="357"/>
      <c r="BF110" s="357"/>
      <c r="BG110" s="477"/>
      <c r="BH110" s="210"/>
    </row>
    <row r="111" spans="1:60" ht="15" customHeight="1">
      <c r="A111" s="125"/>
      <c r="B111" s="471"/>
      <c r="C111" s="134"/>
      <c r="D111" s="484" t="str">
        <f>IF(Roster!$O$17=0,"",Roster!$O$17&amp;Roster!BF17)</f>
        <v/>
      </c>
      <c r="E111" s="448"/>
      <c r="F111" s="448"/>
      <c r="G111" s="448"/>
      <c r="H111" s="448"/>
      <c r="I111" s="448"/>
      <c r="J111" s="448"/>
      <c r="K111" s="448"/>
      <c r="L111" s="448"/>
      <c r="M111" s="448"/>
      <c r="N111" s="485"/>
      <c r="O111" s="139"/>
      <c r="P111" s="125"/>
      <c r="Q111" s="471"/>
      <c r="R111" s="133"/>
      <c r="S111" s="478"/>
      <c r="T111" s="479"/>
      <c r="U111" s="479"/>
      <c r="V111" s="479"/>
      <c r="W111" s="479"/>
      <c r="X111" s="479"/>
      <c r="Y111" s="479"/>
      <c r="Z111" s="479"/>
      <c r="AA111" s="479"/>
      <c r="AB111" s="479"/>
      <c r="AC111" s="480"/>
      <c r="AD111" s="139"/>
      <c r="AE111" s="125"/>
      <c r="AF111" s="471"/>
      <c r="AG111" s="133"/>
      <c r="AH111" s="478"/>
      <c r="AI111" s="479"/>
      <c r="AJ111" s="479"/>
      <c r="AK111" s="479"/>
      <c r="AL111" s="479"/>
      <c r="AM111" s="479"/>
      <c r="AN111" s="479"/>
      <c r="AO111" s="479"/>
      <c r="AP111" s="479"/>
      <c r="AQ111" s="479"/>
      <c r="AR111" s="480"/>
      <c r="AS111" s="139"/>
      <c r="AT111" s="125"/>
      <c r="AU111" s="471"/>
      <c r="AV111" s="133"/>
      <c r="AW111" s="478"/>
      <c r="AX111" s="479"/>
      <c r="AY111" s="479"/>
      <c r="AZ111" s="479"/>
      <c r="BA111" s="479"/>
      <c r="BB111" s="479"/>
      <c r="BC111" s="479"/>
      <c r="BD111" s="479"/>
      <c r="BE111" s="479"/>
      <c r="BF111" s="479"/>
      <c r="BG111" s="480"/>
      <c r="BH111" s="210"/>
    </row>
    <row r="112" spans="1:60" ht="4.5" customHeight="1">
      <c r="A112" s="125"/>
      <c r="B112" s="472"/>
      <c r="C112" s="134"/>
      <c r="D112" s="476"/>
      <c r="E112" s="357"/>
      <c r="F112" s="357"/>
      <c r="G112" s="357"/>
      <c r="H112" s="357"/>
      <c r="I112" s="357"/>
      <c r="J112" s="357"/>
      <c r="K112" s="357"/>
      <c r="L112" s="357"/>
      <c r="M112" s="357"/>
      <c r="N112" s="477"/>
      <c r="O112" s="139"/>
      <c r="P112" s="125"/>
      <c r="Q112" s="472"/>
      <c r="R112" s="134"/>
      <c r="S112" s="14"/>
      <c r="T112" s="14"/>
      <c r="U112" s="14"/>
      <c r="V112" s="14"/>
      <c r="W112" s="14"/>
      <c r="X112" s="14"/>
      <c r="Y112" s="14"/>
      <c r="Z112" s="14"/>
      <c r="AA112" s="14"/>
      <c r="AB112" s="14"/>
      <c r="AC112" s="14"/>
      <c r="AD112" s="139"/>
      <c r="AE112" s="125"/>
      <c r="AF112" s="472"/>
      <c r="AG112" s="134"/>
      <c r="AH112" s="14"/>
      <c r="AI112" s="14"/>
      <c r="AJ112" s="14"/>
      <c r="AK112" s="14"/>
      <c r="AL112" s="14"/>
      <c r="AM112" s="14"/>
      <c r="AN112" s="14"/>
      <c r="AO112" s="14"/>
      <c r="AP112" s="14"/>
      <c r="AQ112" s="14"/>
      <c r="AR112" s="14"/>
      <c r="AS112" s="139"/>
      <c r="AT112" s="125"/>
      <c r="AU112" s="472"/>
      <c r="AV112" s="134"/>
      <c r="AW112" s="14"/>
      <c r="AX112" s="14"/>
      <c r="AY112" s="14"/>
      <c r="AZ112" s="14"/>
      <c r="BA112" s="14"/>
      <c r="BB112" s="14"/>
      <c r="BC112" s="14"/>
      <c r="BD112" s="14"/>
      <c r="BE112" s="14"/>
      <c r="BF112" s="14"/>
      <c r="BG112" s="14"/>
      <c r="BH112" s="210"/>
    </row>
    <row r="113" spans="1:60" ht="11.25" customHeight="1">
      <c r="A113" s="125"/>
      <c r="B113" s="132" t="str">
        <f>IF(Roster!$N$1=0,"",Roster!$N$1)</f>
        <v>AV</v>
      </c>
      <c r="C113" s="133"/>
      <c r="D113" s="476"/>
      <c r="E113" s="357"/>
      <c r="F113" s="357"/>
      <c r="G113" s="357"/>
      <c r="H113" s="357"/>
      <c r="I113" s="357"/>
      <c r="J113" s="357"/>
      <c r="K113" s="357"/>
      <c r="L113" s="357"/>
      <c r="M113" s="357"/>
      <c r="N113" s="477"/>
      <c r="O113" s="128"/>
      <c r="P113" s="125"/>
      <c r="Q113" s="132" t="str">
        <f>IF(Roster!$N$1=0,"",Roster!$N$1)</f>
        <v>AV</v>
      </c>
      <c r="R113" s="134"/>
      <c r="S113" s="481" t="str">
        <f>IF(Roster!$J$24="Italiano","ABILITÀ &amp; TRATTI",(IF(Roster!$J$24="Español","HABILIDADES Y RASGOS","SKILLS &amp; TRAITS")))</f>
        <v>SKILLS &amp; TRAITS</v>
      </c>
      <c r="T113" s="482"/>
      <c r="U113" s="482"/>
      <c r="V113" s="482"/>
      <c r="W113" s="482"/>
      <c r="X113" s="482"/>
      <c r="Y113" s="482"/>
      <c r="Z113" s="482"/>
      <c r="AA113" s="482"/>
      <c r="AB113" s="482"/>
      <c r="AC113" s="483"/>
      <c r="AD113" s="128"/>
      <c r="AE113" s="125"/>
      <c r="AF113" s="132" t="str">
        <f>IF(Roster!$N$1=0,"",Roster!$N$1)</f>
        <v>AV</v>
      </c>
      <c r="AG113" s="134"/>
      <c r="AH113" s="481" t="str">
        <f>IF(Roster!$J$24="Italiano","ABILITÀ &amp; TRATTI",(IF(Roster!$J$24="Español","HABILIDADES Y RASGOS","SKILLS &amp; TRAITS")))</f>
        <v>SKILLS &amp; TRAITS</v>
      </c>
      <c r="AI113" s="482"/>
      <c r="AJ113" s="482"/>
      <c r="AK113" s="482"/>
      <c r="AL113" s="482"/>
      <c r="AM113" s="482"/>
      <c r="AN113" s="482"/>
      <c r="AO113" s="482"/>
      <c r="AP113" s="482"/>
      <c r="AQ113" s="482"/>
      <c r="AR113" s="483"/>
      <c r="AS113" s="128"/>
      <c r="AT113" s="125"/>
      <c r="AU113" s="132" t="str">
        <f>IF(Roster!$N$1=0,"",Roster!$N$1)</f>
        <v>AV</v>
      </c>
      <c r="AV113" s="134"/>
      <c r="AW113" s="481" t="str">
        <f>IF(Roster!$J$24="Italiano","ABILITÀ &amp; TRATTI",(IF(Roster!$J$24="Español","HABILIDADES Y RASGOS","SKILLS &amp; TRAITS")))</f>
        <v>SKILLS &amp; TRAITS</v>
      </c>
      <c r="AX113" s="482"/>
      <c r="AY113" s="482"/>
      <c r="AZ113" s="482"/>
      <c r="BA113" s="482"/>
      <c r="BB113" s="482"/>
      <c r="BC113" s="482"/>
      <c r="BD113" s="482"/>
      <c r="BE113" s="482"/>
      <c r="BF113" s="482"/>
      <c r="BG113" s="483"/>
      <c r="BH113" s="210"/>
    </row>
    <row r="114" spans="1:60" ht="15" customHeight="1">
      <c r="A114" s="125"/>
      <c r="B114" s="470" t="str">
        <f>IF(Roster!$N$17=0&amp;"+","",Roster!$N$17)</f>
        <v/>
      </c>
      <c r="C114" s="134"/>
      <c r="D114" s="476"/>
      <c r="E114" s="357"/>
      <c r="F114" s="357"/>
      <c r="G114" s="357"/>
      <c r="H114" s="357"/>
      <c r="I114" s="357"/>
      <c r="J114" s="357"/>
      <c r="K114" s="357"/>
      <c r="L114" s="357"/>
      <c r="M114" s="357"/>
      <c r="N114" s="477"/>
      <c r="O114" s="140"/>
      <c r="P114" s="125"/>
      <c r="Q114" s="470" t="str">
        <f>IF(Roster!$N$18=0,"",Roster!$N$18)</f>
        <v/>
      </c>
      <c r="R114" s="133"/>
      <c r="S114" s="496" t="str">
        <f>IF(Roster!$O$18=0,"",Roster!$O$18)</f>
        <v/>
      </c>
      <c r="T114" s="448"/>
      <c r="U114" s="448"/>
      <c r="V114" s="448"/>
      <c r="W114" s="448"/>
      <c r="X114" s="448"/>
      <c r="Y114" s="448"/>
      <c r="Z114" s="448"/>
      <c r="AA114" s="448"/>
      <c r="AB114" s="448"/>
      <c r="AC114" s="485"/>
      <c r="AD114" s="140"/>
      <c r="AE114" s="125"/>
      <c r="AF114" s="470" t="str">
        <f>IF(Roster!$N$19=0,"",Roster!$N$19)</f>
        <v/>
      </c>
      <c r="AG114" s="133"/>
      <c r="AH114" s="496" t="str">
        <f>IF(Roster!$O$19=0,"",Roster!$O$19)</f>
        <v/>
      </c>
      <c r="AI114" s="448"/>
      <c r="AJ114" s="448"/>
      <c r="AK114" s="448"/>
      <c r="AL114" s="448"/>
      <c r="AM114" s="448"/>
      <c r="AN114" s="448"/>
      <c r="AO114" s="448"/>
      <c r="AP114" s="448"/>
      <c r="AQ114" s="448"/>
      <c r="AR114" s="485"/>
      <c r="AS114" s="140"/>
      <c r="AT114" s="125"/>
      <c r="AU114" s="470" t="str">
        <f>IF(Roster!$N$20=0,"",Roster!$N$20)</f>
        <v/>
      </c>
      <c r="AV114" s="133"/>
      <c r="AW114" s="496" t="str">
        <f>IF(Roster!$O$20=0,"",Roster!$O$20)</f>
        <v/>
      </c>
      <c r="AX114" s="448"/>
      <c r="AY114" s="448"/>
      <c r="AZ114" s="448"/>
      <c r="BA114" s="448"/>
      <c r="BB114" s="448"/>
      <c r="BC114" s="448"/>
      <c r="BD114" s="448"/>
      <c r="BE114" s="448"/>
      <c r="BF114" s="448"/>
      <c r="BG114" s="485"/>
      <c r="BH114" s="210"/>
    </row>
    <row r="115" spans="1:60" ht="4.5" customHeight="1">
      <c r="A115" s="125"/>
      <c r="B115" s="471"/>
      <c r="C115" s="134"/>
      <c r="D115" s="476"/>
      <c r="E115" s="357"/>
      <c r="F115" s="357"/>
      <c r="G115" s="357"/>
      <c r="H115" s="357"/>
      <c r="I115" s="357"/>
      <c r="J115" s="357"/>
      <c r="K115" s="357"/>
      <c r="L115" s="357"/>
      <c r="M115" s="357"/>
      <c r="N115" s="477"/>
      <c r="O115" s="140"/>
      <c r="P115" s="125"/>
      <c r="Q115" s="471"/>
      <c r="R115" s="146"/>
      <c r="S115" s="476"/>
      <c r="T115" s="357"/>
      <c r="U115" s="357"/>
      <c r="V115" s="357"/>
      <c r="W115" s="357"/>
      <c r="X115" s="357"/>
      <c r="Y115" s="357"/>
      <c r="Z115" s="357"/>
      <c r="AA115" s="357"/>
      <c r="AB115" s="357"/>
      <c r="AC115" s="477"/>
      <c r="AD115" s="140"/>
      <c r="AE115" s="125"/>
      <c r="AF115" s="471"/>
      <c r="AG115" s="146"/>
      <c r="AH115" s="476"/>
      <c r="AI115" s="357"/>
      <c r="AJ115" s="357"/>
      <c r="AK115" s="357"/>
      <c r="AL115" s="357"/>
      <c r="AM115" s="357"/>
      <c r="AN115" s="357"/>
      <c r="AO115" s="357"/>
      <c r="AP115" s="357"/>
      <c r="AQ115" s="357"/>
      <c r="AR115" s="477"/>
      <c r="AS115" s="140"/>
      <c r="AT115" s="125"/>
      <c r="AU115" s="471"/>
      <c r="AV115" s="146"/>
      <c r="AW115" s="476"/>
      <c r="AX115" s="357"/>
      <c r="AY115" s="357"/>
      <c r="AZ115" s="357"/>
      <c r="BA115" s="357"/>
      <c r="BB115" s="357"/>
      <c r="BC115" s="357"/>
      <c r="BD115" s="357"/>
      <c r="BE115" s="357"/>
      <c r="BF115" s="357"/>
      <c r="BG115" s="477"/>
      <c r="BH115" s="210"/>
    </row>
    <row r="116" spans="1:60" ht="11.25" customHeight="1">
      <c r="A116" s="125"/>
      <c r="B116" s="471"/>
      <c r="C116" s="134"/>
      <c r="D116" s="476"/>
      <c r="E116" s="357"/>
      <c r="F116" s="357"/>
      <c r="G116" s="357"/>
      <c r="H116" s="357"/>
      <c r="I116" s="357"/>
      <c r="J116" s="357"/>
      <c r="K116" s="357"/>
      <c r="L116" s="357"/>
      <c r="M116" s="357"/>
      <c r="N116" s="477"/>
      <c r="O116" s="140"/>
      <c r="P116" s="125"/>
      <c r="Q116" s="471"/>
      <c r="R116" s="125"/>
      <c r="S116" s="476"/>
      <c r="T116" s="357"/>
      <c r="U116" s="357"/>
      <c r="V116" s="357"/>
      <c r="W116" s="357"/>
      <c r="X116" s="357"/>
      <c r="Y116" s="357"/>
      <c r="Z116" s="357"/>
      <c r="AA116" s="357"/>
      <c r="AB116" s="357"/>
      <c r="AC116" s="477"/>
      <c r="AD116" s="140"/>
      <c r="AE116" s="125"/>
      <c r="AF116" s="471"/>
      <c r="AG116" s="125"/>
      <c r="AH116" s="476"/>
      <c r="AI116" s="357"/>
      <c r="AJ116" s="357"/>
      <c r="AK116" s="357"/>
      <c r="AL116" s="357"/>
      <c r="AM116" s="357"/>
      <c r="AN116" s="357"/>
      <c r="AO116" s="357"/>
      <c r="AP116" s="357"/>
      <c r="AQ116" s="357"/>
      <c r="AR116" s="477"/>
      <c r="AS116" s="140"/>
      <c r="AT116" s="125"/>
      <c r="AU116" s="471"/>
      <c r="AV116" s="125"/>
      <c r="AW116" s="476"/>
      <c r="AX116" s="357"/>
      <c r="AY116" s="357"/>
      <c r="AZ116" s="357"/>
      <c r="BA116" s="357"/>
      <c r="BB116" s="357"/>
      <c r="BC116" s="357"/>
      <c r="BD116" s="357"/>
      <c r="BE116" s="357"/>
      <c r="BF116" s="357"/>
      <c r="BG116" s="477"/>
      <c r="BH116" s="210"/>
    </row>
    <row r="117" spans="1:60" ht="6.75" customHeight="1">
      <c r="A117" s="125"/>
      <c r="B117" s="472"/>
      <c r="C117" s="134"/>
      <c r="D117" s="476"/>
      <c r="E117" s="357"/>
      <c r="F117" s="357"/>
      <c r="G117" s="357"/>
      <c r="H117" s="357"/>
      <c r="I117" s="357"/>
      <c r="J117" s="357"/>
      <c r="K117" s="357"/>
      <c r="L117" s="357"/>
      <c r="M117" s="357"/>
      <c r="N117" s="477"/>
      <c r="O117" s="140"/>
      <c r="P117" s="125"/>
      <c r="Q117" s="472"/>
      <c r="R117" s="151"/>
      <c r="S117" s="476"/>
      <c r="T117" s="357"/>
      <c r="U117" s="357"/>
      <c r="V117" s="357"/>
      <c r="W117" s="357"/>
      <c r="X117" s="357"/>
      <c r="Y117" s="357"/>
      <c r="Z117" s="357"/>
      <c r="AA117" s="357"/>
      <c r="AB117" s="357"/>
      <c r="AC117" s="477"/>
      <c r="AD117" s="140"/>
      <c r="AE117" s="125"/>
      <c r="AF117" s="472"/>
      <c r="AG117" s="151"/>
      <c r="AH117" s="476"/>
      <c r="AI117" s="357"/>
      <c r="AJ117" s="357"/>
      <c r="AK117" s="357"/>
      <c r="AL117" s="357"/>
      <c r="AM117" s="357"/>
      <c r="AN117" s="357"/>
      <c r="AO117" s="357"/>
      <c r="AP117" s="357"/>
      <c r="AQ117" s="357"/>
      <c r="AR117" s="477"/>
      <c r="AS117" s="140"/>
      <c r="AT117" s="125"/>
      <c r="AU117" s="472"/>
      <c r="AV117" s="151"/>
      <c r="AW117" s="476"/>
      <c r="AX117" s="357"/>
      <c r="AY117" s="357"/>
      <c r="AZ117" s="357"/>
      <c r="BA117" s="357"/>
      <c r="BB117" s="357"/>
      <c r="BC117" s="357"/>
      <c r="BD117" s="357"/>
      <c r="BE117" s="357"/>
      <c r="BF117" s="357"/>
      <c r="BG117" s="477"/>
      <c r="BH117" s="210"/>
    </row>
    <row r="118" spans="1:60" ht="11.25" customHeight="1">
      <c r="A118" s="125"/>
      <c r="B118" s="132" t="str">
        <f>IF(Roster!$AN$1=0,"",Roster!$AN$1)</f>
        <v>COST</v>
      </c>
      <c r="C118" s="133"/>
      <c r="D118" s="476"/>
      <c r="E118" s="357"/>
      <c r="F118" s="357"/>
      <c r="G118" s="357"/>
      <c r="H118" s="357"/>
      <c r="I118" s="357"/>
      <c r="J118" s="357"/>
      <c r="K118" s="357"/>
      <c r="L118" s="357"/>
      <c r="M118" s="357"/>
      <c r="N118" s="477"/>
      <c r="O118" s="143"/>
      <c r="P118" s="125"/>
      <c r="Q118" s="132" t="str">
        <f>IF(Roster!$AN$1=0,"",Roster!$AN$1)</f>
        <v>COST</v>
      </c>
      <c r="R118" s="151"/>
      <c r="S118" s="476"/>
      <c r="T118" s="357"/>
      <c r="U118" s="357"/>
      <c r="V118" s="357"/>
      <c r="W118" s="357"/>
      <c r="X118" s="357"/>
      <c r="Y118" s="357"/>
      <c r="Z118" s="357"/>
      <c r="AA118" s="357"/>
      <c r="AB118" s="357"/>
      <c r="AC118" s="477"/>
      <c r="AD118" s="143"/>
      <c r="AE118" s="125"/>
      <c r="AF118" s="132" t="str">
        <f>IF(Roster!$AN$1=0,"",Roster!$AN$1)</f>
        <v>COST</v>
      </c>
      <c r="AG118" s="151"/>
      <c r="AH118" s="476"/>
      <c r="AI118" s="357"/>
      <c r="AJ118" s="357"/>
      <c r="AK118" s="357"/>
      <c r="AL118" s="357"/>
      <c r="AM118" s="357"/>
      <c r="AN118" s="357"/>
      <c r="AO118" s="357"/>
      <c r="AP118" s="357"/>
      <c r="AQ118" s="357"/>
      <c r="AR118" s="477"/>
      <c r="AS118" s="143"/>
      <c r="AT118" s="125"/>
      <c r="AU118" s="132" t="str">
        <f>IF(Roster!$AN$1=0,"",Roster!$AN$1)</f>
        <v>COST</v>
      </c>
      <c r="AV118" s="151"/>
      <c r="AW118" s="476"/>
      <c r="AX118" s="357"/>
      <c r="AY118" s="357"/>
      <c r="AZ118" s="357"/>
      <c r="BA118" s="357"/>
      <c r="BB118" s="357"/>
      <c r="BC118" s="357"/>
      <c r="BD118" s="357"/>
      <c r="BE118" s="357"/>
      <c r="BF118" s="357"/>
      <c r="BG118" s="477"/>
      <c r="BH118" s="210"/>
    </row>
    <row r="119" spans="1:60" ht="34.5" customHeight="1">
      <c r="A119" s="125"/>
      <c r="B119" s="145" t="str">
        <f>IF(Roster!$AN$17=0,"",Roster!$AN$17)</f>
        <v/>
      </c>
      <c r="C119" s="146"/>
      <c r="D119" s="478"/>
      <c r="E119" s="479"/>
      <c r="F119" s="479"/>
      <c r="G119" s="479"/>
      <c r="H119" s="479"/>
      <c r="I119" s="479"/>
      <c r="J119" s="479"/>
      <c r="K119" s="479"/>
      <c r="L119" s="479"/>
      <c r="M119" s="479"/>
      <c r="N119" s="480"/>
      <c r="O119" s="143"/>
      <c r="P119" s="125"/>
      <c r="Q119" s="145" t="str">
        <f>IF(Roster!$AN$18=0,"",Roster!$AN$18)</f>
        <v/>
      </c>
      <c r="R119" s="151"/>
      <c r="S119" s="478"/>
      <c r="T119" s="479"/>
      <c r="U119" s="479"/>
      <c r="V119" s="479"/>
      <c r="W119" s="479"/>
      <c r="X119" s="479"/>
      <c r="Y119" s="479"/>
      <c r="Z119" s="479"/>
      <c r="AA119" s="479"/>
      <c r="AB119" s="479"/>
      <c r="AC119" s="480"/>
      <c r="AD119" s="143"/>
      <c r="AE119" s="125"/>
      <c r="AF119" s="145" t="str">
        <f>IF(Roster!$AN$19=0,"",Roster!$AN$19)</f>
        <v/>
      </c>
      <c r="AG119" s="151"/>
      <c r="AH119" s="478"/>
      <c r="AI119" s="479"/>
      <c r="AJ119" s="479"/>
      <c r="AK119" s="479"/>
      <c r="AL119" s="479"/>
      <c r="AM119" s="479"/>
      <c r="AN119" s="479"/>
      <c r="AO119" s="479"/>
      <c r="AP119" s="479"/>
      <c r="AQ119" s="479"/>
      <c r="AR119" s="480"/>
      <c r="AS119" s="143"/>
      <c r="AT119" s="125"/>
      <c r="AU119" s="145" t="str">
        <f>IF(Roster!$AN$20=0,"",Roster!$AN$20)</f>
        <v/>
      </c>
      <c r="AV119" s="151"/>
      <c r="AW119" s="478"/>
      <c r="AX119" s="479"/>
      <c r="AY119" s="479"/>
      <c r="AZ119" s="479"/>
      <c r="BA119" s="479"/>
      <c r="BB119" s="479"/>
      <c r="BC119" s="479"/>
      <c r="BD119" s="479"/>
      <c r="BE119" s="479"/>
      <c r="BF119" s="479"/>
      <c r="BG119" s="480"/>
      <c r="BH119" s="210"/>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
      </c>
      <c r="G45" s="159" t="str">
        <f t="shared" ref="G45:AO45" si="1">IF(G46=1,G47,"")</f>
        <v>ABC</v>
      </c>
      <c r="H45" s="159" t="str">
        <f t="shared" si="1"/>
        <v/>
      </c>
      <c r="I45" s="159" t="str">
        <f t="shared" si="1"/>
        <v>AAB</v>
      </c>
      <c r="J45" s="159" t="str">
        <f t="shared" si="1"/>
        <v/>
      </c>
      <c r="K45" s="159" t="str">
        <f t="shared" si="1"/>
        <v>AAQ</v>
      </c>
      <c r="L45" s="159" t="str">
        <f t="shared" si="1"/>
        <v/>
      </c>
      <c r="M45" s="159" t="str">
        <f t="shared" si="1"/>
        <v/>
      </c>
      <c r="N45" s="159" t="str">
        <f t="shared" si="1"/>
        <v/>
      </c>
      <c r="O45" s="159" t="str">
        <f t="shared" si="1"/>
        <v/>
      </c>
      <c r="P45" s="159" t="str">
        <f t="shared" si="1"/>
        <v/>
      </c>
      <c r="Q45" s="159" t="str">
        <f t="shared" si="1"/>
        <v/>
      </c>
      <c r="R45" s="159" t="str">
        <f t="shared" si="1"/>
        <v/>
      </c>
      <c r="S45" s="159" t="str">
        <f t="shared" si="1"/>
        <v/>
      </c>
      <c r="T45" s="159" t="str">
        <f t="shared" si="1"/>
        <v/>
      </c>
      <c r="U45" s="159" t="str">
        <f t="shared" si="1"/>
        <v/>
      </c>
      <c r="V45" s="159" t="str">
        <f t="shared" si="1"/>
        <v>ABD</v>
      </c>
      <c r="W45" s="159" t="str">
        <f t="shared" si="1"/>
        <v/>
      </c>
      <c r="X45" s="159" t="str">
        <f t="shared" si="1"/>
        <v/>
      </c>
      <c r="Y45" s="159" t="str">
        <f t="shared" si="1"/>
        <v/>
      </c>
      <c r="Z45" s="159" t="str">
        <f t="shared" si="1"/>
        <v/>
      </c>
      <c r="AA45" s="159" t="str">
        <f t="shared" si="1"/>
        <v>AAP</v>
      </c>
      <c r="AB45" s="159" t="str">
        <f t="shared" si="1"/>
        <v>AAD</v>
      </c>
      <c r="AC45" s="159" t="str">
        <f t="shared" si="1"/>
        <v>AAE</v>
      </c>
      <c r="AD45" s="159" t="str">
        <f t="shared" si="1"/>
        <v>ABE</v>
      </c>
      <c r="AE45" s="159" t="str">
        <f t="shared" si="1"/>
        <v/>
      </c>
      <c r="AF45" s="159" t="str">
        <f t="shared" si="1"/>
        <v/>
      </c>
      <c r="AG45" s="159" t="str">
        <f t="shared" si="1"/>
        <v/>
      </c>
      <c r="AH45" s="159" t="str">
        <f t="shared" si="1"/>
        <v/>
      </c>
      <c r="AI45" s="159" t="str">
        <f t="shared" si="1"/>
        <v/>
      </c>
      <c r="AJ45" s="159" t="str">
        <f t="shared" si="1"/>
        <v/>
      </c>
      <c r="AK45" s="159" t="str">
        <f t="shared" si="1"/>
        <v/>
      </c>
      <c r="AL45" s="159" t="str">
        <f t="shared" si="1"/>
        <v/>
      </c>
      <c r="AM45" s="159" t="str">
        <f t="shared" si="1"/>
        <v>CCC</v>
      </c>
      <c r="AN45" s="159" t="str">
        <f t="shared" si="1"/>
        <v>DDD</v>
      </c>
      <c r="AO45" s="159" t="str">
        <f t="shared" si="1"/>
        <v>EEE</v>
      </c>
      <c r="AP45" s="159"/>
    </row>
    <row r="46" spans="1:42" ht="12.75" customHeight="1">
      <c r="A46" s="14"/>
      <c r="B46" s="5" t="str">
        <f>Roster!$BU$2</f>
        <v>SylvanianSpotlight</v>
      </c>
      <c r="C46" s="159">
        <f>VLOOKUP($B$46,$B$49:$BO$63,2,FALSE)</f>
        <v>0</v>
      </c>
      <c r="D46" s="36">
        <f>VLOOKUP($B$46,$B$49:$BO$63,3,FALSE)</f>
        <v>1</v>
      </c>
      <c r="E46" s="36">
        <f>VLOOKUP($B$46,$B$49:$BO$63,4,FALSE)</f>
        <v>0</v>
      </c>
      <c r="F46" s="36">
        <f>VLOOKUP($B$46,$B$49:$BO$63,5,FALSE)</f>
        <v>0</v>
      </c>
      <c r="G46" s="36">
        <f>VLOOKUP($B$46,$B$49:$BO$63,6,FALSE)</f>
        <v>1</v>
      </c>
      <c r="H46" s="36">
        <f>VLOOKUP($B$46,$B$49:$BO$63,7,FALSE)</f>
        <v>0</v>
      </c>
      <c r="I46" s="36">
        <f>VLOOKUP($B$46,$B$49:$BO$63,8,FALSE)</f>
        <v>1</v>
      </c>
      <c r="J46" s="36">
        <f>VLOOKUP($B$46,$B$49:$BO$63,9,FALSE)</f>
        <v>0</v>
      </c>
      <c r="K46" s="36">
        <f>VLOOKUP($B$46,$B$49:$BO$63,10,FALSE)</f>
        <v>1</v>
      </c>
      <c r="L46" s="36">
        <f>VLOOKUP($B$46,$B$49:$BO$63,11,FALSE)</f>
        <v>0</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0</v>
      </c>
      <c r="T46" s="36">
        <f>VLOOKUP($B$46,$B$49:$BO$63,19,FALSE)</f>
        <v>0</v>
      </c>
      <c r="U46" s="36">
        <f>VLOOKUP($B$46,$B$49:$BO$63,20,FALSE)</f>
        <v>0</v>
      </c>
      <c r="V46" s="36">
        <f>VLOOKUP($B$46,$B$49:$BO$63,21,FALSE)</f>
        <v>1</v>
      </c>
      <c r="W46" s="36">
        <f>VLOOKUP($B$46,$B$49:$BO$63,22,FALSE)</f>
        <v>0</v>
      </c>
      <c r="X46" s="36">
        <f>VLOOKUP($B$46,$B$49:$BO$63,23,FALSE)</f>
        <v>0</v>
      </c>
      <c r="Y46" s="36">
        <f>VLOOKUP($B$46,$B$49:$BO$63,24,FALSE)</f>
        <v>0</v>
      </c>
      <c r="Z46" s="36">
        <f>VLOOKUP($B$46,$B$49:$BO$63,25,FALSE)</f>
        <v>0</v>
      </c>
      <c r="AA46" s="36">
        <f>VLOOKUP($B$46,$B$49:$BO$63,26,FALSE)</f>
        <v>1</v>
      </c>
      <c r="AB46" s="36">
        <f>VLOOKUP($B$46,$B$49:$BO$63,27,FALSE)</f>
        <v>1</v>
      </c>
      <c r="AC46" s="36">
        <f>VLOOKUP($B$46,$B$49:$BO$63,28,FALSE)</f>
        <v>1</v>
      </c>
      <c r="AD46" s="36">
        <f>VLOOKUP($B$46,$B$49:$BO$63,29,FALSE)</f>
        <v>1</v>
      </c>
      <c r="AE46" s="36">
        <f>VLOOKUP($B$46,$B$49:$BO$63,30,FALSE)</f>
        <v>0</v>
      </c>
      <c r="AF46" s="36">
        <f>VLOOKUP($B$46,$B$49:$BO$63,31,FALSE)</f>
        <v>0</v>
      </c>
      <c r="AG46" s="36">
        <f>VLOOKUP($B$46,$B$49:$BO$63,32,FALSE)</f>
        <v>0</v>
      </c>
      <c r="AH46" s="36">
        <f>VLOOKUP($B$46,$B$49:$BO$63,33,FALSE)</f>
        <v>0</v>
      </c>
      <c r="AI46" s="159">
        <f>VLOOKUP($B$46,$B$49:$BO$63,34,FALSE)</f>
        <v>0</v>
      </c>
      <c r="AJ46" s="159">
        <f>VLOOKUP($B$46,$B$49:$BO$63,35,FALSE)</f>
        <v>0</v>
      </c>
      <c r="AK46" s="159">
        <f>VLOOKUP($B$46,$B$49:$BO$63,36,FALSE)</f>
        <v>0</v>
      </c>
      <c r="AL46" s="159">
        <f>VLOOKUP($B$46,$B$49:$BO$63,37,FALSE)</f>
        <v>0</v>
      </c>
      <c r="AM46" s="159">
        <f>VLOOKUP($B$46,$B$49:$BO$63,38,FALSE)</f>
        <v>1</v>
      </c>
      <c r="AN46" s="159">
        <f>VLOOKUP($B$46,$B$49:$BO$63,39,FALSE)</f>
        <v>1</v>
      </c>
      <c r="AO46" s="159">
        <f>VLOOKUP($B$46,$B$49:$BO$63,40,FALSE)</f>
        <v>1</v>
      </c>
      <c r="AP46" s="159">
        <v>0</v>
      </c>
    </row>
    <row r="47" spans="1:42" s="168" customFormat="1" ht="12.75" customHeight="1">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AAAABCAABAAQABDAAPAADAAEABECCCDDDEEE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ABC</v>
      </c>
      <c r="C67" s="152" t="str">
        <f t="shared" ref="C67:C84" si="3">IFERROR((VLOOKUP(B67,$A$4:$B$48,2,FALSE))," ")</f>
        <v>Bryce 'the Slice' Cambuel</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Bryce 'the Slice' Cambuel</v>
      </c>
      <c r="AA67" s="5"/>
      <c r="AB67" s="5"/>
      <c r="AC67" s="5"/>
      <c r="AD67" s="5"/>
      <c r="AE67" s="5"/>
      <c r="AF67" s="5"/>
      <c r="AG67" s="5"/>
      <c r="AH67" s="5"/>
    </row>
    <row r="68" spans="1:34" ht="12.75" customHeight="1">
      <c r="A68" s="14"/>
      <c r="B68" s="5" t="str">
        <f>MID($B$65,7,3)</f>
        <v>AAB</v>
      </c>
      <c r="C68" s="152" t="str">
        <f t="shared" si="3"/>
        <v>Helmut Wulf</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Helmut Wulf</v>
      </c>
      <c r="AA68" s="5"/>
      <c r="AB68" s="5"/>
      <c r="AC68" s="5"/>
      <c r="AD68" s="5"/>
      <c r="AE68" s="5"/>
      <c r="AF68" s="5"/>
      <c r="AG68" s="5"/>
      <c r="AH68" s="5"/>
    </row>
    <row r="69" spans="1:34" ht="12.75" customHeight="1">
      <c r="A69" s="14"/>
      <c r="B69" s="5" t="str">
        <f>MID($B$65,10,3)</f>
        <v>AAQ</v>
      </c>
      <c r="C69" s="152" t="str">
        <f t="shared" si="3"/>
        <v>Skrull Halfheight</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Skrull Halfheight</v>
      </c>
      <c r="AA69" s="5"/>
      <c r="AB69" s="5"/>
      <c r="AC69" s="5"/>
      <c r="AD69" s="5"/>
      <c r="AE69" s="5"/>
      <c r="AF69" s="5"/>
      <c r="AG69" s="5"/>
      <c r="AH69" s="5"/>
    </row>
    <row r="70" spans="1:34" ht="12.75" customHeight="1">
      <c r="A70" s="14"/>
      <c r="B70" s="5" t="str">
        <f>MID($B$65,13,3)</f>
        <v>ABD</v>
      </c>
      <c r="C70" s="152" t="str">
        <f t="shared" si="3"/>
        <v>Wilhelm Chaney</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Wilhelm Chaney</v>
      </c>
      <c r="AA70" s="5"/>
      <c r="AB70" s="5"/>
      <c r="AC70" s="5"/>
      <c r="AD70" s="5"/>
      <c r="AE70" s="5"/>
      <c r="AF70" s="5"/>
      <c r="AG70" s="5"/>
      <c r="AH70" s="5"/>
    </row>
    <row r="71" spans="1:34" ht="12.75" customHeight="1">
      <c r="A71" s="14"/>
      <c r="B71" s="5" t="str">
        <f>MID($B$65,16,3)</f>
        <v>AAP</v>
      </c>
      <c r="C71" s="152" t="str">
        <f t="shared" si="3"/>
        <v>Frank 'n' Stein</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Frank 'n' Stein</v>
      </c>
      <c r="AA71" s="5"/>
      <c r="AB71" s="5"/>
      <c r="AC71" s="5"/>
      <c r="AD71" s="5"/>
      <c r="AE71" s="5"/>
      <c r="AF71" s="5"/>
      <c r="AG71" s="5"/>
      <c r="AH71" s="5"/>
    </row>
    <row r="72" spans="1:34" ht="12.75" customHeight="1">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c r="A74" s="14"/>
      <c r="B74" s="5" t="str">
        <f>MID($B$65,25,3)</f>
        <v>ABE</v>
      </c>
      <c r="C74" s="152" t="str">
        <f t="shared" si="3"/>
        <v>Gretchen Wächter</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Gretchen Wächter</v>
      </c>
      <c r="AA74" s="5"/>
      <c r="AB74" s="5"/>
      <c r="AC74" s="5"/>
      <c r="AD74" s="5"/>
      <c r="AE74" s="5"/>
      <c r="AF74" s="5"/>
      <c r="AG74" s="5"/>
      <c r="AH74" s="5"/>
    </row>
    <row r="75" spans="1:34" ht="12.75" customHeight="1">
      <c r="A75" s="14"/>
      <c r="B75" s="5" t="str">
        <f>MID($B$65,28,3)</f>
        <v>CCC</v>
      </c>
      <c r="C75" s="152" t="str">
        <f t="shared" si="3"/>
        <v>Mercenary 1</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Mercenary 1</v>
      </c>
      <c r="AA75" s="5"/>
      <c r="AB75" s="5"/>
      <c r="AC75" s="5"/>
      <c r="AD75" s="5"/>
      <c r="AE75" s="5"/>
      <c r="AF75" s="5"/>
      <c r="AG75" s="5"/>
      <c r="AH75" s="5"/>
    </row>
    <row r="76" spans="1:34" ht="12.75" customHeight="1">
      <c r="A76" s="14"/>
      <c r="B76" s="5" t="str">
        <f>MID($B$65,31,3)</f>
        <v>DDD</v>
      </c>
      <c r="C76" s="152" t="str">
        <f t="shared" si="3"/>
        <v>Mercenary 2</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Mercenary 2</v>
      </c>
      <c r="AA76" s="5"/>
      <c r="AB76" s="5"/>
      <c r="AC76" s="5"/>
      <c r="AD76" s="5"/>
      <c r="AE76" s="5"/>
      <c r="AF76" s="5"/>
      <c r="AG76" s="5"/>
      <c r="AH76" s="5"/>
    </row>
    <row r="77" spans="1:34" ht="12.75" customHeight="1">
      <c r="A77" s="14"/>
      <c r="B77" s="5" t="str">
        <f>MID($B$65,34,3)</f>
        <v>EEE</v>
      </c>
      <c r="C77" s="152" t="str">
        <f t="shared" si="3"/>
        <v>Mercenary 3</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Mercenary 3</v>
      </c>
      <c r="AA77" s="5"/>
      <c r="AB77" s="5"/>
      <c r="AC77" s="5"/>
      <c r="AD77" s="5"/>
      <c r="AE77" s="5"/>
      <c r="AF77" s="5"/>
      <c r="AG77" s="5"/>
      <c r="AH77" s="5"/>
    </row>
    <row r="78" spans="1:34" ht="12.75" customHeight="1">
      <c r="A78" s="14"/>
      <c r="B78" s="5" t="str">
        <f>MID($B$65,37,3)</f>
        <v/>
      </c>
      <c r="C78" s="152" t="str">
        <f t="shared" si="3"/>
        <v xml:space="preserve"> </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 xml:space="preserve"> </v>
      </c>
      <c r="AA78" s="5"/>
      <c r="AB78" s="5"/>
      <c r="AC78" s="5"/>
      <c r="AD78" s="5"/>
      <c r="AE78" s="5"/>
      <c r="AF78" s="5"/>
      <c r="AG78" s="5"/>
      <c r="AH78" s="5"/>
    </row>
    <row r="79" spans="1:34" ht="12.75" customHeight="1">
      <c r="A79" s="14"/>
      <c r="B79" s="5" t="str">
        <f>MID($B$65,40,3)</f>
        <v/>
      </c>
      <c r="C79" s="152" t="str">
        <f t="shared" si="3"/>
        <v xml:space="preserve"> </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 xml:space="preserve"> </v>
      </c>
      <c r="AA79" s="5"/>
      <c r="AB79" s="5"/>
      <c r="AC79" s="5"/>
      <c r="AD79" s="5"/>
      <c r="AE79" s="5"/>
      <c r="AF79" s="5"/>
      <c r="AG79" s="5"/>
      <c r="AH79" s="5"/>
    </row>
    <row r="80" spans="1:34" ht="12.75" customHeight="1">
      <c r="A80" s="14"/>
      <c r="B80" s="5" t="str">
        <f>MID($B$65,43,3)</f>
        <v/>
      </c>
      <c r="C80" s="152" t="str">
        <f t="shared" si="3"/>
        <v xml:space="preserve"> </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 xml:space="preserve"> </v>
      </c>
      <c r="AA80" s="5"/>
      <c r="AB80" s="5"/>
      <c r="AC80" s="5"/>
      <c r="AD80" s="5"/>
      <c r="AE80" s="5"/>
      <c r="AF80" s="5"/>
      <c r="AG80" s="5"/>
      <c r="AH80" s="5"/>
    </row>
    <row r="81" spans="1:34" ht="12.75" customHeight="1">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c r="A85" s="14"/>
      <c r="B85" s="267" t="str">
        <f>MID($B$65,58,3)</f>
        <v/>
      </c>
      <c r="C85" s="267"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c r="A86" s="14"/>
      <c r="B86" s="267" t="str">
        <f>MID($B$65,61,3)</f>
        <v/>
      </c>
      <c r="C86" s="267"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7" t="str">
        <f>MID($B$65,64,3)</f>
        <v/>
      </c>
      <c r="C87" s="267"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2022-10-06T22:41:30Z</dcterms:modified>
</cp:coreProperties>
</file>